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V+xM3McIv37vdFGLQr5WMhrXAALpyeZSPJuNuAXmQQHrQnbPIV2fcte+MkXE6XW4zPsjLJ2hMidcAEWrh1Y5OA==" workbookSaltValue="5cCtAymbXIVy+ubBy6pbSA==" workbookSpinCount="100000" lockStructure="1"/>
  <bookViews>
    <workbookView xWindow="0" yWindow="1800" windowWidth="21600" windowHeight="11640" tabRatio="932"/>
  </bookViews>
  <sheets>
    <sheet name="Revision History" sheetId="1" r:id="rId1"/>
    <sheet name="MER-031-860U3X(NIR)" sheetId="2" r:id="rId2"/>
    <sheet name="MER-041-436U3X" sheetId="25" r:id="rId3"/>
    <sheet name="MER-050-560U3X(NIR)" sheetId="3" r:id="rId4"/>
    <sheet name="MER-051-120U3x" sheetId="21" r:id="rId5"/>
    <sheet name="MER-131-210U3X(NIR)" sheetId="4" r:id="rId6"/>
    <sheet name="MER-131-210U3M(Multi-ROI)" sheetId="19" state="hidden" r:id="rId7"/>
    <sheet name="MER-132-30U3X" sheetId="5" state="hidden" r:id="rId8"/>
    <sheet name="MER-132-43U3X" sheetId="6" r:id="rId9"/>
    <sheet name="MER-133-54U3X" sheetId="7" r:id="rId10"/>
    <sheet name="MER-134-93U3X" sheetId="8" r:id="rId11"/>
    <sheet name="MER-160-227U3X" sheetId="26" r:id="rId12"/>
    <sheet name="MER-230-168U3X" sheetId="9" r:id="rId13"/>
    <sheet name="MER-231-41U3X" sheetId="10" r:id="rId14"/>
    <sheet name="MER-301-125U3X" sheetId="11" r:id="rId15"/>
    <sheet name="MER-302-56U3X" sheetId="18" r:id="rId16"/>
    <sheet name="MER-500-14U3X" sheetId="12" r:id="rId17"/>
    <sheet name="MER-502-79U3X(POL)" sheetId="13" r:id="rId18"/>
    <sheet name="MER-503-36U3X" sheetId="14" r:id="rId19"/>
    <sheet name="MER-630-60U3X" sheetId="22" r:id="rId20"/>
    <sheet name="MER-1070-14U3X" sheetId="27" r:id="rId21"/>
    <sheet name="MER-1220-32U3X" sheetId="29" r:id="rId22"/>
    <sheet name="MER-1520-13U3C" sheetId="28" r:id="rId23"/>
    <sheet name="MER-1810-21U3C" sheetId="17" r:id="rId24"/>
    <sheet name="MER-2000-19U3X" sheetId="24" r:id="rId25"/>
  </sheets>
  <calcPr calcId="152511"/>
</workbook>
</file>

<file path=xl/calcChain.xml><?xml version="1.0" encoding="utf-8"?>
<calcChain xmlns="http://schemas.openxmlformats.org/spreadsheetml/2006/main">
  <c r="H5" i="27" l="1"/>
  <c r="H4" i="27"/>
  <c r="H3" i="27"/>
  <c r="C20" i="27" l="1"/>
  <c r="C3" i="27"/>
  <c r="C2" i="27"/>
  <c r="I7" i="27"/>
  <c r="I5" i="27"/>
  <c r="I4" i="27"/>
  <c r="I3" i="27"/>
  <c r="H7" i="27"/>
  <c r="I5" i="13"/>
  <c r="I4" i="13"/>
  <c r="I3" i="13"/>
  <c r="H5" i="13"/>
  <c r="H4" i="13"/>
  <c r="H3" i="13"/>
  <c r="H7" i="13" l="1"/>
  <c r="I7" i="13"/>
  <c r="I7" i="18"/>
  <c r="C2" i="13" l="1"/>
  <c r="C3" i="13"/>
  <c r="C20" i="13"/>
  <c r="B15" i="13"/>
  <c r="B15" i="11" l="1"/>
  <c r="B14" i="18" l="1"/>
  <c r="B15" i="18"/>
  <c r="B11" i="18"/>
  <c r="C20" i="18"/>
  <c r="C3" i="18"/>
  <c r="C2" i="18"/>
  <c r="H7" i="18"/>
  <c r="I5" i="18"/>
  <c r="H5" i="18"/>
  <c r="I4" i="18"/>
  <c r="H4" i="18"/>
  <c r="I3" i="18"/>
  <c r="H3" i="18"/>
  <c r="I7" i="4" l="1"/>
  <c r="I5" i="4"/>
  <c r="I4" i="4"/>
  <c r="I3" i="4"/>
  <c r="H7" i="4"/>
  <c r="H5" i="4"/>
  <c r="H4" i="4"/>
  <c r="H3" i="4"/>
  <c r="C21" i="4"/>
  <c r="C3" i="4"/>
  <c r="C2" i="4"/>
  <c r="B15" i="4"/>
  <c r="B16" i="4" s="1"/>
  <c r="B14" i="4"/>
  <c r="I7" i="2"/>
  <c r="I5" i="2"/>
  <c r="I4" i="2"/>
  <c r="I3" i="2"/>
  <c r="H7" i="2"/>
  <c r="H5" i="2"/>
  <c r="H4" i="2"/>
  <c r="H3" i="2"/>
  <c r="C21" i="2"/>
  <c r="C3" i="2"/>
  <c r="C2" i="2"/>
  <c r="B15" i="2"/>
  <c r="B16" i="2" s="1"/>
  <c r="B17" i="4" l="1"/>
  <c r="G28" i="21"/>
  <c r="F28" i="21"/>
  <c r="F34" i="21" s="1"/>
  <c r="B26" i="21"/>
  <c r="I28" i="21" l="1"/>
  <c r="H28" i="21"/>
  <c r="C25" i="21" l="1"/>
  <c r="H15" i="29" l="1"/>
  <c r="B12" i="29" s="1"/>
  <c r="H8" i="29"/>
  <c r="B13" i="29" s="1"/>
  <c r="H19" i="29"/>
  <c r="B11" i="29"/>
  <c r="H17" i="29"/>
  <c r="H18" i="29" l="1"/>
  <c r="H21" i="29" s="1"/>
  <c r="H20" i="29"/>
  <c r="B15" i="3"/>
  <c r="B16" i="3" s="1"/>
  <c r="H22" i="29" l="1"/>
  <c r="B15" i="29" s="1"/>
  <c r="C21" i="3"/>
  <c r="C3" i="11"/>
  <c r="C3" i="3"/>
  <c r="C2" i="3"/>
  <c r="I5" i="11"/>
  <c r="I4" i="11"/>
  <c r="I3" i="11"/>
  <c r="H5" i="3"/>
  <c r="H4" i="3"/>
  <c r="H3" i="3"/>
  <c r="I3" i="3"/>
  <c r="I5" i="3"/>
  <c r="I4" i="3"/>
  <c r="I7" i="3"/>
  <c r="H7" i="3"/>
  <c r="B14" i="29" l="1"/>
  <c r="B17" i="29"/>
  <c r="B9" i="28"/>
  <c r="B10" i="28"/>
  <c r="B12" i="28"/>
  <c r="B16" i="28"/>
  <c r="B11" i="27"/>
  <c r="B12" i="27" s="1"/>
  <c r="B14" i="27"/>
  <c r="B18" i="27"/>
  <c r="B13" i="28" l="1"/>
  <c r="B18" i="28" s="1"/>
  <c r="B15" i="27"/>
  <c r="B20" i="27" s="1"/>
  <c r="C20" i="11" l="1"/>
  <c r="C2" i="11"/>
  <c r="I7" i="11"/>
  <c r="H7" i="11"/>
  <c r="H5" i="11"/>
  <c r="H4" i="11"/>
  <c r="H3" i="11"/>
  <c r="B13" i="26" l="1"/>
  <c r="B12" i="26"/>
  <c r="B10" i="26"/>
  <c r="B11" i="26" s="1"/>
  <c r="B9" i="26"/>
  <c r="B16" i="26" l="1"/>
  <c r="B18" i="26" s="1"/>
  <c r="H2" i="6"/>
  <c r="G2" i="6"/>
  <c r="B9" i="6"/>
  <c r="B20" i="6"/>
  <c r="H4" i="6" l="1"/>
  <c r="J2" i="6"/>
  <c r="I2" i="6"/>
  <c r="C8" i="6" l="1"/>
  <c r="B13" i="25" l="1"/>
  <c r="B12" i="25"/>
  <c r="B9" i="25"/>
  <c r="B10" i="25" l="1"/>
  <c r="B11" i="25" s="1"/>
  <c r="B16" i="25" s="1"/>
  <c r="B18" i="25" l="1"/>
  <c r="H20" i="24"/>
  <c r="H8" i="24" l="1"/>
  <c r="H15" i="24"/>
  <c r="H15" i="22"/>
  <c r="H19" i="24" l="1"/>
  <c r="H18" i="24"/>
  <c r="B13" i="24"/>
  <c r="B11" i="24"/>
  <c r="H3" i="24"/>
  <c r="H6" i="24" l="1"/>
  <c r="H17" i="24" s="1"/>
  <c r="B12" i="24"/>
  <c r="H19" i="22"/>
  <c r="H22" i="24" l="1"/>
  <c r="B15" i="24" s="1"/>
  <c r="B17" i="24" s="1"/>
  <c r="H21" i="24"/>
  <c r="G21" i="8"/>
  <c r="B14" i="24" l="1"/>
  <c r="H3" i="22"/>
  <c r="H8" i="22" l="1"/>
  <c r="H20" i="22" s="1"/>
  <c r="B11" i="22"/>
  <c r="B12" i="22"/>
  <c r="H6" i="22"/>
  <c r="G17" i="8"/>
  <c r="G2" i="21"/>
  <c r="H2" i="21"/>
  <c r="I2" i="21"/>
  <c r="J2" i="21"/>
  <c r="G3" i="21"/>
  <c r="K2" i="21" s="1"/>
  <c r="K6" i="21" s="1"/>
  <c r="K10" i="21" s="1"/>
  <c r="H3" i="21"/>
  <c r="I3" i="21"/>
  <c r="J3" i="21"/>
  <c r="G4" i="21"/>
  <c r="K4" i="21" s="1"/>
  <c r="H4" i="21"/>
  <c r="L4" i="21"/>
  <c r="I4" i="21"/>
  <c r="F8" i="21" s="1"/>
  <c r="J4" i="21"/>
  <c r="G5" i="21"/>
  <c r="K5" i="21" s="1"/>
  <c r="K9" i="21" s="1"/>
  <c r="H5" i="21"/>
  <c r="L5" i="21"/>
  <c r="L9" i="21"/>
  <c r="I5" i="21"/>
  <c r="J5" i="21"/>
  <c r="G18" i="21"/>
  <c r="G23" i="21"/>
  <c r="B29" i="21"/>
  <c r="G20" i="21" s="1"/>
  <c r="G8" i="21"/>
  <c r="G22" i="8"/>
  <c r="B30" i="19"/>
  <c r="B31" i="19"/>
  <c r="B28" i="19"/>
  <c r="B29" i="19"/>
  <c r="G24" i="19"/>
  <c r="G17" i="19"/>
  <c r="J5" i="19"/>
  <c r="I5" i="19"/>
  <c r="H5" i="19"/>
  <c r="L5" i="19"/>
  <c r="L9" i="19"/>
  <c r="G5" i="19"/>
  <c r="K5" i="19"/>
  <c r="K9" i="19"/>
  <c r="J4" i="19"/>
  <c r="I4" i="19"/>
  <c r="H4" i="19"/>
  <c r="L4" i="19"/>
  <c r="G4" i="19"/>
  <c r="K4" i="19"/>
  <c r="J3" i="19"/>
  <c r="I3" i="19"/>
  <c r="H3" i="19"/>
  <c r="G3" i="19"/>
  <c r="J2" i="19"/>
  <c r="I2" i="19"/>
  <c r="H2" i="19"/>
  <c r="G2" i="19"/>
  <c r="F8" i="19"/>
  <c r="L3" i="19"/>
  <c r="G8" i="19"/>
  <c r="G9" i="19"/>
  <c r="G14" i="19"/>
  <c r="K2" i="19"/>
  <c r="K6" i="19"/>
  <c r="K10" i="19"/>
  <c r="K3" i="19"/>
  <c r="L2" i="19"/>
  <c r="L6" i="19"/>
  <c r="L10" i="19"/>
  <c r="G21" i="19"/>
  <c r="B12" i="18"/>
  <c r="B13" i="18" s="1"/>
  <c r="B18" i="18" s="1"/>
  <c r="B20" i="18" s="1"/>
  <c r="K7" i="19"/>
  <c r="K11" i="19"/>
  <c r="L15" i="19"/>
  <c r="L8" i="19"/>
  <c r="L7" i="19"/>
  <c r="L11" i="19"/>
  <c r="K8" i="19"/>
  <c r="G23" i="19"/>
  <c r="G22" i="19"/>
  <c r="B9" i="17"/>
  <c r="B10" i="17"/>
  <c r="B11" i="17"/>
  <c r="B18" i="17"/>
  <c r="B12" i="14"/>
  <c r="B13" i="14"/>
  <c r="B10" i="14"/>
  <c r="B11" i="14"/>
  <c r="B9" i="14"/>
  <c r="B14" i="13"/>
  <c r="B12" i="13"/>
  <c r="B13" i="13"/>
  <c r="B11" i="12"/>
  <c r="B12" i="12"/>
  <c r="B9" i="12"/>
  <c r="B10" i="12"/>
  <c r="B14" i="11"/>
  <c r="B12" i="11"/>
  <c r="B13" i="11" s="1"/>
  <c r="B12" i="10"/>
  <c r="B13" i="10"/>
  <c r="B10" i="10"/>
  <c r="B11" i="10"/>
  <c r="B9" i="10"/>
  <c r="B12" i="9"/>
  <c r="B9" i="9"/>
  <c r="B10" i="9"/>
  <c r="B11" i="9"/>
  <c r="B30" i="8"/>
  <c r="B31" i="8"/>
  <c r="B28" i="8"/>
  <c r="G19" i="8"/>
  <c r="J5" i="8"/>
  <c r="I5" i="8"/>
  <c r="H5" i="8"/>
  <c r="L5" i="8"/>
  <c r="L9" i="8"/>
  <c r="G5" i="8"/>
  <c r="K5" i="8"/>
  <c r="K9" i="8"/>
  <c r="J4" i="8"/>
  <c r="I4" i="8"/>
  <c r="H4" i="8"/>
  <c r="L4" i="8"/>
  <c r="G4" i="8"/>
  <c r="K4" i="8"/>
  <c r="J3" i="8"/>
  <c r="I3" i="8"/>
  <c r="H3" i="8"/>
  <c r="G3" i="8"/>
  <c r="J2" i="8"/>
  <c r="I2" i="8"/>
  <c r="H2" i="8"/>
  <c r="G2" i="8"/>
  <c r="B13" i="7"/>
  <c r="B14" i="7" s="1"/>
  <c r="B11" i="7"/>
  <c r="B12" i="7"/>
  <c r="B21" i="6"/>
  <c r="B22" i="6" s="1"/>
  <c r="A20" i="6"/>
  <c r="B15" i="6"/>
  <c r="B16" i="6" s="1"/>
  <c r="B17" i="6" s="1"/>
  <c r="B18" i="6" s="1"/>
  <c r="B19" i="6" s="1"/>
  <c r="B12" i="6"/>
  <c r="B13" i="6" s="1"/>
  <c r="A20" i="5"/>
  <c r="B20" i="5"/>
  <c r="B21" i="5"/>
  <c r="B22" i="5"/>
  <c r="B15" i="5"/>
  <c r="B16" i="5"/>
  <c r="B17" i="5"/>
  <c r="B18" i="5"/>
  <c r="B19" i="5"/>
  <c r="B12" i="5"/>
  <c r="B13" i="5"/>
  <c r="B10" i="5"/>
  <c r="B11" i="5"/>
  <c r="B13" i="4"/>
  <c r="B21" i="4"/>
  <c r="B13" i="3"/>
  <c r="B14" i="3"/>
  <c r="B17" i="3" s="1"/>
  <c r="B13" i="2"/>
  <c r="B14" i="2" s="1"/>
  <c r="F8" i="8"/>
  <c r="B16" i="10"/>
  <c r="L3" i="8"/>
  <c r="L14" i="19"/>
  <c r="L18" i="19"/>
  <c r="B16" i="14"/>
  <c r="B18" i="14"/>
  <c r="L13" i="19"/>
  <c r="L17" i="19"/>
  <c r="L21" i="19"/>
  <c r="L25" i="19"/>
  <c r="K13" i="19"/>
  <c r="K17" i="19"/>
  <c r="K21" i="19"/>
  <c r="K25" i="19"/>
  <c r="L12" i="19"/>
  <c r="L16" i="19"/>
  <c r="K12" i="19"/>
  <c r="K16" i="19"/>
  <c r="K14" i="19"/>
  <c r="K18" i="19"/>
  <c r="K15" i="19"/>
  <c r="B17" i="17"/>
  <c r="B11" i="13"/>
  <c r="B13" i="12"/>
  <c r="B17" i="12"/>
  <c r="B18" i="10"/>
  <c r="B13" i="9"/>
  <c r="B16" i="9"/>
  <c r="B18" i="9"/>
  <c r="K3" i="8"/>
  <c r="K7" i="8"/>
  <c r="K11" i="8"/>
  <c r="G8" i="8"/>
  <c r="G9" i="8"/>
  <c r="G14" i="8"/>
  <c r="K2" i="8"/>
  <c r="K6" i="8"/>
  <c r="K10" i="8"/>
  <c r="K15" i="8"/>
  <c r="G20" i="8"/>
  <c r="L2" i="8"/>
  <c r="L6" i="8"/>
  <c r="L10" i="8"/>
  <c r="B29" i="8"/>
  <c r="B23" i="5"/>
  <c r="B24" i="5"/>
  <c r="B26" i="5"/>
  <c r="B28" i="5"/>
  <c r="B32" i="5"/>
  <c r="L15" i="8"/>
  <c r="L19" i="19"/>
  <c r="L20" i="19"/>
  <c r="L24" i="19"/>
  <c r="O3" i="19"/>
  <c r="K20" i="19"/>
  <c r="K24" i="19"/>
  <c r="N3" i="19"/>
  <c r="K19" i="19"/>
  <c r="K22" i="19"/>
  <c r="N5" i="19"/>
  <c r="N10" i="19"/>
  <c r="B16" i="17"/>
  <c r="B12" i="17"/>
  <c r="B15" i="17"/>
  <c r="K14" i="8"/>
  <c r="K18" i="8"/>
  <c r="L7" i="8"/>
  <c r="L11" i="8"/>
  <c r="L14" i="8"/>
  <c r="L18" i="8"/>
  <c r="L8" i="8"/>
  <c r="K8" i="8"/>
  <c r="L13" i="8"/>
  <c r="L17" i="8"/>
  <c r="L21" i="8"/>
  <c r="L25" i="8"/>
  <c r="K13" i="8"/>
  <c r="K17" i="8"/>
  <c r="K21" i="8"/>
  <c r="K25" i="8"/>
  <c r="L12" i="8"/>
  <c r="L16" i="8"/>
  <c r="K12" i="8"/>
  <c r="K16" i="8"/>
  <c r="L20" i="8"/>
  <c r="L24" i="8"/>
  <c r="O2" i="19"/>
  <c r="O7" i="19"/>
  <c r="O12" i="19"/>
  <c r="L22" i="19"/>
  <c r="O5" i="19"/>
  <c r="O10" i="19"/>
  <c r="K23" i="19"/>
  <c r="N4" i="19"/>
  <c r="O8" i="19"/>
  <c r="O13" i="19"/>
  <c r="L23" i="19"/>
  <c r="O4" i="19"/>
  <c r="O9" i="19"/>
  <c r="N2" i="19"/>
  <c r="N7" i="19"/>
  <c r="N12" i="19"/>
  <c r="B19" i="17"/>
  <c r="B22" i="17"/>
  <c r="K19" i="8"/>
  <c r="L19" i="8"/>
  <c r="K20" i="8"/>
  <c r="K24" i="8"/>
  <c r="O3" i="8"/>
  <c r="O2" i="8"/>
  <c r="O7" i="8"/>
  <c r="O12" i="8"/>
  <c r="N3" i="8"/>
  <c r="N2" i="8"/>
  <c r="N7" i="8"/>
  <c r="N12" i="8"/>
  <c r="N8" i="19"/>
  <c r="N13" i="19"/>
  <c r="N9" i="19"/>
  <c r="N15" i="19"/>
  <c r="O14" i="19"/>
  <c r="N14" i="19"/>
  <c r="O15" i="19"/>
  <c r="K22" i="8"/>
  <c r="N5" i="8"/>
  <c r="N10" i="8"/>
  <c r="L23" i="8"/>
  <c r="O4" i="8"/>
  <c r="O9" i="8"/>
  <c r="K23" i="8"/>
  <c r="N4" i="8"/>
  <c r="N9" i="8"/>
  <c r="L22" i="8"/>
  <c r="O5" i="8"/>
  <c r="O10" i="8"/>
  <c r="O8" i="8"/>
  <c r="O13" i="8"/>
  <c r="N8" i="8"/>
  <c r="N13" i="8"/>
  <c r="G10" i="19"/>
  <c r="G16" i="19"/>
  <c r="G20" i="19"/>
  <c r="G25" i="19"/>
  <c r="B32" i="19"/>
  <c r="B34" i="19"/>
  <c r="O15" i="8"/>
  <c r="O14" i="8"/>
  <c r="N14" i="8"/>
  <c r="N15" i="8"/>
  <c r="G10" i="8"/>
  <c r="G16" i="8"/>
  <c r="G18" i="8"/>
  <c r="G23" i="8"/>
  <c r="B32" i="8" s="1"/>
  <c r="B34" i="8" s="1"/>
  <c r="B18" i="13" l="1"/>
  <c r="B20" i="13" s="1"/>
  <c r="B17" i="2"/>
  <c r="B21" i="2" s="1"/>
  <c r="B21" i="3"/>
  <c r="B11" i="11"/>
  <c r="B18" i="11" s="1"/>
  <c r="B20" i="11" s="1"/>
  <c r="B23" i="6"/>
  <c r="B24" i="6" s="1"/>
  <c r="B26" i="6" s="1"/>
  <c r="B28" i="6" s="1"/>
  <c r="B30" i="21"/>
  <c r="G9" i="21"/>
  <c r="B31" i="21" s="1"/>
  <c r="G21" i="21"/>
  <c r="G22" i="21"/>
  <c r="B15" i="7"/>
  <c r="B18" i="7" s="1"/>
  <c r="H18" i="22"/>
  <c r="B13" i="22"/>
  <c r="H17" i="22"/>
  <c r="H21" i="22" s="1"/>
  <c r="B15" i="22" s="1"/>
  <c r="B17" i="22" s="1"/>
  <c r="K3" i="21"/>
  <c r="L2" i="21"/>
  <c r="L6" i="21" s="1"/>
  <c r="L10" i="21" s="1"/>
  <c r="L3" i="21"/>
  <c r="G14" i="21"/>
  <c r="B32" i="6" l="1"/>
  <c r="B14" i="22"/>
  <c r="K8" i="21"/>
  <c r="L7" i="21"/>
  <c r="L11" i="21" s="1"/>
  <c r="L8" i="21"/>
  <c r="K7" i="21"/>
  <c r="K11" i="21" s="1"/>
  <c r="K15" i="21" l="1"/>
  <c r="L15" i="21"/>
  <c r="L14" i="21"/>
  <c r="L18" i="21" s="1"/>
  <c r="K14" i="21"/>
  <c r="K18" i="21" s="1"/>
  <c r="K12" i="21"/>
  <c r="K16" i="21" s="1"/>
  <c r="L13" i="21"/>
  <c r="L17" i="21" s="1"/>
  <c r="L21" i="21" s="1"/>
  <c r="L26" i="21" s="1"/>
  <c r="L12" i="21"/>
  <c r="L16" i="21" s="1"/>
  <c r="K13" i="21"/>
  <c r="K17" i="21" s="1"/>
  <c r="K21" i="21" s="1"/>
  <c r="K26" i="21" s="1"/>
  <c r="K22" i="21" l="1"/>
  <c r="N5" i="21" s="1"/>
  <c r="N10" i="21" s="1"/>
  <c r="K23" i="21"/>
  <c r="N4" i="21" s="1"/>
  <c r="L23" i="21"/>
  <c r="O4" i="21" s="1"/>
  <c r="K20" i="21"/>
  <c r="K25" i="21" s="1"/>
  <c r="N3" i="21" s="1"/>
  <c r="L20" i="21"/>
  <c r="L25" i="21" s="1"/>
  <c r="O3" i="21" s="1"/>
  <c r="L19" i="21"/>
  <c r="K19" i="21"/>
  <c r="L22" i="21" s="1"/>
  <c r="O5" i="21" s="1"/>
  <c r="O10" i="21" s="1"/>
  <c r="O9" i="21" l="1"/>
  <c r="N9" i="21"/>
  <c r="N8" i="21"/>
  <c r="N13" i="21" s="1"/>
  <c r="O8" i="21"/>
  <c r="O13" i="21" s="1"/>
  <c r="O2" i="21"/>
  <c r="O7" i="21" s="1"/>
  <c r="O12" i="21" s="1"/>
  <c r="N2" i="21"/>
  <c r="N7" i="21" s="1"/>
  <c r="N12" i="21" s="1"/>
  <c r="O14" i="21" l="1"/>
  <c r="N15" i="21"/>
  <c r="N14" i="21"/>
  <c r="O15" i="21"/>
  <c r="G10" i="21" l="1"/>
  <c r="G17" i="21" s="1"/>
  <c r="G25" i="21" l="1"/>
  <c r="G19" i="21"/>
  <c r="B33" i="21" l="1"/>
  <c r="B35" i="21" s="1"/>
  <c r="B32" i="21"/>
</calcChain>
</file>

<file path=xl/sharedStrings.xml><?xml version="1.0" encoding="utf-8"?>
<sst xmlns="http://schemas.openxmlformats.org/spreadsheetml/2006/main" count="958" uniqueCount="580">
  <si>
    <t>Width</t>
    <phoneticPr fontId="6" type="noConversion"/>
  </si>
  <si>
    <t>Height</t>
    <phoneticPr fontId="6" type="noConversion"/>
  </si>
  <si>
    <t>N</t>
    <phoneticPr fontId="6" type="noConversion"/>
  </si>
  <si>
    <t>ImageSize</t>
    <phoneticPr fontId="6" type="noConversion"/>
  </si>
  <si>
    <t>Trow</t>
    <phoneticPr fontId="6" type="noConversion"/>
  </si>
  <si>
    <t>T_acq</t>
    <phoneticPr fontId="6" type="noConversion"/>
  </si>
  <si>
    <t>Tf</t>
    <phoneticPr fontId="6" type="noConversion"/>
  </si>
  <si>
    <t>Parameter setting：</t>
    <phoneticPr fontId="6" type="noConversion"/>
  </si>
  <si>
    <t>Calculation result:</t>
    <phoneticPr fontId="6" type="noConversion"/>
  </si>
  <si>
    <t>Width</t>
    <phoneticPr fontId="6" type="noConversion"/>
  </si>
  <si>
    <t>Height</t>
    <phoneticPr fontId="6" type="noConversion"/>
  </si>
  <si>
    <t>N</t>
    <phoneticPr fontId="6" type="noConversion"/>
  </si>
  <si>
    <t>ImageSize</t>
    <phoneticPr fontId="6" type="noConversion"/>
  </si>
  <si>
    <t>Trow</t>
    <phoneticPr fontId="6" type="noConversion"/>
  </si>
  <si>
    <t>T_acq</t>
    <phoneticPr fontId="6" type="noConversion"/>
  </si>
  <si>
    <t>Tf</t>
    <phoneticPr fontId="6" type="noConversion"/>
  </si>
  <si>
    <t>N</t>
    <phoneticPr fontId="6" type="noConversion"/>
  </si>
  <si>
    <t>Width</t>
    <phoneticPr fontId="6" type="noConversion"/>
  </si>
  <si>
    <t>Height</t>
    <phoneticPr fontId="6" type="noConversion"/>
  </si>
  <si>
    <t>N</t>
    <phoneticPr fontId="6" type="noConversion"/>
  </si>
  <si>
    <t>ImageSize</t>
    <phoneticPr fontId="6" type="noConversion"/>
  </si>
  <si>
    <t>行周期</t>
    <phoneticPr fontId="6" type="noConversion"/>
  </si>
  <si>
    <t>Trow</t>
    <phoneticPr fontId="6" type="noConversion"/>
  </si>
  <si>
    <t>T_acq</t>
    <phoneticPr fontId="6" type="noConversion"/>
  </si>
  <si>
    <t>int((roi_offset_y+16)/8)-1+2</t>
    <phoneticPr fontId="5" type="noConversion"/>
  </si>
  <si>
    <t>headblank_end+(offsety+16)-((int((roi_offset_y+16)/8)-1)*8)</t>
    <phoneticPr fontId="5" type="noConversion"/>
  </si>
  <si>
    <t>vref_start+roi_pic_height</t>
    <phoneticPr fontId="5" type="noConversion"/>
  </si>
  <si>
    <t>int((996-(roi_pic_height+roi_offset_y+16))/8)-1+tailblank_start</t>
    <phoneticPr fontId="5" type="noConversion"/>
  </si>
  <si>
    <t>tailblank_end+2</t>
    <phoneticPr fontId="5" type="noConversion"/>
  </si>
  <si>
    <t>exp_reg/1532</t>
    <phoneticPr fontId="5" type="noConversion"/>
  </si>
  <si>
    <t>if(exposure_line_tmp=0,0,exposure_line_tmp-1)</t>
    <phoneticPr fontId="5" type="noConversion"/>
  </si>
  <si>
    <t>max(exp_line_cnt+4,frame_period)</t>
    <phoneticPr fontId="5" type="noConversion"/>
  </si>
  <si>
    <t>frame_period_exp+1</t>
    <phoneticPr fontId="5" type="noConversion"/>
  </si>
  <si>
    <t>tPixclk*line_period</t>
    <phoneticPr fontId="5" type="noConversion"/>
  </si>
  <si>
    <t>frame_period_fpga*tRow</t>
    <phoneticPr fontId="5" type="noConversion"/>
  </si>
  <si>
    <t>Tf</t>
    <phoneticPr fontId="6" type="noConversion"/>
  </si>
  <si>
    <t>Width</t>
    <phoneticPr fontId="6" type="noConversion"/>
  </si>
  <si>
    <t>Height</t>
    <phoneticPr fontId="6" type="noConversion"/>
  </si>
  <si>
    <t>ImageSize</t>
    <phoneticPr fontId="6" type="noConversion"/>
  </si>
  <si>
    <t>int((roi_offset_y+16)/8)-1+2</t>
    <phoneticPr fontId="5" type="noConversion"/>
  </si>
  <si>
    <t>headblank_end+(offsety+16)-((int((roi_offset_y+16)/8)-1)*8)</t>
    <phoneticPr fontId="5" type="noConversion"/>
  </si>
  <si>
    <t>vref_start+roi_pic_height</t>
    <phoneticPr fontId="5" type="noConversion"/>
  </si>
  <si>
    <t>exp_reg/1532</t>
    <phoneticPr fontId="5" type="noConversion"/>
  </si>
  <si>
    <t>tPixclk*line_period</t>
    <phoneticPr fontId="5" type="noConversion"/>
  </si>
  <si>
    <t>frame_period_fpga*tRow</t>
    <phoneticPr fontId="5" type="noConversion"/>
  </si>
  <si>
    <t>Tf</t>
    <phoneticPr fontId="6" type="noConversion"/>
  </si>
  <si>
    <t>TriggerMode</t>
    <phoneticPr fontId="6" type="noConversion"/>
  </si>
  <si>
    <t>off</t>
  </si>
  <si>
    <t>AcquisitionFrameRate</t>
    <phoneticPr fontId="6" type="noConversion"/>
  </si>
  <si>
    <t>RegionMode</t>
    <phoneticPr fontId="6" type="noConversion"/>
  </si>
  <si>
    <t>Width_Region1</t>
    <phoneticPr fontId="6" type="noConversion"/>
  </si>
  <si>
    <t>RegionMode</t>
    <phoneticPr fontId="6" type="noConversion"/>
  </si>
  <si>
    <t>Trow</t>
    <phoneticPr fontId="6" type="noConversion"/>
  </si>
  <si>
    <t>T_acq</t>
    <phoneticPr fontId="6" type="noConversion"/>
  </si>
  <si>
    <t>Width_Region0</t>
    <phoneticPr fontId="6" type="noConversion"/>
  </si>
  <si>
    <t>Height_Region0</t>
    <phoneticPr fontId="6" type="noConversion"/>
  </si>
  <si>
    <t>OffsetX_Region0</t>
    <phoneticPr fontId="6" type="noConversion"/>
  </si>
  <si>
    <t>OffsetY_Region0</t>
    <phoneticPr fontId="6" type="noConversion"/>
  </si>
  <si>
    <t>roi</t>
    <phoneticPr fontId="6" type="noConversion"/>
  </si>
  <si>
    <t>y_start</t>
    <phoneticPr fontId="6" type="noConversion"/>
  </si>
  <si>
    <t>y_end</t>
    <phoneticPr fontId="6" type="noConversion"/>
  </si>
  <si>
    <t>x_start</t>
    <phoneticPr fontId="6" type="noConversion"/>
  </si>
  <si>
    <t>x_end</t>
    <phoneticPr fontId="6" type="noConversion"/>
  </si>
  <si>
    <t>排序</t>
    <phoneticPr fontId="6" type="noConversion"/>
  </si>
  <si>
    <t>compare0</t>
    <phoneticPr fontId="6" type="noConversion"/>
  </si>
  <si>
    <t>RegionMode</t>
    <phoneticPr fontId="6" type="noConversion"/>
  </si>
  <si>
    <t>on</t>
    <phoneticPr fontId="6" type="noConversion"/>
  </si>
  <si>
    <t>roi0</t>
    <phoneticPr fontId="6" type="noConversion"/>
  </si>
  <si>
    <t>roi1</t>
    <phoneticPr fontId="6" type="noConversion"/>
  </si>
  <si>
    <t>roi2</t>
    <phoneticPr fontId="6" type="noConversion"/>
  </si>
  <si>
    <t>roi3</t>
    <phoneticPr fontId="6" type="noConversion"/>
  </si>
  <si>
    <t>compare1</t>
    <phoneticPr fontId="6" type="noConversion"/>
  </si>
  <si>
    <t>等效x_start</t>
    <phoneticPr fontId="6" type="noConversion"/>
  </si>
  <si>
    <t>等效x_end</t>
    <phoneticPr fontId="6" type="noConversion"/>
  </si>
  <si>
    <t>Height_Region1</t>
    <phoneticPr fontId="6" type="noConversion"/>
  </si>
  <si>
    <t>等效Width</t>
    <phoneticPr fontId="6" type="noConversion"/>
  </si>
  <si>
    <t>OffsetX_Region1</t>
    <phoneticPr fontId="6" type="noConversion"/>
  </si>
  <si>
    <t>等效Height</t>
    <phoneticPr fontId="6" type="noConversion"/>
  </si>
  <si>
    <t>OffsetY_Region1</t>
    <phoneticPr fontId="6" type="noConversion"/>
  </si>
  <si>
    <t>compare2</t>
    <phoneticPr fontId="6" type="noConversion"/>
  </si>
  <si>
    <t>fot_ss</t>
    <phoneticPr fontId="6" type="noConversion"/>
  </si>
  <si>
    <t>ns</t>
    <phoneticPr fontId="6" type="noConversion"/>
  </si>
  <si>
    <t>Width_Region2</t>
    <phoneticPr fontId="6" type="noConversion"/>
  </si>
  <si>
    <t>fot_ss_int</t>
    <phoneticPr fontId="6" type="noConversion"/>
  </si>
  <si>
    <t>ns</t>
    <phoneticPr fontId="6" type="noConversion"/>
  </si>
  <si>
    <t>Height_Region2</t>
    <phoneticPr fontId="6" type="noConversion"/>
  </si>
  <si>
    <t>OffsetX_Region2</t>
    <phoneticPr fontId="6" type="noConversion"/>
  </si>
  <si>
    <t>黑行周期</t>
    <phoneticPr fontId="6" type="noConversion"/>
  </si>
  <si>
    <t>OffsetY_Region2</t>
    <phoneticPr fontId="6" type="noConversion"/>
  </si>
  <si>
    <t>ROI帧周期</t>
    <phoneticPr fontId="6" type="noConversion"/>
  </si>
  <si>
    <t>us</t>
    <phoneticPr fontId="6" type="noConversion"/>
  </si>
  <si>
    <t>曝光帧周期</t>
    <phoneticPr fontId="6" type="noConversion"/>
  </si>
  <si>
    <t>Width_Region3</t>
    <phoneticPr fontId="6" type="noConversion"/>
  </si>
  <si>
    <t>等效帧周期</t>
    <phoneticPr fontId="6" type="noConversion"/>
  </si>
  <si>
    <t>Height_Region3</t>
    <phoneticPr fontId="6" type="noConversion"/>
  </si>
  <si>
    <t>传输图像大小</t>
    <phoneticPr fontId="6" type="noConversion"/>
  </si>
  <si>
    <t>byte</t>
    <phoneticPr fontId="6" type="noConversion"/>
  </si>
  <si>
    <t>OffsetX_Region3</t>
    <phoneticPr fontId="6" type="noConversion"/>
  </si>
  <si>
    <t>最大带宽限制帧周期</t>
    <phoneticPr fontId="6" type="noConversion"/>
  </si>
  <si>
    <t>OffsetY_Region3</t>
    <phoneticPr fontId="6" type="noConversion"/>
  </si>
  <si>
    <t>带宽限制帧周期</t>
    <phoneticPr fontId="6" type="noConversion"/>
  </si>
  <si>
    <t>帧率控制帧周期</t>
    <phoneticPr fontId="6" type="noConversion"/>
  </si>
  <si>
    <t>帧周期</t>
    <phoneticPr fontId="6" type="noConversion"/>
  </si>
  <si>
    <t>Tf</t>
    <phoneticPr fontId="6" type="noConversion"/>
  </si>
  <si>
    <t>Width</t>
    <phoneticPr fontId="6" type="noConversion"/>
  </si>
  <si>
    <t>Height</t>
    <phoneticPr fontId="6" type="noConversion"/>
  </si>
  <si>
    <t>xtrig_low</t>
    <phoneticPr fontId="6" type="noConversion"/>
  </si>
  <si>
    <t>N</t>
    <phoneticPr fontId="6" type="noConversion"/>
  </si>
  <si>
    <t>N</t>
    <phoneticPr fontId="6" type="noConversion"/>
  </si>
  <si>
    <t>ImageSize</t>
    <phoneticPr fontId="6" type="noConversion"/>
  </si>
  <si>
    <t>Trow</t>
    <phoneticPr fontId="6" type="noConversion"/>
  </si>
  <si>
    <t>T_acq</t>
    <phoneticPr fontId="6" type="noConversion"/>
  </si>
  <si>
    <t>Tf</t>
    <phoneticPr fontId="6" type="noConversion"/>
  </si>
  <si>
    <t>xtrig_low</t>
    <phoneticPr fontId="6" type="noConversion"/>
  </si>
  <si>
    <t>Width</t>
    <phoneticPr fontId="6" type="noConversion"/>
  </si>
  <si>
    <t>Height</t>
    <phoneticPr fontId="6" type="noConversion"/>
  </si>
  <si>
    <t>Width</t>
    <phoneticPr fontId="6" type="noConversion"/>
  </si>
  <si>
    <t>Height</t>
    <phoneticPr fontId="6" type="noConversion"/>
  </si>
  <si>
    <t>xtrig_low</t>
    <phoneticPr fontId="6" type="noConversion"/>
  </si>
  <si>
    <t>N</t>
    <phoneticPr fontId="6" type="noConversion"/>
  </si>
  <si>
    <t>ImageSize</t>
    <phoneticPr fontId="6" type="noConversion"/>
  </si>
  <si>
    <t>Trow</t>
    <phoneticPr fontId="6" type="noConversion"/>
  </si>
  <si>
    <t>T_acq</t>
    <phoneticPr fontId="6" type="noConversion"/>
  </si>
  <si>
    <t>Tf</t>
    <phoneticPr fontId="6" type="noConversion"/>
  </si>
  <si>
    <t>Width</t>
    <phoneticPr fontId="6" type="noConversion"/>
  </si>
  <si>
    <t>Height</t>
    <phoneticPr fontId="6" type="noConversion"/>
  </si>
  <si>
    <t>TriggerMode</t>
    <phoneticPr fontId="6" type="noConversion"/>
  </si>
  <si>
    <t>N</t>
    <phoneticPr fontId="6" type="noConversion"/>
  </si>
  <si>
    <t>Tf_con</t>
    <phoneticPr fontId="6" type="noConversion"/>
  </si>
  <si>
    <t>Tf_trig</t>
    <phoneticPr fontId="6" type="noConversion"/>
  </si>
  <si>
    <t>Tf_bd</t>
    <phoneticPr fontId="6" type="noConversion"/>
  </si>
  <si>
    <t>Tf_fps</t>
    <phoneticPr fontId="6" type="noConversion"/>
  </si>
  <si>
    <t>Width</t>
    <phoneticPr fontId="6" type="noConversion"/>
  </si>
  <si>
    <t>Height</t>
    <phoneticPr fontId="6" type="noConversion"/>
  </si>
  <si>
    <t>xtrig_low</t>
    <phoneticPr fontId="6" type="noConversion"/>
  </si>
  <si>
    <t>N</t>
    <phoneticPr fontId="6" type="noConversion"/>
  </si>
  <si>
    <t>T_acq</t>
    <phoneticPr fontId="6" type="noConversion"/>
  </si>
  <si>
    <t>translated from the chinese version</t>
    <phoneticPr fontId="5" type="noConversion"/>
  </si>
  <si>
    <t>Revision History</t>
    <phoneticPr fontId="5" type="noConversion"/>
  </si>
  <si>
    <t>Date</t>
    <phoneticPr fontId="5" type="noConversion"/>
  </si>
  <si>
    <t>Revision</t>
    <phoneticPr fontId="5" type="noConversion"/>
  </si>
  <si>
    <t>Version</t>
    <phoneticPr fontId="5" type="noConversion"/>
  </si>
  <si>
    <t>roi</t>
    <phoneticPr fontId="6" type="noConversion"/>
  </si>
  <si>
    <t>y_start</t>
    <phoneticPr fontId="6" type="noConversion"/>
  </si>
  <si>
    <t>y_end</t>
    <phoneticPr fontId="6" type="noConversion"/>
  </si>
  <si>
    <t>x_start</t>
    <phoneticPr fontId="6" type="noConversion"/>
  </si>
  <si>
    <t>x_end</t>
    <phoneticPr fontId="6" type="noConversion"/>
  </si>
  <si>
    <t>排序</t>
    <phoneticPr fontId="6" type="noConversion"/>
  </si>
  <si>
    <t>compare0</t>
    <phoneticPr fontId="6" type="noConversion"/>
  </si>
  <si>
    <t>RegionMode</t>
    <phoneticPr fontId="6" type="noConversion"/>
  </si>
  <si>
    <t>on</t>
    <phoneticPr fontId="6" type="noConversion"/>
  </si>
  <si>
    <t>roi0</t>
    <phoneticPr fontId="6" type="noConversion"/>
  </si>
  <si>
    <t>Width_Region0</t>
    <phoneticPr fontId="6" type="noConversion"/>
  </si>
  <si>
    <t>roi1</t>
    <phoneticPr fontId="6" type="noConversion"/>
  </si>
  <si>
    <t>Height_Region0</t>
    <phoneticPr fontId="6" type="noConversion"/>
  </si>
  <si>
    <t>roi2</t>
    <phoneticPr fontId="6" type="noConversion"/>
  </si>
  <si>
    <t>OffsetX_Region0</t>
    <phoneticPr fontId="6" type="noConversion"/>
  </si>
  <si>
    <t>roi3</t>
    <phoneticPr fontId="6" type="noConversion"/>
  </si>
  <si>
    <t>OffsetY_Region0</t>
    <phoneticPr fontId="6" type="noConversion"/>
  </si>
  <si>
    <t>compare1</t>
    <phoneticPr fontId="6" type="noConversion"/>
  </si>
  <si>
    <t>RegionMode</t>
    <phoneticPr fontId="6" type="noConversion"/>
  </si>
  <si>
    <t>等效x_start</t>
    <phoneticPr fontId="6" type="noConversion"/>
  </si>
  <si>
    <t>等效x_end</t>
    <phoneticPr fontId="6" type="noConversion"/>
  </si>
  <si>
    <t>Width_Region1</t>
    <phoneticPr fontId="6" type="noConversion"/>
  </si>
  <si>
    <t>Height_Region1</t>
    <phoneticPr fontId="6" type="noConversion"/>
  </si>
  <si>
    <t>等效Width</t>
    <phoneticPr fontId="6" type="noConversion"/>
  </si>
  <si>
    <t>OffsetX_Region1</t>
    <phoneticPr fontId="6" type="noConversion"/>
  </si>
  <si>
    <t>等效Height</t>
    <phoneticPr fontId="6" type="noConversion"/>
  </si>
  <si>
    <t>OffsetY_Region1</t>
    <phoneticPr fontId="6" type="noConversion"/>
  </si>
  <si>
    <t>compare2</t>
    <phoneticPr fontId="6" type="noConversion"/>
  </si>
  <si>
    <t>RegionMode</t>
    <phoneticPr fontId="6" type="noConversion"/>
  </si>
  <si>
    <t>fot_ss</t>
    <phoneticPr fontId="6" type="noConversion"/>
  </si>
  <si>
    <t>clk</t>
    <phoneticPr fontId="6" type="noConversion"/>
  </si>
  <si>
    <t>Width_Region2</t>
    <phoneticPr fontId="6" type="noConversion"/>
  </si>
  <si>
    <t>fot_ss_int</t>
    <phoneticPr fontId="6" type="noConversion"/>
  </si>
  <si>
    <t>clk</t>
    <phoneticPr fontId="6" type="noConversion"/>
  </si>
  <si>
    <t>Height_Region2</t>
    <phoneticPr fontId="6" type="noConversion"/>
  </si>
  <si>
    <t>行周期</t>
    <phoneticPr fontId="6" type="noConversion"/>
  </si>
  <si>
    <t>OffsetX_Region2</t>
    <phoneticPr fontId="6" type="noConversion"/>
  </si>
  <si>
    <t>黑行周期</t>
    <phoneticPr fontId="6" type="noConversion"/>
  </si>
  <si>
    <t>OffsetY_Region2</t>
    <phoneticPr fontId="6" type="noConversion"/>
  </si>
  <si>
    <t>读出时间（非交叠）</t>
    <phoneticPr fontId="6" type="noConversion"/>
  </si>
  <si>
    <t>us</t>
    <phoneticPr fontId="6" type="noConversion"/>
  </si>
  <si>
    <t>曝光帧周期</t>
    <phoneticPr fontId="6" type="noConversion"/>
  </si>
  <si>
    <t>us</t>
    <phoneticPr fontId="6" type="noConversion"/>
  </si>
  <si>
    <t>Width_Region3</t>
    <phoneticPr fontId="6" type="noConversion"/>
  </si>
  <si>
    <t>交叠最小帧周期</t>
    <phoneticPr fontId="6" type="noConversion"/>
  </si>
  <si>
    <t>Height_Region3</t>
    <phoneticPr fontId="6" type="noConversion"/>
  </si>
  <si>
    <t>非交叠最小帧周期</t>
    <phoneticPr fontId="6" type="noConversion"/>
  </si>
  <si>
    <t>OffsetX_Region3</t>
    <phoneticPr fontId="6" type="noConversion"/>
  </si>
  <si>
    <t>等效帧周期</t>
    <phoneticPr fontId="6" type="noConversion"/>
  </si>
  <si>
    <t>OffsetY_Region3</t>
    <phoneticPr fontId="6" type="noConversion"/>
  </si>
  <si>
    <t>传输图像大小</t>
    <phoneticPr fontId="6" type="noConversion"/>
  </si>
  <si>
    <t>Texp(us)</t>
    <phoneticPr fontId="6" type="noConversion"/>
  </si>
  <si>
    <t>最大带宽限制帧周期</t>
    <phoneticPr fontId="6" type="noConversion"/>
  </si>
  <si>
    <t>PixelSize（8/10）</t>
    <phoneticPr fontId="6" type="noConversion"/>
  </si>
  <si>
    <t>带宽限制帧周期</t>
    <phoneticPr fontId="6" type="noConversion"/>
  </si>
  <si>
    <t>ThroughputLimit(Bps)</t>
    <phoneticPr fontId="6" type="noConversion"/>
  </si>
  <si>
    <t>帧率控制帧周期</t>
    <phoneticPr fontId="6" type="noConversion"/>
  </si>
  <si>
    <t>BandWidth_USB(Bps)</t>
    <phoneticPr fontId="6" type="noConversion"/>
  </si>
  <si>
    <t>AcquisitionFrameRateEnable</t>
    <phoneticPr fontId="6" type="noConversion"/>
  </si>
  <si>
    <t>AcquisitionFrameRate</t>
    <phoneticPr fontId="6" type="noConversion"/>
  </si>
  <si>
    <t>ImageSize</t>
    <phoneticPr fontId="6" type="noConversion"/>
  </si>
  <si>
    <t>Trow</t>
    <phoneticPr fontId="6" type="noConversion"/>
  </si>
  <si>
    <t>T_acq</t>
    <phoneticPr fontId="6" type="noConversion"/>
  </si>
  <si>
    <t>Tf</t>
    <phoneticPr fontId="6" type="noConversion"/>
  </si>
  <si>
    <t>F</t>
    <phoneticPr fontId="6" type="noConversion"/>
  </si>
  <si>
    <t>OffsetY</t>
    <phoneticPr fontId="6" type="noConversion"/>
  </si>
  <si>
    <t>DeviceLinkThroughputLimit(Bps)</t>
    <phoneticPr fontId="6" type="noConversion"/>
  </si>
  <si>
    <t>ExposureTime(us)</t>
    <phoneticPr fontId="6" type="noConversion"/>
  </si>
  <si>
    <t>FPS</t>
    <phoneticPr fontId="6" type="noConversion"/>
  </si>
  <si>
    <t>OffsetY</t>
    <phoneticPr fontId="6" type="noConversion"/>
  </si>
  <si>
    <t>AcquisitionFrameRateMode</t>
    <phoneticPr fontId="6" type="noConversion"/>
  </si>
  <si>
    <t>off</t>
    <phoneticPr fontId="5" type="noConversion"/>
  </si>
  <si>
    <t>AcquisitionFrameRate</t>
    <phoneticPr fontId="6" type="noConversion"/>
  </si>
  <si>
    <t>MaxUSBControllerThroughput(Bps)</t>
    <phoneticPr fontId="6" type="noConversion"/>
  </si>
  <si>
    <t>PixelFormat(8/10)</t>
    <phoneticPr fontId="6" type="noConversion"/>
  </si>
  <si>
    <t>PixelFormat(8/12)</t>
    <phoneticPr fontId="6" type="noConversion"/>
  </si>
  <si>
    <t>PixelFormat(8/10)</t>
    <phoneticPr fontId="6" type="noConversion"/>
  </si>
  <si>
    <t>MaxUSBControllerThroughput(Bps)</t>
    <phoneticPr fontId="6" type="noConversion"/>
  </si>
  <si>
    <t>PixelFormat(8/10)</t>
    <phoneticPr fontId="6" type="noConversion"/>
  </si>
  <si>
    <t>MaxUSBControllerThroughput(Bps)</t>
    <phoneticPr fontId="6" type="noConversion"/>
  </si>
  <si>
    <t>PixelFormat(8/10)</t>
    <phoneticPr fontId="6" type="noConversion"/>
  </si>
  <si>
    <t>PixelFormat(8/10)</t>
    <phoneticPr fontId="6" type="noConversion"/>
  </si>
  <si>
    <t>PixelFormat(8/10)</t>
    <phoneticPr fontId="6" type="noConversion"/>
  </si>
  <si>
    <t>PixelFormat(8/10)</t>
    <phoneticPr fontId="6" type="noConversion"/>
  </si>
  <si>
    <t>FPS</t>
    <phoneticPr fontId="6" type="noConversion"/>
  </si>
  <si>
    <t>PixelFormat(8/10)</t>
    <phoneticPr fontId="6" type="noConversion"/>
  </si>
  <si>
    <t>PixelFormat(8/10)</t>
    <phoneticPr fontId="6" type="noConversion"/>
  </si>
  <si>
    <t>PixelFormat(8/12)</t>
    <phoneticPr fontId="6" type="noConversion"/>
  </si>
  <si>
    <t>modify the naming conventions</t>
    <phoneticPr fontId="5" type="noConversion"/>
  </si>
  <si>
    <t>1、modify the parameter range, step size and default value
2、translation error message
3、modify the calculation formula
4、unified format</t>
    <phoneticPr fontId="5" type="noConversion"/>
  </si>
  <si>
    <t>V1.1</t>
    <phoneticPr fontId="5" type="noConversion"/>
  </si>
  <si>
    <t>V1.0</t>
    <phoneticPr fontId="5" type="noConversion"/>
  </si>
  <si>
    <t>V1.2</t>
    <phoneticPr fontId="5" type="noConversion"/>
  </si>
  <si>
    <t>V1.3</t>
    <phoneticPr fontId="5" type="noConversion"/>
  </si>
  <si>
    <t>V1.4</t>
    <phoneticPr fontId="5" type="noConversion"/>
  </si>
  <si>
    <t xml:space="preserve">modify AcquisitionFrameRateMode from "off" to "on" for MER-134-93U3x </t>
    <phoneticPr fontId="5" type="noConversion"/>
  </si>
  <si>
    <t>FPS</t>
    <phoneticPr fontId="6" type="noConversion"/>
  </si>
  <si>
    <t>Tf</t>
    <phoneticPr fontId="6" type="noConversion"/>
  </si>
  <si>
    <t>T_acq</t>
    <phoneticPr fontId="6" type="noConversion"/>
  </si>
  <si>
    <t>Trow</t>
    <phoneticPr fontId="6" type="noConversion"/>
  </si>
  <si>
    <t>行周期</t>
    <phoneticPr fontId="6" type="noConversion"/>
  </si>
  <si>
    <t>ImageSize</t>
    <phoneticPr fontId="6" type="noConversion"/>
  </si>
  <si>
    <t>N</t>
    <phoneticPr fontId="6" type="noConversion"/>
  </si>
  <si>
    <t>AcquisitionFrameRate</t>
  </si>
  <si>
    <t>AcquisitionFrameRateMode</t>
  </si>
  <si>
    <t>MaxUSBControllerThroughput(Bps)</t>
  </si>
  <si>
    <t>帧周期</t>
    <phoneticPr fontId="6" type="noConversion"/>
  </si>
  <si>
    <t>DeviceLinkThroughputLimit(Bps)</t>
  </si>
  <si>
    <t>帧率控制帧周期</t>
    <phoneticPr fontId="6" type="noConversion"/>
  </si>
  <si>
    <t>PixelFormat(8/10)</t>
  </si>
  <si>
    <t>带宽限制帧周期</t>
    <phoneticPr fontId="6" type="noConversion"/>
  </si>
  <si>
    <t>ExposureTime(us)</t>
  </si>
  <si>
    <t>最大带宽限制帧周期</t>
    <phoneticPr fontId="6" type="noConversion"/>
  </si>
  <si>
    <t>OffsetY_Region3</t>
  </si>
  <si>
    <t>byte</t>
    <phoneticPr fontId="6" type="noConversion"/>
  </si>
  <si>
    <t>传输图像大小</t>
    <phoneticPr fontId="6" type="noConversion"/>
  </si>
  <si>
    <t>OffsetX_Region3</t>
  </si>
  <si>
    <t>us</t>
    <phoneticPr fontId="6" type="noConversion"/>
  </si>
  <si>
    <t>等效帧周期</t>
    <phoneticPr fontId="6" type="noConversion"/>
  </si>
  <si>
    <t>Height_Region3</t>
  </si>
  <si>
    <t>曝光帧周期</t>
    <phoneticPr fontId="6" type="noConversion"/>
  </si>
  <si>
    <t>Width_Region3</t>
  </si>
  <si>
    <t>ROI帧周期</t>
    <phoneticPr fontId="6" type="noConversion"/>
  </si>
  <si>
    <t>RegionMode</t>
  </si>
  <si>
    <t>ns</t>
    <phoneticPr fontId="6" type="noConversion"/>
  </si>
  <si>
    <t>内置黑行周期</t>
    <phoneticPr fontId="6" type="noConversion"/>
  </si>
  <si>
    <t>OffsetY_Region2</t>
  </si>
  <si>
    <t>黑行周期</t>
    <phoneticPr fontId="6" type="noConversion"/>
  </si>
  <si>
    <t>OffsetX_Region2</t>
  </si>
  <si>
    <t>Height_Region2</t>
  </si>
  <si>
    <t>fot_ss_int</t>
    <phoneticPr fontId="6" type="noConversion"/>
  </si>
  <si>
    <t>Width_Region2</t>
  </si>
  <si>
    <t>fot_ss</t>
    <phoneticPr fontId="6" type="noConversion"/>
  </si>
  <si>
    <t>compare2</t>
    <phoneticPr fontId="6" type="noConversion"/>
  </si>
  <si>
    <t>OffsetY_Region1</t>
  </si>
  <si>
    <t>等效Height</t>
    <phoneticPr fontId="6" type="noConversion"/>
  </si>
  <si>
    <t>OffsetX_Region1</t>
  </si>
  <si>
    <t>等效Width</t>
    <phoneticPr fontId="6" type="noConversion"/>
  </si>
  <si>
    <t>Height_Region1</t>
  </si>
  <si>
    <t>Width_Region1</t>
  </si>
  <si>
    <t>等效x_end</t>
    <phoneticPr fontId="6" type="noConversion"/>
  </si>
  <si>
    <t>等效x_start</t>
    <phoneticPr fontId="6" type="noConversion"/>
  </si>
  <si>
    <t>compare1</t>
    <phoneticPr fontId="6" type="noConversion"/>
  </si>
  <si>
    <t>OffsetY_Region0</t>
  </si>
  <si>
    <t>roi3</t>
    <phoneticPr fontId="6" type="noConversion"/>
  </si>
  <si>
    <t>OffsetX_Region0</t>
  </si>
  <si>
    <t>roi2</t>
    <phoneticPr fontId="6" type="noConversion"/>
  </si>
  <si>
    <t>roi1</t>
    <phoneticPr fontId="6" type="noConversion"/>
  </si>
  <si>
    <t>roi0</t>
    <phoneticPr fontId="6" type="noConversion"/>
  </si>
  <si>
    <t>on</t>
    <phoneticPr fontId="6" type="noConversion"/>
  </si>
  <si>
    <t>RegionMode</t>
    <phoneticPr fontId="6" type="noConversion"/>
  </si>
  <si>
    <t>compare0</t>
    <phoneticPr fontId="6" type="noConversion"/>
  </si>
  <si>
    <t>排序</t>
    <phoneticPr fontId="6" type="noConversion"/>
  </si>
  <si>
    <t>x_end</t>
    <phoneticPr fontId="6" type="noConversion"/>
  </si>
  <si>
    <t>x_start</t>
    <phoneticPr fontId="6" type="noConversion"/>
  </si>
  <si>
    <t>y_end</t>
    <phoneticPr fontId="6" type="noConversion"/>
  </si>
  <si>
    <t>y_start</t>
    <phoneticPr fontId="6" type="noConversion"/>
  </si>
  <si>
    <t>roi</t>
    <phoneticPr fontId="6" type="noConversion"/>
  </si>
  <si>
    <t>V1.5</t>
  </si>
  <si>
    <t>AcquisitionFrameRate</t>
    <phoneticPr fontId="6" type="noConversion"/>
  </si>
  <si>
    <t>AcquisitionFrameRateMode</t>
    <phoneticPr fontId="6" type="noConversion"/>
  </si>
  <si>
    <t>V1.6</t>
  </si>
  <si>
    <t>add MER-051-120U3x，fix the AcquisitionFrameRateMode error for MER-134-93U3x</t>
    <phoneticPr fontId="5" type="noConversion"/>
  </si>
  <si>
    <t>V1.7</t>
  </si>
  <si>
    <t>fix the exposure frame period error for MER-134-93U3x</t>
    <phoneticPr fontId="5" type="noConversion"/>
  </si>
  <si>
    <t>fix the error for MER-134-93U3x</t>
    <phoneticPr fontId="5" type="noConversion"/>
  </si>
  <si>
    <t>V1.8</t>
  </si>
  <si>
    <t>delete MER-132-30U3x</t>
    <phoneticPr fontId="5" type="noConversion"/>
  </si>
  <si>
    <t>V1.9</t>
    <phoneticPr fontId="5" type="noConversion"/>
  </si>
  <si>
    <t>modify format</t>
    <phoneticPr fontId="5" type="noConversion"/>
  </si>
  <si>
    <t>Modify the default bandwidth values for MER-302-56U3X and MER-503-36U3X</t>
    <phoneticPr fontId="5" type="noConversion"/>
  </si>
  <si>
    <t>根据demo设置计算出的等效ROI</t>
    <phoneticPr fontId="6" type="noConversion"/>
  </si>
  <si>
    <t>Width</t>
    <phoneticPr fontId="6" type="noConversion"/>
  </si>
  <si>
    <t>Height</t>
    <phoneticPr fontId="6" type="noConversion"/>
  </si>
  <si>
    <t>sensor实际输出的ROI</t>
    <phoneticPr fontId="6" type="noConversion"/>
  </si>
  <si>
    <t>Width</t>
    <phoneticPr fontId="6" type="noConversion"/>
  </si>
  <si>
    <t>Height</t>
    <phoneticPr fontId="6" type="noConversion"/>
  </si>
  <si>
    <t>tRow</t>
    <phoneticPr fontId="6" type="noConversion"/>
  </si>
  <si>
    <t>ns</t>
    <phoneticPr fontId="6" type="noConversion"/>
  </si>
  <si>
    <t>tConfig</t>
    <phoneticPr fontId="6" type="noConversion"/>
  </si>
  <si>
    <t>us</t>
    <phoneticPr fontId="6" type="noConversion"/>
  </si>
  <si>
    <t>tXVS2RD</t>
    <phoneticPr fontId="6" type="noConversion"/>
  </si>
  <si>
    <t>tXVS2CPP</t>
    <phoneticPr fontId="6" type="noConversion"/>
  </si>
  <si>
    <t>Vbmin</t>
    <phoneticPr fontId="6" type="noConversion"/>
  </si>
  <si>
    <t>SHS1_MIN</t>
    <phoneticPr fontId="6" type="noConversion"/>
  </si>
  <si>
    <t>transfer_size</t>
    <phoneticPr fontId="6" type="noConversion"/>
  </si>
  <si>
    <t>Byte</t>
    <phoneticPr fontId="6" type="noConversion"/>
  </si>
  <si>
    <t>tFrame_ROI</t>
    <phoneticPr fontId="6" type="noConversion"/>
  </si>
  <si>
    <t>tFrame_Exp</t>
    <phoneticPr fontId="6" type="noConversion"/>
  </si>
  <si>
    <t>tFrame_Rate</t>
    <phoneticPr fontId="6" type="noConversion"/>
  </si>
  <si>
    <t>tFrame_limit</t>
    <phoneticPr fontId="6" type="noConversion"/>
  </si>
  <si>
    <t>tFrame_Final</t>
    <phoneticPr fontId="6" type="noConversion"/>
  </si>
  <si>
    <t>TriggerMode</t>
  </si>
  <si>
    <t>N</t>
    <phoneticPr fontId="6" type="noConversion"/>
  </si>
  <si>
    <t>ImageSize</t>
    <phoneticPr fontId="6" type="noConversion"/>
  </si>
  <si>
    <t>Trow</t>
    <phoneticPr fontId="6" type="noConversion"/>
  </si>
  <si>
    <t>T_acq</t>
    <phoneticPr fontId="6" type="noConversion"/>
  </si>
  <si>
    <t>V1.10</t>
  </si>
  <si>
    <t>add MER-630-60U3x</t>
    <phoneticPr fontId="5" type="noConversion"/>
  </si>
  <si>
    <t>V1.11</t>
  </si>
  <si>
    <t xml:space="preserve">Modify resolution of MER-630-60U3x </t>
    <phoneticPr fontId="5" type="noConversion"/>
  </si>
  <si>
    <t>fix bug for MER-630-60U3x</t>
    <phoneticPr fontId="5" type="noConversion"/>
  </si>
  <si>
    <t>V1.12</t>
    <phoneticPr fontId="5" type="noConversion"/>
  </si>
  <si>
    <t>tolerance_line</t>
    <phoneticPr fontId="5" type="noConversion"/>
  </si>
  <si>
    <t>V1.13</t>
  </si>
  <si>
    <t>fix bug for MER-630-60U3x</t>
    <phoneticPr fontId="5" type="noConversion"/>
  </si>
  <si>
    <t>V1.14</t>
  </si>
  <si>
    <t xml:space="preserve">modify ROI number of MER-051-120U3x </t>
    <phoneticPr fontId="5" type="noConversion"/>
  </si>
  <si>
    <t>Width_Region</t>
    <phoneticPr fontId="5" type="noConversion"/>
  </si>
  <si>
    <t>Height_Region</t>
    <phoneticPr fontId="5" type="noConversion"/>
  </si>
  <si>
    <t>V1.15</t>
  </si>
  <si>
    <t>modify ROI number of MER-630-60U3x</t>
    <phoneticPr fontId="5" type="noConversion"/>
  </si>
  <si>
    <t>Width_Region</t>
    <phoneticPr fontId="5" type="noConversion"/>
  </si>
  <si>
    <t>Height_Region</t>
    <phoneticPr fontId="5" type="noConversion"/>
  </si>
  <si>
    <t>V1.16</t>
  </si>
  <si>
    <t>fix bug for MER-051-120U3x、MER-134-93U3x and MER-630-60U3x</t>
    <phoneticPr fontId="5" type="noConversion"/>
  </si>
  <si>
    <t>V1.17</t>
  </si>
  <si>
    <t>V1.18</t>
  </si>
  <si>
    <t>根据demo设置计算出的等效ROI</t>
    <phoneticPr fontId="6" type="noConversion"/>
  </si>
  <si>
    <t>Width_Region</t>
    <phoneticPr fontId="6" type="noConversion"/>
  </si>
  <si>
    <t>Width</t>
    <phoneticPr fontId="6" type="noConversion"/>
  </si>
  <si>
    <t>Height_Region</t>
    <phoneticPr fontId="6" type="noConversion"/>
  </si>
  <si>
    <t>sensor实际输出的ROI</t>
    <phoneticPr fontId="6" type="noConversion"/>
  </si>
  <si>
    <t>Width</t>
    <phoneticPr fontId="6" type="noConversion"/>
  </si>
  <si>
    <t>Height</t>
    <phoneticPr fontId="6" type="noConversion"/>
  </si>
  <si>
    <t>tRow</t>
    <phoneticPr fontId="6" type="noConversion"/>
  </si>
  <si>
    <t>ns</t>
    <phoneticPr fontId="6" type="noConversion"/>
  </si>
  <si>
    <t>tConfig</t>
    <phoneticPr fontId="6" type="noConversion"/>
  </si>
  <si>
    <t>us</t>
    <phoneticPr fontId="6" type="noConversion"/>
  </si>
  <si>
    <t>tXVS2RD</t>
    <phoneticPr fontId="6" type="noConversion"/>
  </si>
  <si>
    <t>N</t>
    <phoneticPr fontId="6" type="noConversion"/>
  </si>
  <si>
    <t>tXVS2CPP</t>
    <phoneticPr fontId="6" type="noConversion"/>
  </si>
  <si>
    <t>ImageSize</t>
    <phoneticPr fontId="6" type="noConversion"/>
  </si>
  <si>
    <t>tolerance_line</t>
    <phoneticPr fontId="6" type="noConversion"/>
  </si>
  <si>
    <t>tRow</t>
    <phoneticPr fontId="6" type="noConversion"/>
  </si>
  <si>
    <t>Trow</t>
    <phoneticPr fontId="6" type="noConversion"/>
  </si>
  <si>
    <t>Vbmin</t>
    <phoneticPr fontId="6" type="noConversion"/>
  </si>
  <si>
    <t>T_acq</t>
    <phoneticPr fontId="6" type="noConversion"/>
  </si>
  <si>
    <t>SHS1_MIN</t>
    <phoneticPr fontId="6" type="noConversion"/>
  </si>
  <si>
    <t>tRow</t>
    <phoneticPr fontId="6" type="noConversion"/>
  </si>
  <si>
    <t>Tf</t>
    <phoneticPr fontId="6" type="noConversion"/>
  </si>
  <si>
    <t>transfer_size</t>
    <phoneticPr fontId="6" type="noConversion"/>
  </si>
  <si>
    <t>Byte</t>
    <phoneticPr fontId="6" type="noConversion"/>
  </si>
  <si>
    <t>tFrame_ROI</t>
    <phoneticPr fontId="6" type="noConversion"/>
  </si>
  <si>
    <t>tRow</t>
    <phoneticPr fontId="6" type="noConversion"/>
  </si>
  <si>
    <t>tFrame_Exp</t>
    <phoneticPr fontId="6" type="noConversion"/>
  </si>
  <si>
    <t>tFrame_Rate</t>
    <phoneticPr fontId="6" type="noConversion"/>
  </si>
  <si>
    <t>tFrame_limit</t>
    <phoneticPr fontId="6" type="noConversion"/>
  </si>
  <si>
    <t>tFrame_tri</t>
    <phoneticPr fontId="6" type="noConversion"/>
  </si>
  <si>
    <t>tFrame_Final</t>
    <phoneticPr fontId="6" type="noConversion"/>
  </si>
  <si>
    <t>ns</t>
    <phoneticPr fontId="6" type="noConversion"/>
  </si>
  <si>
    <t>V1.19</t>
  </si>
  <si>
    <t>add MER-2000-19U3x</t>
    <phoneticPr fontId="5" type="noConversion"/>
  </si>
  <si>
    <t>fix bug for MER-2000-19U3x when pixel format is 12bit</t>
    <phoneticPr fontId="5" type="noConversion"/>
  </si>
  <si>
    <t>PixelFormat(8/12)</t>
    <phoneticPr fontId="5" type="noConversion"/>
  </si>
  <si>
    <t>V1.20</t>
  </si>
  <si>
    <t>V1.21</t>
  </si>
  <si>
    <t>fix bug for MER-2000-19U3x</t>
    <phoneticPr fontId="5" type="noConversion"/>
  </si>
  <si>
    <t>change Vbmin to 38 for MER-2000-19U3x</t>
    <phoneticPr fontId="5" type="noConversion"/>
  </si>
  <si>
    <t>V1.22</t>
  </si>
  <si>
    <t>change acquisitionframerate default value to 19.6 for MER-2000-19U3x</t>
    <phoneticPr fontId="5" type="noConversion"/>
  </si>
  <si>
    <t>V1.23</t>
  </si>
  <si>
    <t>fix error for MER-2000-19U3x</t>
    <phoneticPr fontId="5" type="noConversion"/>
  </si>
  <si>
    <t>V1.24</t>
  </si>
  <si>
    <t>fix bug for MER-630-60U3x</t>
    <phoneticPr fontId="5" type="noConversion"/>
  </si>
  <si>
    <t>fix error for MER-630-60U3x</t>
    <phoneticPr fontId="5" type="noConversion"/>
  </si>
  <si>
    <t>V1.25</t>
    <phoneticPr fontId="5" type="noConversion"/>
  </si>
  <si>
    <t>V1.26</t>
    <phoneticPr fontId="5" type="noConversion"/>
  </si>
  <si>
    <t>add MER-041-436U3x</t>
    <phoneticPr fontId="5" type="noConversion"/>
  </si>
  <si>
    <t>V1.27</t>
    <phoneticPr fontId="5" type="noConversion"/>
  </si>
  <si>
    <t>modify default PixelFormat of MER-041-436U3x</t>
    <phoneticPr fontId="5" type="noConversion"/>
  </si>
  <si>
    <t>V1.28</t>
  </si>
  <si>
    <t>add MER-502-79U3M POL</t>
    <phoneticPr fontId="5" type="noConversion"/>
  </si>
  <si>
    <t>USBInterface</t>
    <phoneticPr fontId="6" type="noConversion"/>
  </si>
  <si>
    <t>USB3.0</t>
  </si>
  <si>
    <t>接口类型</t>
    <phoneticPr fontId="6" type="noConversion"/>
  </si>
  <si>
    <t>像素格式</t>
    <phoneticPr fontId="6" type="noConversion"/>
  </si>
  <si>
    <t>最大值</t>
    <phoneticPr fontId="6" type="noConversion"/>
  </si>
  <si>
    <t>最小值</t>
    <phoneticPr fontId="6" type="noConversion"/>
  </si>
  <si>
    <t>步长</t>
    <phoneticPr fontId="6" type="noConversion"/>
  </si>
  <si>
    <t>USB2.0</t>
    <phoneticPr fontId="6" type="noConversion"/>
  </si>
  <si>
    <t>USB3.0</t>
    <phoneticPr fontId="6" type="noConversion"/>
  </si>
  <si>
    <t>V1.29</t>
  </si>
  <si>
    <t>V1.30</t>
  </si>
  <si>
    <t>V1.31</t>
    <phoneticPr fontId="5" type="noConversion"/>
  </si>
  <si>
    <t>updata MER-132-43U3X</t>
    <phoneticPr fontId="5" type="noConversion"/>
  </si>
  <si>
    <t>fix bug for MER-132-43U3X</t>
    <phoneticPr fontId="5" type="noConversion"/>
  </si>
  <si>
    <t>8bit mode range from 2000000 to 50000000,step 1000000;12bit mode range from 4000000 to 50000000,step 1000000</t>
    <phoneticPr fontId="6" type="noConversion"/>
  </si>
  <si>
    <t>8bit mode range from 35000000 to 400000000,step 1000000;12bit mode range from 70000000 to 400000000,step 1000000</t>
    <phoneticPr fontId="6" type="noConversion"/>
  </si>
  <si>
    <t>V1.32</t>
  </si>
  <si>
    <t>fix bug for MER-132-43U3X</t>
    <phoneticPr fontId="5" type="noConversion"/>
  </si>
  <si>
    <t>V1.33</t>
  </si>
  <si>
    <t>add MER-160-227U3X</t>
    <phoneticPr fontId="5" type="noConversion"/>
  </si>
  <si>
    <t>Parameter setting：</t>
    <phoneticPr fontId="6" type="noConversion"/>
  </si>
  <si>
    <t>Width</t>
    <phoneticPr fontId="6" type="noConversion"/>
  </si>
  <si>
    <t>Height</t>
    <phoneticPr fontId="6" type="noConversion"/>
  </si>
  <si>
    <t>ExposureTime(us)</t>
    <phoneticPr fontId="6" type="noConversion"/>
  </si>
  <si>
    <t>PixelFormat(8/10)</t>
    <phoneticPr fontId="6" type="noConversion"/>
  </si>
  <si>
    <t>MaxUSBControllerThroughput(Bps)</t>
    <phoneticPr fontId="6" type="noConversion"/>
  </si>
  <si>
    <t>ImageSize</t>
    <phoneticPr fontId="6" type="noConversion"/>
  </si>
  <si>
    <t>Trow</t>
    <phoneticPr fontId="6" type="noConversion"/>
  </si>
  <si>
    <t>T_acq</t>
    <phoneticPr fontId="6" type="noConversion"/>
  </si>
  <si>
    <t>AcquisitionFrameRateMode</t>
    <phoneticPr fontId="6" type="noConversion"/>
  </si>
  <si>
    <t>AcquisitionFrameRate</t>
    <phoneticPr fontId="6" type="noConversion"/>
  </si>
  <si>
    <t>Tf</t>
    <phoneticPr fontId="6" type="noConversion"/>
  </si>
  <si>
    <t>Calculation result:</t>
    <phoneticPr fontId="6" type="noConversion"/>
  </si>
  <si>
    <t>FPS</t>
    <phoneticPr fontId="6" type="noConversion"/>
  </si>
  <si>
    <t>BinningHorizontal</t>
    <phoneticPr fontId="6" type="noConversion"/>
  </si>
  <si>
    <t>BinningVertical</t>
    <phoneticPr fontId="6" type="noConversion"/>
  </si>
  <si>
    <t>binning系数</t>
    <phoneticPr fontId="6" type="noConversion"/>
  </si>
  <si>
    <t>最大宽度</t>
    <phoneticPr fontId="6" type="noConversion"/>
  </si>
  <si>
    <t>最大高度</t>
    <phoneticPr fontId="6" type="noConversion"/>
  </si>
  <si>
    <t>Input range from 64 to 2048,and is an integer multiple of 8</t>
  </si>
  <si>
    <t>Input range from 64 to 1024,and is an integer multiple of 8</t>
    <phoneticPr fontId="5" type="noConversion"/>
  </si>
  <si>
    <t>Input range from 64 to 512,and is an integer multiple of 8</t>
    <phoneticPr fontId="5" type="noConversion"/>
  </si>
  <si>
    <t>Input range from 64 to 1536,and is an integer multiple of 2</t>
    <phoneticPr fontId="5" type="noConversion"/>
  </si>
  <si>
    <t>Input range from 64 to 768,and is an integer multiple of 2</t>
    <phoneticPr fontId="5" type="noConversion"/>
  </si>
  <si>
    <t>Input range from 64 to 384,and is an integer multiple of 2</t>
    <phoneticPr fontId="5" type="noConversion"/>
  </si>
  <si>
    <t>Input parameter error，please input parameter according to message</t>
    <phoneticPr fontId="5" type="noConversion"/>
  </si>
  <si>
    <t>V1.34</t>
  </si>
  <si>
    <t>updata MER-132-43U3X</t>
    <phoneticPr fontId="5" type="noConversion"/>
  </si>
  <si>
    <t>MaxUSBControllerThroughput(Bps)</t>
    <phoneticPr fontId="6" type="noConversion"/>
  </si>
  <si>
    <t>V1.35</t>
  </si>
  <si>
    <t>fix bug for MER-301-125U3X</t>
    <phoneticPr fontId="5" type="noConversion"/>
  </si>
  <si>
    <t>V1.36</t>
  </si>
  <si>
    <t>FPS</t>
    <phoneticPr fontId="6" type="noConversion"/>
  </si>
  <si>
    <t>Calculation result:</t>
    <phoneticPr fontId="6" type="noConversion"/>
  </si>
  <si>
    <t>Tf_fps</t>
  </si>
  <si>
    <t>AcquisitionFrameRateMode</t>
    <phoneticPr fontId="5" type="noConversion"/>
  </si>
  <si>
    <t>Tf</t>
    <phoneticPr fontId="6" type="noConversion"/>
  </si>
  <si>
    <t>T_acq</t>
    <phoneticPr fontId="6" type="noConversion"/>
  </si>
  <si>
    <t>Trow</t>
    <phoneticPr fontId="6" type="noConversion"/>
  </si>
  <si>
    <t>ImageSize</t>
    <phoneticPr fontId="6" type="noConversion"/>
  </si>
  <si>
    <t>N</t>
    <phoneticPr fontId="6" type="noConversion"/>
  </si>
  <si>
    <t>TriggerMode</t>
    <phoneticPr fontId="6" type="noConversion"/>
  </si>
  <si>
    <t>MaxUSBControllerThroughput(Bps)</t>
    <phoneticPr fontId="6" type="noConversion"/>
  </si>
  <si>
    <t>DeviceLinkThroughputLimit(Bps)</t>
    <phoneticPr fontId="6" type="noConversion"/>
  </si>
  <si>
    <t>PixelFormat(8/12)</t>
    <phoneticPr fontId="6" type="noConversion"/>
  </si>
  <si>
    <t>ExposureTime(us)</t>
    <phoneticPr fontId="6" type="noConversion"/>
  </si>
  <si>
    <t>Height</t>
    <phoneticPr fontId="6" type="noConversion"/>
  </si>
  <si>
    <t>Width</t>
    <phoneticPr fontId="6" type="noConversion"/>
  </si>
  <si>
    <t>Parameter setting：</t>
    <phoneticPr fontId="6" type="noConversion"/>
  </si>
  <si>
    <t>FPS</t>
    <phoneticPr fontId="6" type="noConversion"/>
  </si>
  <si>
    <t>Calculation result:</t>
    <phoneticPr fontId="6" type="noConversion"/>
  </si>
  <si>
    <t>Tf</t>
    <phoneticPr fontId="6" type="noConversion"/>
  </si>
  <si>
    <t>T_acq</t>
    <phoneticPr fontId="6" type="noConversion"/>
  </si>
  <si>
    <t>Trow</t>
    <phoneticPr fontId="6" type="noConversion"/>
  </si>
  <si>
    <t>ImageSize</t>
    <phoneticPr fontId="6" type="noConversion"/>
  </si>
  <si>
    <t>N</t>
    <phoneticPr fontId="6" type="noConversion"/>
  </si>
  <si>
    <t>TriggerMode</t>
    <phoneticPr fontId="6" type="noConversion"/>
  </si>
  <si>
    <t>MaxUSBControllerThroughput(Bps)</t>
    <phoneticPr fontId="6" type="noConversion"/>
  </si>
  <si>
    <t>DeviceLinkThroughputLimit(Bps)</t>
    <phoneticPr fontId="6" type="noConversion"/>
  </si>
  <si>
    <t>PixelFormat(8/12)</t>
    <phoneticPr fontId="6" type="noConversion"/>
  </si>
  <si>
    <t>ExposureTime(us)</t>
    <phoneticPr fontId="6" type="noConversion"/>
  </si>
  <si>
    <t>Height</t>
    <phoneticPr fontId="6" type="noConversion"/>
  </si>
  <si>
    <t>Width</t>
    <phoneticPr fontId="6" type="noConversion"/>
  </si>
  <si>
    <t>Parameter setting：</t>
    <phoneticPr fontId="6" type="noConversion"/>
  </si>
  <si>
    <t>V1.37</t>
  </si>
  <si>
    <t>updata MER-301-125U3X</t>
    <phoneticPr fontId="5" type="noConversion"/>
  </si>
  <si>
    <t>modify MER-1070-14U3X min exposure time</t>
    <phoneticPr fontId="5" type="noConversion"/>
  </si>
  <si>
    <t>DecimationHorizontal</t>
    <phoneticPr fontId="6" type="noConversion"/>
  </si>
  <si>
    <t>DecimationVertical</t>
    <phoneticPr fontId="6" type="noConversion"/>
  </si>
  <si>
    <t>Input range from 64 to 800,and is an integer multiple of 16</t>
    <phoneticPr fontId="5" type="noConversion"/>
  </si>
  <si>
    <t>Input range from 64 to 400,and is an integer multiple of 16</t>
    <phoneticPr fontId="5" type="noConversion"/>
  </si>
  <si>
    <t>Input range from 64 to 200,and is an integer multiple of 16</t>
    <phoneticPr fontId="5" type="noConversion"/>
  </si>
  <si>
    <t>Input range from 64 to 600,and is an integer multiple of 2</t>
    <phoneticPr fontId="5" type="noConversion"/>
  </si>
  <si>
    <t>Input range from 64 to 300,and is an integer multiple of 2</t>
    <phoneticPr fontId="5" type="noConversion"/>
  </si>
  <si>
    <t>Input range from 64 to 150,and is an integer multiple of 2</t>
    <phoneticPr fontId="5" type="noConversion"/>
  </si>
  <si>
    <t>V1.38</t>
    <phoneticPr fontId="5" type="noConversion"/>
  </si>
  <si>
    <t>updata  MER-050-560U3X</t>
    <phoneticPr fontId="5" type="noConversion"/>
  </si>
  <si>
    <t>V1.39</t>
  </si>
  <si>
    <t>updata  MER-050-560U3X</t>
    <phoneticPr fontId="5" type="noConversion"/>
  </si>
  <si>
    <t>V1.40</t>
  </si>
  <si>
    <t>updata  MER-050-560U4X</t>
  </si>
  <si>
    <t>V1.41</t>
  </si>
  <si>
    <t>updata  MER-050-560U5X</t>
  </si>
  <si>
    <t>V1.42</t>
  </si>
  <si>
    <t>add MER-1220-32U3X</t>
    <phoneticPr fontId="5" type="noConversion"/>
  </si>
  <si>
    <t>V1.43</t>
  </si>
  <si>
    <t>updata  MER-1070-14U3X and MER-1520-13U3X</t>
    <phoneticPr fontId="5" type="noConversion"/>
  </si>
  <si>
    <t xml:space="preserve">fix bug for MER-301-125U3X </t>
    <phoneticPr fontId="5" type="noConversion"/>
  </si>
  <si>
    <t>V1.44</t>
  </si>
  <si>
    <t>fix bug for MER-1220-32U3X</t>
    <phoneticPr fontId="5" type="noConversion"/>
  </si>
  <si>
    <t>接口类型</t>
    <phoneticPr fontId="6" type="noConversion"/>
  </si>
  <si>
    <t>像素格式</t>
    <phoneticPr fontId="6" type="noConversion"/>
  </si>
  <si>
    <t>最大值</t>
    <phoneticPr fontId="6" type="noConversion"/>
  </si>
  <si>
    <t>最小值</t>
    <phoneticPr fontId="6" type="noConversion"/>
  </si>
  <si>
    <t>步长</t>
    <phoneticPr fontId="6" type="noConversion"/>
  </si>
  <si>
    <t>8bit mode range from 35000000 to 400000000,step 1000000;
10bit mode range from 70000000 to 400000000,step 1000000</t>
    <phoneticPr fontId="6" type="noConversion"/>
  </si>
  <si>
    <t>8bit mode range from 1000000 to 50000000,step 1000000;
10bit mode range from 20000000 to 50000000,step 1000000</t>
    <phoneticPr fontId="6" type="noConversion"/>
  </si>
  <si>
    <t>V1.45</t>
  </si>
  <si>
    <t>MER-051-120U3x support USB2.0 interface</t>
    <phoneticPr fontId="5" type="noConversion"/>
  </si>
  <si>
    <t>V1.46</t>
  </si>
  <si>
    <t>fix bug for MER-1070-14U3X</t>
    <phoneticPr fontId="5" type="noConversion"/>
  </si>
  <si>
    <t>V1.47</t>
    <phoneticPr fontId="5" type="noConversion"/>
  </si>
  <si>
    <t>updata  MER-050-560U3X</t>
    <phoneticPr fontId="5" type="noConversion"/>
  </si>
  <si>
    <t xml:space="preserve"> </t>
    <phoneticPr fontId="5" type="noConversion"/>
  </si>
  <si>
    <t>V1.48</t>
  </si>
  <si>
    <t>fix bug for MER-1520-14U3C and MER-1810-21U3C</t>
    <phoneticPr fontId="5" type="noConversion"/>
  </si>
  <si>
    <t xml:space="preserve">fix bug for MER-1220-32U3X </t>
    <phoneticPr fontId="5" type="noConversion"/>
  </si>
  <si>
    <t>Input range from 64 to 640,and is an integer multiple of 16</t>
    <phoneticPr fontId="5" type="noConversion"/>
  </si>
  <si>
    <t>Input range from 64 to 320,and is an integer multiple of 16</t>
    <phoneticPr fontId="5" type="noConversion"/>
  </si>
  <si>
    <t>Input range from 64 to 160,and is an integer multiple of 16</t>
    <phoneticPr fontId="5" type="noConversion"/>
  </si>
  <si>
    <t>Input range from 64 to 480,and is an integer multiple of 2</t>
    <phoneticPr fontId="5" type="noConversion"/>
  </si>
  <si>
    <t>Input range from 64 to 240,and is an integer multiple of 2</t>
    <phoneticPr fontId="5" type="noConversion"/>
  </si>
  <si>
    <t>Input range from 64 to 120,and is an integer multiple of 2</t>
    <phoneticPr fontId="5" type="noConversion"/>
  </si>
  <si>
    <t>Input range from 64 to 1280,and is an integer multiple of 16</t>
    <phoneticPr fontId="5" type="noConversion"/>
  </si>
  <si>
    <t>Input range from 64 to 320,and is an integer multiple of 16</t>
    <phoneticPr fontId="5" type="noConversion"/>
  </si>
  <si>
    <t>Input range from 64 to 1024,and is an integer multiple of 2</t>
    <phoneticPr fontId="5" type="noConversion"/>
  </si>
  <si>
    <t>Input range from 64 to 640,and is an integer multiple of 2</t>
    <phoneticPr fontId="5" type="noConversion"/>
  </si>
  <si>
    <t>Input range from 64 to 256,and is an integer multiple of 2</t>
    <phoneticPr fontId="5" type="noConversion"/>
  </si>
  <si>
    <t>V1.49</t>
    <phoneticPr fontId="5" type="noConversion"/>
  </si>
  <si>
    <t xml:space="preserve">updata  MER-031-860U3X and MER-131-210U3X 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</si>
  <si>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</si>
  <si>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</si>
  <si>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</t>
    <phoneticPr fontId="5" type="noConversion"/>
  </si>
  <si>
    <t>V1.50</t>
  </si>
  <si>
    <t>updata  MER-1520-13U3X</t>
    <phoneticPr fontId="5" type="noConversion"/>
  </si>
  <si>
    <t>V1.51</t>
  </si>
  <si>
    <t>updata  MER-302-56U3X</t>
    <phoneticPr fontId="5" type="noConversion"/>
  </si>
  <si>
    <t>V1.52</t>
    <phoneticPr fontId="5" type="noConversion"/>
  </si>
  <si>
    <t>updata  MER-050-560U3X(NIR)</t>
    <phoneticPr fontId="5" type="noConversion"/>
  </si>
  <si>
    <t>Input range from 64 to 2448,and is an integer multiple of 8</t>
    <phoneticPr fontId="5" type="noConversion"/>
  </si>
  <si>
    <t>Input range from 64 to 1224,and is an integer multiple of 8</t>
    <phoneticPr fontId="5" type="noConversion"/>
  </si>
  <si>
    <t>Input range from 64 to 608,and is an integer multiple of 8</t>
    <phoneticPr fontId="5" type="noConversion"/>
  </si>
  <si>
    <t>Input range from 64 to 2048,and is an integer multiple of 2</t>
    <phoneticPr fontId="5" type="noConversion"/>
  </si>
  <si>
    <t>Input range from 64 to 512,and is an integer multiple of 2</t>
    <phoneticPr fontId="5" type="noConversion"/>
  </si>
  <si>
    <t>V1.53</t>
    <phoneticPr fontId="5" type="noConversion"/>
  </si>
  <si>
    <t>updata  MER-502-79U3X</t>
    <phoneticPr fontId="5" type="noConversion"/>
  </si>
  <si>
    <t>V1.54</t>
    <phoneticPr fontId="5" type="noConversion"/>
  </si>
  <si>
    <t>Input range from 64 to 2748,and is an integer multiple of 2</t>
    <phoneticPr fontId="5" type="noConversion"/>
  </si>
  <si>
    <t>Input range from 64 to 1374,and is an integer multiple of 2</t>
    <phoneticPr fontId="5" type="noConversion"/>
  </si>
  <si>
    <t>Input range from 64 to 686,and is an integer multiple of 2</t>
    <phoneticPr fontId="5" type="noConversion"/>
  </si>
  <si>
    <t>Input range from 64 to 3840,and is an integer multiple of 4</t>
    <phoneticPr fontId="5" type="noConversion"/>
  </si>
  <si>
    <t>Input range from 64 to 1920,and is an integer multiple of 4</t>
    <phoneticPr fontId="5" type="noConversion"/>
  </si>
  <si>
    <t>Input range from 64 to 960,and is an integer multiple of 4</t>
    <phoneticPr fontId="5" type="noConversion"/>
  </si>
  <si>
    <t>V1.55</t>
  </si>
  <si>
    <t>updata  MER-1070-14U3X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</si>
</sst>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华文细黑"/>
      <family val="3"/>
      <charset val="134"/>
    </font>
    <font>
      <b/>
      <sz val="18"/>
      <color theme="0"/>
      <name val="华文细黑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106">
    <xf numFmtId="0" fontId="0" fillId="0" borderId="0" xfId="0"/>
    <xf numFmtId="0" fontId="0" fillId="2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3" borderId="4" xfId="0" applyFont="1" applyFill="1" applyBorder="1" applyAlignment="1" applyProtection="1">
      <alignment vertical="center"/>
    </xf>
    <xf numFmtId="0" fontId="7" fillId="3" borderId="4" xfId="0" applyFont="1" applyFill="1" applyBorder="1" applyAlignment="1" applyProtection="1">
      <alignment horizontal="left" vertical="center"/>
      <protection locked="0"/>
    </xf>
    <xf numFmtId="0" fontId="7" fillId="3" borderId="4" xfId="0" applyFont="1" applyFill="1" applyBorder="1" applyAlignment="1" applyProtection="1">
      <alignment horizontal="left" vertical="center"/>
    </xf>
    <xf numFmtId="0" fontId="8" fillId="4" borderId="4" xfId="0" applyFont="1" applyFill="1" applyBorder="1" applyAlignment="1" applyProtection="1">
      <alignment vertical="center"/>
    </xf>
    <xf numFmtId="2" fontId="8" fillId="4" borderId="4" xfId="0" applyNumberFormat="1" applyFont="1" applyFill="1" applyBorder="1" applyAlignment="1" applyProtection="1">
      <alignment horizontal="left" vertical="center"/>
    </xf>
    <xf numFmtId="0" fontId="4" fillId="3" borderId="4" xfId="0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7" fillId="5" borderId="4" xfId="0" applyFont="1" applyFill="1" applyBorder="1" applyAlignment="1" applyProtection="1">
      <alignment vertical="center"/>
    </xf>
    <xf numFmtId="0" fontId="7" fillId="5" borderId="4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7" fillId="6" borderId="4" xfId="0" applyFont="1" applyFill="1" applyBorder="1" applyAlignment="1" applyProtection="1">
      <alignment vertical="center"/>
    </xf>
    <xf numFmtId="0" fontId="7" fillId="6" borderId="4" xfId="0" applyFont="1" applyFill="1" applyBorder="1" applyAlignment="1" applyProtection="1">
      <alignment horizontal="left" vertical="center"/>
      <protection locked="0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7" fillId="7" borderId="4" xfId="0" applyFont="1" applyFill="1" applyBorder="1" applyAlignment="1" applyProtection="1">
      <alignment vertical="center"/>
    </xf>
    <xf numFmtId="0" fontId="7" fillId="7" borderId="4" xfId="0" applyFont="1" applyFill="1" applyBorder="1" applyAlignment="1" applyProtection="1">
      <alignment horizontal="left" vertical="center"/>
      <protection locked="0"/>
    </xf>
    <xf numFmtId="0" fontId="7" fillId="8" borderId="4" xfId="0" applyFont="1" applyFill="1" applyBorder="1" applyAlignment="1" applyProtection="1">
      <alignment vertical="center"/>
    </xf>
    <xf numFmtId="0" fontId="7" fillId="8" borderId="4" xfId="0" applyFont="1" applyFill="1" applyBorder="1" applyAlignment="1" applyProtection="1">
      <alignment horizontal="left" vertical="center"/>
      <protection locked="0"/>
    </xf>
    <xf numFmtId="0" fontId="0" fillId="0" borderId="0" xfId="0" applyBorder="1" applyAlignment="1">
      <alignment vertical="center"/>
    </xf>
    <xf numFmtId="0" fontId="7" fillId="3" borderId="4" xfId="0" applyFont="1" applyFill="1" applyBorder="1" applyAlignment="1" applyProtection="1">
      <alignment vertical="center" wrapText="1"/>
    </xf>
    <xf numFmtId="0" fontId="0" fillId="0" borderId="4" xfId="0" applyBorder="1" applyAlignment="1">
      <alignment horizontal="left" vertical="center"/>
    </xf>
    <xf numFmtId="0" fontId="3" fillId="0" borderId="0" xfId="1">
      <alignment vertical="center"/>
    </xf>
    <xf numFmtId="2" fontId="8" fillId="4" borderId="4" xfId="1" applyNumberFormat="1" applyFont="1" applyFill="1" applyBorder="1" applyAlignment="1" applyProtection="1">
      <alignment horizontal="left" vertical="center"/>
    </xf>
    <xf numFmtId="0" fontId="8" fillId="4" borderId="4" xfId="1" applyFont="1" applyFill="1" applyBorder="1" applyProtection="1">
      <alignment vertical="center"/>
    </xf>
    <xf numFmtId="0" fontId="7" fillId="3" borderId="4" xfId="1" applyFont="1" applyFill="1" applyBorder="1" applyAlignment="1" applyProtection="1">
      <alignment horizontal="left" vertical="center"/>
    </xf>
    <xf numFmtId="0" fontId="7" fillId="3" borderId="4" xfId="1" applyFont="1" applyFill="1" applyBorder="1" applyProtection="1">
      <alignment vertical="center"/>
    </xf>
    <xf numFmtId="0" fontId="3" fillId="0" borderId="0" xfId="1" applyBorder="1">
      <alignment vertical="center"/>
    </xf>
    <xf numFmtId="0" fontId="7" fillId="3" borderId="4" xfId="1" applyFont="1" applyFill="1" applyBorder="1" applyAlignment="1" applyProtection="1">
      <alignment horizontal="left" vertical="center"/>
      <protection locked="0"/>
    </xf>
    <xf numFmtId="0" fontId="7" fillId="3" borderId="4" xfId="2" applyFont="1" applyFill="1" applyBorder="1" applyAlignment="1" applyProtection="1">
      <alignment vertical="center"/>
    </xf>
    <xf numFmtId="0" fontId="3" fillId="0" borderId="17" xfId="1" applyBorder="1">
      <alignment vertical="center"/>
    </xf>
    <xf numFmtId="0" fontId="3" fillId="0" borderId="14" xfId="1" applyBorder="1">
      <alignment vertical="center"/>
    </xf>
    <xf numFmtId="0" fontId="3" fillId="0" borderId="13" xfId="1" applyBorder="1">
      <alignment vertical="center"/>
    </xf>
    <xf numFmtId="0" fontId="3" fillId="0" borderId="12" xfId="1" applyBorder="1">
      <alignment vertical="center"/>
    </xf>
    <xf numFmtId="0" fontId="3" fillId="0" borderId="4" xfId="1" applyBorder="1">
      <alignment vertical="center"/>
    </xf>
    <xf numFmtId="0" fontId="3" fillId="0" borderId="7" xfId="1" applyBorder="1">
      <alignment vertical="center"/>
    </xf>
    <xf numFmtId="0" fontId="3" fillId="0" borderId="5" xfId="1" applyBorder="1">
      <alignment vertical="center"/>
    </xf>
    <xf numFmtId="0" fontId="7" fillId="8" borderId="4" xfId="1" applyFont="1" applyFill="1" applyBorder="1" applyAlignment="1" applyProtection="1">
      <alignment horizontal="left" vertical="center"/>
      <protection locked="0"/>
    </xf>
    <xf numFmtId="0" fontId="7" fillId="8" borderId="4" xfId="2" applyFont="1" applyFill="1" applyBorder="1" applyAlignment="1" applyProtection="1">
      <alignment vertical="center"/>
    </xf>
    <xf numFmtId="0" fontId="7" fillId="7" borderId="4" xfId="1" applyFont="1" applyFill="1" applyBorder="1" applyAlignment="1" applyProtection="1">
      <alignment horizontal="left" vertical="center"/>
      <protection locked="0"/>
    </xf>
    <xf numFmtId="0" fontId="7" fillId="7" borderId="4" xfId="2" applyFont="1" applyFill="1" applyBorder="1" applyAlignment="1" applyProtection="1">
      <alignment vertical="center"/>
    </xf>
    <xf numFmtId="0" fontId="7" fillId="6" borderId="4" xfId="1" applyFont="1" applyFill="1" applyBorder="1" applyAlignment="1" applyProtection="1">
      <alignment horizontal="left" vertical="center"/>
      <protection locked="0"/>
    </xf>
    <xf numFmtId="0" fontId="7" fillId="6" borderId="4" xfId="2" applyFont="1" applyFill="1" applyBorder="1" applyAlignment="1" applyProtection="1">
      <alignment vertical="center"/>
    </xf>
    <xf numFmtId="0" fontId="3" fillId="0" borderId="4" xfId="1" applyBorder="1" applyAlignment="1">
      <alignment horizontal="center" vertical="center"/>
    </xf>
    <xf numFmtId="0" fontId="3" fillId="0" borderId="4" xfId="1" applyFill="1" applyBorder="1">
      <alignment vertical="center"/>
    </xf>
    <xf numFmtId="0" fontId="7" fillId="5" borderId="4" xfId="1" applyFont="1" applyFill="1" applyBorder="1" applyAlignment="1" applyProtection="1">
      <alignment horizontal="left" vertical="center"/>
      <protection locked="0"/>
    </xf>
    <xf numFmtId="0" fontId="7" fillId="5" borderId="4" xfId="2" applyFont="1" applyFill="1" applyBorder="1" applyAlignment="1" applyProtection="1">
      <alignment vertical="center"/>
    </xf>
    <xf numFmtId="0" fontId="3" fillId="0" borderId="16" xfId="1" applyBorder="1">
      <alignment vertical="center"/>
    </xf>
    <xf numFmtId="0" fontId="3" fillId="0" borderId="15" xfId="1" applyBorder="1">
      <alignment vertical="center"/>
    </xf>
    <xf numFmtId="0" fontId="3" fillId="0" borderId="1" xfId="1" applyBorder="1">
      <alignment vertical="center"/>
    </xf>
    <xf numFmtId="0" fontId="3" fillId="0" borderId="7" xfId="1" applyFill="1" applyBorder="1">
      <alignment vertical="center"/>
    </xf>
    <xf numFmtId="0" fontId="3" fillId="0" borderId="6" xfId="1" applyFill="1" applyBorder="1">
      <alignment vertical="center"/>
    </xf>
    <xf numFmtId="0" fontId="3" fillId="0" borderId="6" xfId="1" applyBorder="1">
      <alignment vertical="center"/>
    </xf>
    <xf numFmtId="0" fontId="10" fillId="0" borderId="0" xfId="3">
      <alignment vertical="center"/>
    </xf>
    <xf numFmtId="0" fontId="2" fillId="0" borderId="0" xfId="4">
      <alignment vertical="center"/>
    </xf>
    <xf numFmtId="0" fontId="2" fillId="0" borderId="4" xfId="4" applyBorder="1">
      <alignment vertical="center"/>
    </xf>
    <xf numFmtId="0" fontId="7" fillId="3" borderId="4" xfId="4" applyFont="1" applyFill="1" applyBorder="1" applyProtection="1">
      <alignment vertical="center"/>
    </xf>
    <xf numFmtId="0" fontId="7" fillId="3" borderId="4" xfId="4" applyFont="1" applyFill="1" applyBorder="1" applyAlignment="1" applyProtection="1">
      <alignment horizontal="left" vertical="center"/>
      <protection locked="0"/>
    </xf>
    <xf numFmtId="0" fontId="7" fillId="3" borderId="4" xfId="4" applyFont="1" applyFill="1" applyBorder="1" applyAlignment="1" applyProtection="1">
      <alignment horizontal="left" vertical="center"/>
    </xf>
    <xf numFmtId="0" fontId="8" fillId="4" borderId="4" xfId="4" applyFont="1" applyFill="1" applyBorder="1" applyProtection="1">
      <alignment vertical="center"/>
    </xf>
    <xf numFmtId="2" fontId="8" fillId="4" borderId="4" xfId="4" applyNumberFormat="1" applyFont="1" applyFill="1" applyBorder="1" applyAlignment="1" applyProtection="1">
      <alignment horizontal="left" vertical="center"/>
    </xf>
    <xf numFmtId="0" fontId="1" fillId="0" borderId="4" xfId="4" applyFont="1" applyBorder="1">
      <alignment vertical="center"/>
    </xf>
    <xf numFmtId="0" fontId="7" fillId="9" borderId="4" xfId="2" applyFont="1" applyFill="1" applyBorder="1" applyAlignment="1" applyProtection="1">
      <alignment vertical="center"/>
    </xf>
    <xf numFmtId="0" fontId="7" fillId="9" borderId="4" xfId="4" applyFont="1" applyFill="1" applyBorder="1" applyAlignment="1" applyProtection="1">
      <alignment horizontal="left" vertical="center"/>
      <protection locked="0"/>
    </xf>
    <xf numFmtId="0" fontId="7" fillId="9" borderId="4" xfId="0" applyFont="1" applyFill="1" applyBorder="1" applyAlignment="1" applyProtection="1">
      <alignment horizontal="left" vertical="center"/>
      <protection locked="0"/>
    </xf>
    <xf numFmtId="0" fontId="1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4" xfId="0" applyBorder="1"/>
    <xf numFmtId="0" fontId="0" fillId="2" borderId="4" xfId="0" applyFill="1" applyBorder="1" applyAlignment="1">
      <alignment horizontal="left" vertical="center" wrapText="1"/>
    </xf>
    <xf numFmtId="0" fontId="7" fillId="3" borderId="1" xfId="0" applyFont="1" applyFill="1" applyBorder="1" applyAlignment="1" applyProtection="1">
      <alignment horizontal="left" vertical="center"/>
    </xf>
    <xf numFmtId="0" fontId="7" fillId="3" borderId="3" xfId="0" applyFont="1" applyFill="1" applyBorder="1" applyAlignment="1" applyProtection="1">
      <alignment horizontal="left" vertical="center"/>
    </xf>
    <xf numFmtId="0" fontId="7" fillId="4" borderId="1" xfId="0" applyFont="1" applyFill="1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3" fillId="0" borderId="8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10" xfId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7" borderId="1" xfId="4" applyFill="1" applyBorder="1" applyAlignment="1">
      <alignment horizontal="center" vertical="center"/>
    </xf>
    <xf numFmtId="0" fontId="2" fillId="7" borderId="2" xfId="4" applyFill="1" applyBorder="1" applyAlignment="1">
      <alignment horizontal="center" vertical="center"/>
    </xf>
    <xf numFmtId="0" fontId="2" fillId="7" borderId="3" xfId="4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5">
    <cellStyle name="常规" xfId="0" builtinId="0"/>
    <cellStyle name="常规 2" xfId="1"/>
    <cellStyle name="常规 2 2" xfId="2"/>
    <cellStyle name="常规 3" xfId="4"/>
    <cellStyle name="超链接" xfId="3" builtinId="8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zoomScaleNormal="100" workbookViewId="0">
      <pane ySplit="2" topLeftCell="A36" activePane="bottomLeft" state="frozen"/>
      <selection pane="bottomLeft" activeCell="H56" sqref="H56"/>
    </sheetView>
  </sheetViews>
  <sheetFormatPr defaultRowHeight="14.4" x14ac:dyDescent="0.25"/>
  <cols>
    <col min="1" max="1" width="8.77734375" customWidth="1"/>
    <col min="2" max="2" width="10.21875" customWidth="1"/>
    <col min="3" max="3" width="58.44140625" customWidth="1"/>
  </cols>
  <sheetData>
    <row r="1" spans="1:4" x14ac:dyDescent="0.25">
      <c r="A1" s="84" t="s">
        <v>138</v>
      </c>
      <c r="B1" s="84"/>
      <c r="C1" s="84"/>
      <c r="D1" t="s">
        <v>557</v>
      </c>
    </row>
    <row r="2" spans="1:4" x14ac:dyDescent="0.25">
      <c r="A2" s="1" t="s">
        <v>141</v>
      </c>
      <c r="B2" s="1" t="s">
        <v>139</v>
      </c>
      <c r="C2" s="1" t="s">
        <v>140</v>
      </c>
    </row>
    <row r="3" spans="1:4" x14ac:dyDescent="0.25">
      <c r="A3" s="2" t="s">
        <v>233</v>
      </c>
      <c r="B3" s="35">
        <v>20170614</v>
      </c>
      <c r="C3" s="2" t="s">
        <v>137</v>
      </c>
    </row>
    <row r="4" spans="1:4" x14ac:dyDescent="0.25">
      <c r="A4" s="35" t="s">
        <v>232</v>
      </c>
      <c r="B4" s="35">
        <v>20170705</v>
      </c>
      <c r="C4" s="35" t="s">
        <v>230</v>
      </c>
    </row>
    <row r="5" spans="1:4" ht="72" x14ac:dyDescent="0.25">
      <c r="A5" s="35" t="s">
        <v>234</v>
      </c>
      <c r="B5" s="35">
        <v>20170726</v>
      </c>
      <c r="C5" s="2" t="s">
        <v>231</v>
      </c>
    </row>
    <row r="6" spans="1:4" x14ac:dyDescent="0.25">
      <c r="A6" s="35" t="s">
        <v>235</v>
      </c>
      <c r="B6" s="35">
        <v>20170727</v>
      </c>
      <c r="C6" s="2" t="s">
        <v>311</v>
      </c>
    </row>
    <row r="7" spans="1:4" ht="28.8" x14ac:dyDescent="0.25">
      <c r="A7" s="35" t="s">
        <v>236</v>
      </c>
      <c r="B7" s="35">
        <v>20170920</v>
      </c>
      <c r="C7" s="2" t="s">
        <v>237</v>
      </c>
    </row>
    <row r="8" spans="1:4" ht="28.8" x14ac:dyDescent="0.25">
      <c r="A8" s="35" t="s">
        <v>300</v>
      </c>
      <c r="B8" s="35">
        <v>20171011</v>
      </c>
      <c r="C8" s="2" t="s">
        <v>304</v>
      </c>
    </row>
    <row r="9" spans="1:4" x14ac:dyDescent="0.25">
      <c r="A9" s="35" t="s">
        <v>303</v>
      </c>
      <c r="B9" s="35">
        <v>20171017</v>
      </c>
      <c r="C9" s="2" t="s">
        <v>306</v>
      </c>
    </row>
    <row r="10" spans="1:4" x14ac:dyDescent="0.25">
      <c r="A10" s="35" t="s">
        <v>305</v>
      </c>
      <c r="B10" s="35">
        <v>20171018</v>
      </c>
      <c r="C10" s="2" t="s">
        <v>307</v>
      </c>
    </row>
    <row r="11" spans="1:4" x14ac:dyDescent="0.25">
      <c r="A11" s="35" t="s">
        <v>308</v>
      </c>
      <c r="B11" s="35">
        <v>20171020</v>
      </c>
      <c r="C11" s="2" t="s">
        <v>309</v>
      </c>
    </row>
    <row r="12" spans="1:4" ht="28.8" x14ac:dyDescent="0.25">
      <c r="A12" s="35" t="s">
        <v>310</v>
      </c>
      <c r="B12" s="35">
        <v>20171109</v>
      </c>
      <c r="C12" s="2" t="s">
        <v>312</v>
      </c>
    </row>
    <row r="13" spans="1:4" x14ac:dyDescent="0.25">
      <c r="A13" s="35" t="s">
        <v>339</v>
      </c>
      <c r="B13" s="35">
        <v>20171222</v>
      </c>
      <c r="C13" s="2" t="s">
        <v>340</v>
      </c>
    </row>
    <row r="14" spans="1:4" x14ac:dyDescent="0.25">
      <c r="A14" s="35" t="s">
        <v>341</v>
      </c>
      <c r="B14" s="35">
        <v>20171229</v>
      </c>
      <c r="C14" s="2" t="s">
        <v>342</v>
      </c>
    </row>
    <row r="15" spans="1:4" x14ac:dyDescent="0.25">
      <c r="A15" s="35" t="s">
        <v>344</v>
      </c>
      <c r="B15" s="35">
        <v>20180104</v>
      </c>
      <c r="C15" s="2" t="s">
        <v>343</v>
      </c>
    </row>
    <row r="16" spans="1:4" x14ac:dyDescent="0.25">
      <c r="A16" s="35" t="s">
        <v>346</v>
      </c>
      <c r="B16" s="35">
        <v>20180123</v>
      </c>
      <c r="C16" s="2" t="s">
        <v>347</v>
      </c>
    </row>
    <row r="17" spans="1:3" x14ac:dyDescent="0.25">
      <c r="A17" s="35" t="s">
        <v>348</v>
      </c>
      <c r="B17" s="35">
        <v>20180202</v>
      </c>
      <c r="C17" s="2" t="s">
        <v>349</v>
      </c>
    </row>
    <row r="18" spans="1:3" x14ac:dyDescent="0.25">
      <c r="A18" s="35" t="s">
        <v>352</v>
      </c>
      <c r="B18" s="35">
        <v>20180305</v>
      </c>
      <c r="C18" s="2" t="s">
        <v>353</v>
      </c>
    </row>
    <row r="19" spans="1:3" ht="28.8" x14ac:dyDescent="0.25">
      <c r="A19" s="35" t="s">
        <v>356</v>
      </c>
      <c r="B19" s="35">
        <v>20180306</v>
      </c>
      <c r="C19" s="2" t="s">
        <v>357</v>
      </c>
    </row>
    <row r="20" spans="1:3" x14ac:dyDescent="0.25">
      <c r="A20" s="35" t="s">
        <v>358</v>
      </c>
      <c r="B20" s="35">
        <v>20180319</v>
      </c>
      <c r="C20" s="2" t="s">
        <v>406</v>
      </c>
    </row>
    <row r="21" spans="1:3" x14ac:dyDescent="0.25">
      <c r="A21" s="35" t="s">
        <v>359</v>
      </c>
      <c r="B21" s="35">
        <v>20180412</v>
      </c>
      <c r="C21" s="2" t="s">
        <v>394</v>
      </c>
    </row>
    <row r="22" spans="1:3" x14ac:dyDescent="0.25">
      <c r="A22" s="35" t="s">
        <v>393</v>
      </c>
      <c r="B22" s="35">
        <v>20180412</v>
      </c>
      <c r="C22" s="2" t="s">
        <v>395</v>
      </c>
    </row>
    <row r="23" spans="1:3" x14ac:dyDescent="0.25">
      <c r="A23" s="35" t="s">
        <v>397</v>
      </c>
      <c r="B23" s="35">
        <v>20180416</v>
      </c>
      <c r="C23" s="2" t="s">
        <v>399</v>
      </c>
    </row>
    <row r="24" spans="1:3" x14ac:dyDescent="0.25">
      <c r="A24" s="35" t="s">
        <v>398</v>
      </c>
      <c r="B24" s="35">
        <v>20180424</v>
      </c>
      <c r="C24" s="2" t="s">
        <v>400</v>
      </c>
    </row>
    <row r="25" spans="1:3" ht="28.8" x14ac:dyDescent="0.25">
      <c r="A25" s="35" t="s">
        <v>401</v>
      </c>
      <c r="B25" s="35">
        <v>20180425</v>
      </c>
      <c r="C25" s="2" t="s">
        <v>402</v>
      </c>
    </row>
    <row r="26" spans="1:3" x14ac:dyDescent="0.25">
      <c r="A26" s="35" t="s">
        <v>403</v>
      </c>
      <c r="B26" s="35">
        <v>20180425</v>
      </c>
      <c r="C26" s="2" t="s">
        <v>404</v>
      </c>
    </row>
    <row r="27" spans="1:3" x14ac:dyDescent="0.25">
      <c r="A27" s="35" t="s">
        <v>405</v>
      </c>
      <c r="B27" s="35">
        <v>20180427</v>
      </c>
      <c r="C27" s="2" t="s">
        <v>407</v>
      </c>
    </row>
    <row r="28" spans="1:3" x14ac:dyDescent="0.25">
      <c r="A28" s="35" t="s">
        <v>408</v>
      </c>
      <c r="B28" s="35">
        <v>20180518</v>
      </c>
      <c r="C28" s="2" t="s">
        <v>501</v>
      </c>
    </row>
    <row r="29" spans="1:3" x14ac:dyDescent="0.25">
      <c r="A29" s="35" t="s">
        <v>409</v>
      </c>
      <c r="B29" s="35">
        <v>20180806</v>
      </c>
      <c r="C29" s="2" t="s">
        <v>410</v>
      </c>
    </row>
    <row r="30" spans="1:3" x14ac:dyDescent="0.25">
      <c r="A30" s="35" t="s">
        <v>411</v>
      </c>
      <c r="B30" s="35">
        <v>20180808</v>
      </c>
      <c r="C30" s="2" t="s">
        <v>412</v>
      </c>
    </row>
    <row r="31" spans="1:3" x14ac:dyDescent="0.25">
      <c r="A31" s="35" t="s">
        <v>413</v>
      </c>
      <c r="B31" s="35">
        <v>20180830</v>
      </c>
      <c r="C31" s="2" t="s">
        <v>414</v>
      </c>
    </row>
    <row r="32" spans="1:3" x14ac:dyDescent="0.25">
      <c r="A32" s="35" t="s">
        <v>424</v>
      </c>
      <c r="B32" s="35">
        <v>20180927</v>
      </c>
      <c r="C32" s="2" t="s">
        <v>462</v>
      </c>
    </row>
    <row r="33" spans="1:5" x14ac:dyDescent="0.25">
      <c r="A33" s="35" t="s">
        <v>425</v>
      </c>
      <c r="B33" s="35">
        <v>20180928</v>
      </c>
      <c r="C33" s="2" t="s">
        <v>427</v>
      </c>
    </row>
    <row r="34" spans="1:5" x14ac:dyDescent="0.25">
      <c r="A34" s="35" t="s">
        <v>426</v>
      </c>
      <c r="B34" s="35">
        <v>20180929</v>
      </c>
      <c r="C34" s="2" t="s">
        <v>428</v>
      </c>
    </row>
    <row r="35" spans="1:5" x14ac:dyDescent="0.25">
      <c r="A35" s="35" t="s">
        <v>431</v>
      </c>
      <c r="B35" s="35">
        <v>20180929</v>
      </c>
      <c r="C35" s="2" t="s">
        <v>432</v>
      </c>
    </row>
    <row r="36" spans="1:5" x14ac:dyDescent="0.25">
      <c r="A36" s="35" t="s">
        <v>433</v>
      </c>
      <c r="B36" s="35">
        <v>20181012</v>
      </c>
      <c r="C36" s="2" t="s">
        <v>434</v>
      </c>
    </row>
    <row r="37" spans="1:5" x14ac:dyDescent="0.25">
      <c r="A37" s="35" t="s">
        <v>461</v>
      </c>
      <c r="B37" s="35">
        <v>20181022</v>
      </c>
      <c r="C37" s="2" t="s">
        <v>500</v>
      </c>
    </row>
    <row r="38" spans="1:5" x14ac:dyDescent="0.25">
      <c r="A38" s="35" t="s">
        <v>464</v>
      </c>
      <c r="B38" s="35">
        <v>20181022</v>
      </c>
      <c r="C38" s="2" t="s">
        <v>465</v>
      </c>
    </row>
    <row r="39" spans="1:5" x14ac:dyDescent="0.25">
      <c r="A39" s="35" t="s">
        <v>466</v>
      </c>
      <c r="B39" s="35">
        <v>20181026</v>
      </c>
      <c r="C39" s="2" t="s">
        <v>522</v>
      </c>
    </row>
    <row r="40" spans="1:5" x14ac:dyDescent="0.25">
      <c r="A40" s="35" t="s">
        <v>499</v>
      </c>
      <c r="B40" s="35">
        <v>20181126</v>
      </c>
      <c r="C40" s="2" t="s">
        <v>521</v>
      </c>
    </row>
    <row r="41" spans="1:5" x14ac:dyDescent="0.25">
      <c r="A41" s="35" t="s">
        <v>510</v>
      </c>
      <c r="B41" s="35">
        <v>20181129</v>
      </c>
      <c r="C41" s="2" t="s">
        <v>511</v>
      </c>
    </row>
    <row r="42" spans="1:5" x14ac:dyDescent="0.25">
      <c r="A42" s="35" t="s">
        <v>512</v>
      </c>
      <c r="B42" s="35">
        <v>20181204</v>
      </c>
      <c r="C42" s="2" t="s">
        <v>513</v>
      </c>
    </row>
    <row r="43" spans="1:5" x14ac:dyDescent="0.25">
      <c r="A43" s="35" t="s">
        <v>514</v>
      </c>
      <c r="B43" s="35">
        <v>20181204</v>
      </c>
      <c r="C43" s="2" t="s">
        <v>515</v>
      </c>
      <c r="E43" t="s">
        <v>555</v>
      </c>
    </row>
    <row r="44" spans="1:5" x14ac:dyDescent="0.25">
      <c r="A44" s="35" t="s">
        <v>516</v>
      </c>
      <c r="B44" s="35">
        <v>20181204</v>
      </c>
      <c r="C44" s="2" t="s">
        <v>517</v>
      </c>
    </row>
    <row r="45" spans="1:5" x14ac:dyDescent="0.25">
      <c r="A45" s="35" t="s">
        <v>518</v>
      </c>
      <c r="B45" s="35">
        <v>20181226</v>
      </c>
      <c r="C45" s="2" t="s">
        <v>519</v>
      </c>
    </row>
    <row r="46" spans="1:5" x14ac:dyDescent="0.25">
      <c r="A46" s="35" t="s">
        <v>520</v>
      </c>
      <c r="B46" s="35">
        <v>20181227</v>
      </c>
      <c r="C46" s="2" t="s">
        <v>524</v>
      </c>
    </row>
    <row r="47" spans="1:5" x14ac:dyDescent="0.25">
      <c r="A47" s="35" t="s">
        <v>523</v>
      </c>
      <c r="B47" s="35">
        <v>20190104</v>
      </c>
      <c r="C47" s="2" t="s">
        <v>535</v>
      </c>
    </row>
    <row r="48" spans="1:5" x14ac:dyDescent="0.25">
      <c r="A48" s="35" t="s">
        <v>532</v>
      </c>
      <c r="B48" s="35">
        <v>20190108</v>
      </c>
      <c r="C48" s="2" t="s">
        <v>533</v>
      </c>
    </row>
    <row r="49" spans="1:4" x14ac:dyDescent="0.25">
      <c r="A49" s="35" t="s">
        <v>534</v>
      </c>
      <c r="B49" s="35">
        <v>20190112</v>
      </c>
      <c r="C49" s="2" t="s">
        <v>540</v>
      </c>
    </row>
    <row r="50" spans="1:4" x14ac:dyDescent="0.25">
      <c r="A50" s="35" t="s">
        <v>536</v>
      </c>
      <c r="B50" s="35">
        <v>20190116</v>
      </c>
      <c r="C50" s="2" t="s">
        <v>537</v>
      </c>
    </row>
    <row r="51" spans="1:4" x14ac:dyDescent="0.25">
      <c r="A51" s="35" t="s">
        <v>539</v>
      </c>
      <c r="B51" s="35">
        <v>20190117</v>
      </c>
      <c r="C51" s="2" t="s">
        <v>541</v>
      </c>
    </row>
    <row r="52" spans="1:4" x14ac:dyDescent="0.25">
      <c r="A52" s="35" t="s">
        <v>553</v>
      </c>
      <c r="B52" s="35">
        <v>20190118</v>
      </c>
      <c r="C52" s="2" t="s">
        <v>554</v>
      </c>
      <c r="D52" t="s">
        <v>556</v>
      </c>
    </row>
    <row r="53" spans="1:4" x14ac:dyDescent="0.25">
      <c r="A53" s="35" t="s">
        <v>558</v>
      </c>
      <c r="B53" s="35">
        <v>20190218</v>
      </c>
      <c r="C53" s="2" t="s">
        <v>559</v>
      </c>
    </row>
    <row r="54" spans="1:4" x14ac:dyDescent="0.25">
      <c r="A54" s="35" t="s">
        <v>560</v>
      </c>
      <c r="B54" s="35">
        <v>20190225</v>
      </c>
      <c r="C54" s="2" t="s">
        <v>561</v>
      </c>
    </row>
    <row r="55" spans="1:4" x14ac:dyDescent="0.25">
      <c r="A55" s="35" t="s">
        <v>562</v>
      </c>
      <c r="B55" s="35">
        <v>20190409</v>
      </c>
      <c r="C55" s="2" t="s">
        <v>563</v>
      </c>
    </row>
    <row r="56" spans="1:4" x14ac:dyDescent="0.25">
      <c r="A56" s="35" t="s">
        <v>569</v>
      </c>
      <c r="B56" s="35">
        <v>20190618</v>
      </c>
      <c r="C56" s="83" t="s">
        <v>570</v>
      </c>
    </row>
    <row r="57" spans="1:4" x14ac:dyDescent="0.25">
      <c r="A57" s="35" t="s">
        <v>571</v>
      </c>
      <c r="B57" s="35">
        <v>20190708</v>
      </c>
      <c r="C57" s="83" t="s">
        <v>579</v>
      </c>
    </row>
    <row r="58" spans="1:4" x14ac:dyDescent="0.25">
      <c r="A58" s="35" t="s">
        <v>578</v>
      </c>
      <c r="B58" s="35">
        <v>20190727</v>
      </c>
      <c r="C58" s="83" t="s">
        <v>579</v>
      </c>
    </row>
    <row r="59" spans="1:4" x14ac:dyDescent="0.25">
      <c r="D59" t="s">
        <v>538</v>
      </c>
    </row>
  </sheetData>
  <mergeCells count="1">
    <mergeCell ref="A1:C1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0" sqref="B10"/>
    </sheetView>
  </sheetViews>
  <sheetFormatPr defaultRowHeight="14.4" x14ac:dyDescent="0.25"/>
  <cols>
    <col min="1" max="1" width="36.44140625" customWidth="1"/>
    <col min="2" max="2" width="26.6640625" customWidth="1"/>
  </cols>
  <sheetData>
    <row r="1" spans="1:2" ht="16.2" x14ac:dyDescent="0.25">
      <c r="A1" s="85" t="s">
        <v>7</v>
      </c>
      <c r="B1" s="86"/>
    </row>
    <row r="2" spans="1:2" ht="16.2" x14ac:dyDescent="0.25">
      <c r="A2" s="3" t="s">
        <v>17</v>
      </c>
      <c r="B2" s="4">
        <v>1280</v>
      </c>
    </row>
    <row r="3" spans="1:2" ht="16.2" x14ac:dyDescent="0.25">
      <c r="A3" s="3" t="s">
        <v>18</v>
      </c>
      <c r="B3" s="4">
        <v>960</v>
      </c>
    </row>
    <row r="4" spans="1:2" ht="16.2" x14ac:dyDescent="0.25">
      <c r="A4" s="3" t="s">
        <v>209</v>
      </c>
      <c r="B4" s="4">
        <v>10000</v>
      </c>
    </row>
    <row r="5" spans="1:2" ht="16.2" x14ac:dyDescent="0.25">
      <c r="A5" s="3" t="s">
        <v>220</v>
      </c>
      <c r="B5" s="4">
        <v>8</v>
      </c>
    </row>
    <row r="6" spans="1:2" ht="16.2" x14ac:dyDescent="0.25">
      <c r="A6" s="3" t="s">
        <v>208</v>
      </c>
      <c r="B6" s="4">
        <v>400000000</v>
      </c>
    </row>
    <row r="7" spans="1:2" ht="16.2" x14ac:dyDescent="0.25">
      <c r="A7" s="3" t="s">
        <v>221</v>
      </c>
      <c r="B7" s="4">
        <v>380000000</v>
      </c>
    </row>
    <row r="8" spans="1:2" ht="16.2" x14ac:dyDescent="0.25">
      <c r="A8" s="3" t="s">
        <v>46</v>
      </c>
      <c r="B8" s="4" t="s">
        <v>47</v>
      </c>
    </row>
    <row r="9" spans="1:2" ht="16.2" x14ac:dyDescent="0.25">
      <c r="A9" s="3" t="s">
        <v>212</v>
      </c>
      <c r="B9" s="4" t="s">
        <v>213</v>
      </c>
    </row>
    <row r="10" spans="1:2" ht="16.2" x14ac:dyDescent="0.25">
      <c r="A10" s="3" t="s">
        <v>48</v>
      </c>
      <c r="B10" s="4">
        <v>54</v>
      </c>
    </row>
    <row r="11" spans="1:2" ht="15.75" hidden="1" customHeight="1" x14ac:dyDescent="0.25">
      <c r="A11" s="3" t="s">
        <v>11</v>
      </c>
      <c r="B11" s="5" t="str">
        <f>IF((B5&lt;=8),"1","2")</f>
        <v>1</v>
      </c>
    </row>
    <row r="12" spans="1:2" ht="15.75" hidden="1" customHeight="1" x14ac:dyDescent="0.25">
      <c r="A12" s="3" t="s">
        <v>12</v>
      </c>
      <c r="B12" s="5">
        <f>B2*B3*B11+84</f>
        <v>1228884</v>
      </c>
    </row>
    <row r="13" spans="1:2" ht="15.75" hidden="1" customHeight="1" x14ac:dyDescent="0.25">
      <c r="A13" s="3" t="s">
        <v>13</v>
      </c>
      <c r="B13" s="5">
        <f>IF(B8="off",18.69,22.22)</f>
        <v>18.690000000000001</v>
      </c>
    </row>
    <row r="14" spans="1:2" ht="15.75" hidden="1" customHeight="1" x14ac:dyDescent="0.25">
      <c r="A14" s="3" t="s">
        <v>14</v>
      </c>
      <c r="B14" s="5">
        <f>IF(B8="off",(B3+31)*B13,(1297+B4+B3*B13))</f>
        <v>18521.79</v>
      </c>
    </row>
    <row r="15" spans="1:2" ht="15.75" hidden="1" customHeight="1" x14ac:dyDescent="0.25">
      <c r="A15" s="3" t="s">
        <v>15</v>
      </c>
      <c r="B15" s="5">
        <f>IF(B9="off",MAX(B12*1000000/B7,B12*1000000/B6,B4,B14),MAX(B12*1000000/B7,B12*1000000/B6,B4,B14,IF(B8="off",IF(B10&gt;0.8,1000000/B10,1225085),1000000/B10)))</f>
        <v>18521.79</v>
      </c>
    </row>
    <row r="16" spans="1:2" ht="15.75" hidden="1" customHeight="1" x14ac:dyDescent="0.25">
      <c r="A16" s="3"/>
      <c r="B16" s="3"/>
    </row>
    <row r="17" spans="1:2" ht="16.2" x14ac:dyDescent="0.25">
      <c r="A17" s="87" t="s">
        <v>8</v>
      </c>
      <c r="B17" s="88"/>
    </row>
    <row r="18" spans="1:2" ht="27" x14ac:dyDescent="0.25">
      <c r="A18" s="6" t="s">
        <v>210</v>
      </c>
      <c r="B18" s="7">
        <f>1000000/B15</f>
        <v>53.990462044975132</v>
      </c>
    </row>
  </sheetData>
  <sheetProtection algorithmName="SHA-512" hashValue="ru1pNn3zwcemrxpB+MoCsnDlVHKjiLVPEyu5E0FAUTsvdo0RoQ3pWdE93RKlT4uB4Mg/qjgtl7eC0UihABtf0w==" saltValue="AI1jq3gb3Bq11dL3TZCnUw==" spinCount="100000" sheet="1" objects="1" scenarios="1"/>
  <mergeCells count="2">
    <mergeCell ref="A1:B1"/>
    <mergeCell ref="A17:B17"/>
  </mergeCells>
  <phoneticPr fontId="5" type="noConversion"/>
  <dataValidations count="8">
    <dataValidation type="custom" allowBlank="1" showInputMessage="1" showErrorMessage="1" errorTitle="Input parameter error" error="Input range from 0.8 to 10000，step 0.1" sqref="B10">
      <formula1>AND(MOD(10*B10,1)=0,B10&gt;=0.8,B10&lt;=10000)</formula1>
    </dataValidation>
    <dataValidation type="list" allowBlank="1" showInputMessage="1" showErrorMessage="1" errorTitle="Input parameter error" error="Input off or on" sqref="B9">
      <formula1>"off,on"</formula1>
    </dataValidation>
    <dataValidation type="custom" allowBlank="1" showInputMessage="1" showErrorMessage="1" errorTitle="Input parameter error" error="Input range from 64 to 1280,and is an integer multiple of 4" sqref="B2">
      <formula1>AND(MOD(B2,4)=0,B2&gt;=64,B2&lt;=1280)</formula1>
    </dataValidation>
    <dataValidation type="custom" allowBlank="1" showInputMessage="1" showErrorMessage="1" errorTitle="Input parameter error" error="Input range from 64 to 960,and is an integer multiple of 2" sqref="B3">
      <formula1>AND(MOD(B3,2)=0,B3&gt;=64,B3&lt;=960)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list" allowBlank="1" showInputMessage="1" showErrorMessage="1" errorTitle="Input parameter error" error="Input 8 or 10" sqref="B5">
      <formula1>"8,10"</formula1>
    </dataValidation>
    <dataValidation type="list" allowBlank="1" showInputMessage="1" showErrorMessage="1" errorTitle="Input parameter error" error="Input off or on" sqref="B8">
      <formula1>"off,on"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6" zoomScaleNormal="100" workbookViewId="0">
      <selection activeCell="E21" sqref="E21"/>
    </sheetView>
  </sheetViews>
  <sheetFormatPr defaultColWidth="8.88671875" defaultRowHeight="14.4" x14ac:dyDescent="0.25"/>
  <cols>
    <col min="1" max="1" width="38" style="9" customWidth="1"/>
    <col min="2" max="2" width="31.33203125" style="9" customWidth="1"/>
    <col min="3" max="4" width="8.88671875" style="9"/>
    <col min="5" max="5" width="25.6640625" style="9" customWidth="1"/>
    <col min="6" max="6" width="21.44140625" style="9" hidden="1" customWidth="1"/>
    <col min="7" max="15" width="14.21875" style="9" hidden="1" customWidth="1"/>
    <col min="16" max="16384" width="8.88671875" style="9"/>
  </cols>
  <sheetData>
    <row r="1" spans="1:15" ht="16.8" thickBot="1" x14ac:dyDescent="0.3">
      <c r="A1" s="85" t="s">
        <v>7</v>
      </c>
      <c r="B1" s="86"/>
      <c r="F1" s="10" t="s">
        <v>58</v>
      </c>
      <c r="G1" s="11" t="s">
        <v>59</v>
      </c>
      <c r="H1" s="11" t="s">
        <v>60</v>
      </c>
      <c r="I1" s="12" t="s">
        <v>61</v>
      </c>
      <c r="J1" s="13" t="s">
        <v>62</v>
      </c>
      <c r="K1" s="94" t="s">
        <v>63</v>
      </c>
      <c r="L1" s="95"/>
      <c r="N1" s="96" t="s">
        <v>64</v>
      </c>
      <c r="O1" s="97"/>
    </row>
    <row r="2" spans="1:15" ht="16.2" x14ac:dyDescent="0.25">
      <c r="A2" s="14" t="s">
        <v>65</v>
      </c>
      <c r="B2" s="15" t="s">
        <v>66</v>
      </c>
      <c r="F2" s="16" t="s">
        <v>67</v>
      </c>
      <c r="G2" s="17">
        <f>B6</f>
        <v>0</v>
      </c>
      <c r="H2" s="17">
        <f>B4+B6</f>
        <v>1024</v>
      </c>
      <c r="I2" s="17">
        <f>B5</f>
        <v>0</v>
      </c>
      <c r="J2" s="18">
        <f>B3+B5</f>
        <v>1280</v>
      </c>
      <c r="K2" s="10">
        <f>IF(G2&gt;=G3,G2,G3)</f>
        <v>0</v>
      </c>
      <c r="L2" s="19">
        <f>IF(G2&gt;=G3,H2,H3)</f>
        <v>1024</v>
      </c>
      <c r="N2" s="16">
        <f>IF(L25&lt;K24,K25,0)</f>
        <v>0</v>
      </c>
      <c r="O2" s="20">
        <f>IF(L25&lt;K24,L25,0)</f>
        <v>0</v>
      </c>
    </row>
    <row r="3" spans="1:15" ht="16.2" x14ac:dyDescent="0.25">
      <c r="A3" s="14" t="s">
        <v>54</v>
      </c>
      <c r="B3" s="15">
        <v>1280</v>
      </c>
      <c r="F3" s="16" t="s">
        <v>68</v>
      </c>
      <c r="G3" s="17">
        <f>IF(B7="on",B11,0)</f>
        <v>0</v>
      </c>
      <c r="H3" s="17">
        <f>IF(B7="on",B9+B11,0)</f>
        <v>0</v>
      </c>
      <c r="I3" s="17">
        <f>IF(B7="on",B10,65536)</f>
        <v>65536</v>
      </c>
      <c r="J3" s="18">
        <f>IF(B7="on",(B8+B10),0)</f>
        <v>0</v>
      </c>
      <c r="K3" s="16">
        <f>IF(G2&gt;=G3,G3,G2)</f>
        <v>0</v>
      </c>
      <c r="L3" s="20">
        <f>IF(G2&gt;=G3,H3,H2)</f>
        <v>0</v>
      </c>
      <c r="N3" s="16">
        <f>IF(L25&lt;K24,K24,K25)</f>
        <v>0</v>
      </c>
      <c r="O3" s="20">
        <f>IF(L25&gt;=L24,L25,L24)</f>
        <v>1024</v>
      </c>
    </row>
    <row r="4" spans="1:15" ht="16.2" x14ac:dyDescent="0.25">
      <c r="A4" s="14" t="s">
        <v>55</v>
      </c>
      <c r="B4" s="15">
        <v>1024</v>
      </c>
      <c r="F4" s="16" t="s">
        <v>69</v>
      </c>
      <c r="G4" s="17">
        <f>IF(B12="on",B16,0)</f>
        <v>0</v>
      </c>
      <c r="H4" s="17">
        <f>IF(B12="on",B14+B16,0)</f>
        <v>0</v>
      </c>
      <c r="I4" s="17">
        <f>IF(B12="on",B15,65536)</f>
        <v>65536</v>
      </c>
      <c r="J4" s="18">
        <f>IF(B12="on",(B13+B15),0)</f>
        <v>0</v>
      </c>
      <c r="K4" s="16">
        <f>G4</f>
        <v>0</v>
      </c>
      <c r="L4" s="20">
        <f>H4</f>
        <v>0</v>
      </c>
      <c r="N4" s="16">
        <f>K23</f>
        <v>0</v>
      </c>
      <c r="O4" s="20">
        <f>L23</f>
        <v>0</v>
      </c>
    </row>
    <row r="5" spans="1:15" ht="16.8" thickBot="1" x14ac:dyDescent="0.3">
      <c r="A5" s="14" t="s">
        <v>56</v>
      </c>
      <c r="B5" s="15">
        <v>0</v>
      </c>
      <c r="F5" s="21" t="s">
        <v>70</v>
      </c>
      <c r="G5" s="22">
        <f>IF(B17="on",B21,0)</f>
        <v>0</v>
      </c>
      <c r="H5" s="22">
        <f>IF(B17="on",B19+B21,0)</f>
        <v>0</v>
      </c>
      <c r="I5" s="22">
        <f>IF(B17="on",B20,65536)</f>
        <v>65536</v>
      </c>
      <c r="J5" s="23">
        <f>IF(B17="on",(B18+B20),0)</f>
        <v>0</v>
      </c>
      <c r="K5" s="21">
        <f>G5</f>
        <v>0</v>
      </c>
      <c r="L5" s="24">
        <f>H5</f>
        <v>0</v>
      </c>
      <c r="N5" s="21">
        <f>K22</f>
        <v>0</v>
      </c>
      <c r="O5" s="24">
        <f>L22</f>
        <v>0</v>
      </c>
    </row>
    <row r="6" spans="1:15" ht="16.2" x14ac:dyDescent="0.25">
      <c r="A6" s="14" t="s">
        <v>57</v>
      </c>
      <c r="B6" s="15">
        <v>0</v>
      </c>
      <c r="K6" s="10">
        <f>K2</f>
        <v>0</v>
      </c>
      <c r="L6" s="19">
        <f>L2</f>
        <v>1024</v>
      </c>
      <c r="N6" s="96" t="s">
        <v>71</v>
      </c>
      <c r="O6" s="97"/>
    </row>
    <row r="7" spans="1:15" ht="16.2" x14ac:dyDescent="0.25">
      <c r="A7" s="25" t="s">
        <v>51</v>
      </c>
      <c r="B7" s="26" t="s">
        <v>47</v>
      </c>
      <c r="F7" s="27" t="s">
        <v>72</v>
      </c>
      <c r="G7" s="27" t="s">
        <v>73</v>
      </c>
      <c r="K7" s="16">
        <f>IF(K3&gt;=K4,K3,K4)</f>
        <v>0</v>
      </c>
      <c r="L7" s="20">
        <f>IF(K3&gt;=K4,L3,L4)</f>
        <v>0</v>
      </c>
      <c r="N7" s="16">
        <f>N2</f>
        <v>0</v>
      </c>
      <c r="O7" s="20">
        <f>O2</f>
        <v>0</v>
      </c>
    </row>
    <row r="8" spans="1:15" ht="16.2" x14ac:dyDescent="0.25">
      <c r="A8" s="25" t="s">
        <v>50</v>
      </c>
      <c r="B8" s="26">
        <v>1280</v>
      </c>
      <c r="F8" s="28">
        <f>MIN(I2,I3,I4,I5)</f>
        <v>0</v>
      </c>
      <c r="G8" s="28">
        <f>MAX(J2,J3,J4,J5)</f>
        <v>1280</v>
      </c>
      <c r="K8" s="16">
        <f>IF(K3&gt;=K4,K4,K3)</f>
        <v>0</v>
      </c>
      <c r="L8" s="20">
        <f>IF(K3&gt;=K4,L4,L3)</f>
        <v>0</v>
      </c>
      <c r="N8" s="16">
        <f>IF(O3&lt;N4,N3,0)</f>
        <v>0</v>
      </c>
      <c r="O8" s="20">
        <f>IF(O3&lt;N4,O3,0)</f>
        <v>0</v>
      </c>
    </row>
    <row r="9" spans="1:15" ht="16.8" thickBot="1" x14ac:dyDescent="0.3">
      <c r="A9" s="25" t="s">
        <v>74</v>
      </c>
      <c r="B9" s="26">
        <v>1024</v>
      </c>
      <c r="F9" s="27" t="s">
        <v>75</v>
      </c>
      <c r="G9" s="28">
        <f>G8-F8</f>
        <v>1280</v>
      </c>
      <c r="K9" s="21">
        <f t="shared" ref="K9:L11" si="0">K5</f>
        <v>0</v>
      </c>
      <c r="L9" s="24">
        <f t="shared" si="0"/>
        <v>0</v>
      </c>
      <c r="N9" s="16">
        <f>IF(O3&lt;N4,N4,N3)</f>
        <v>0</v>
      </c>
      <c r="O9" s="20">
        <f>IF(O3&gt;=O4,O3,O4)</f>
        <v>1024</v>
      </c>
    </row>
    <row r="10" spans="1:15" ht="16.8" thickBot="1" x14ac:dyDescent="0.3">
      <c r="A10" s="25" t="s">
        <v>76</v>
      </c>
      <c r="B10" s="26">
        <v>0</v>
      </c>
      <c r="F10" s="27" t="s">
        <v>77</v>
      </c>
      <c r="G10" s="28">
        <f>SUM(O12:O15)-SUM(N12:N15)</f>
        <v>1024</v>
      </c>
      <c r="K10" s="10">
        <f t="shared" si="0"/>
        <v>0</v>
      </c>
      <c r="L10" s="19">
        <f t="shared" si="0"/>
        <v>1024</v>
      </c>
      <c r="N10" s="21">
        <f>N5</f>
        <v>0</v>
      </c>
      <c r="O10" s="24">
        <f>O5</f>
        <v>0</v>
      </c>
    </row>
    <row r="11" spans="1:15" ht="16.2" x14ac:dyDescent="0.25">
      <c r="A11" s="25" t="s">
        <v>78</v>
      </c>
      <c r="B11" s="26">
        <v>0</v>
      </c>
      <c r="K11" s="16">
        <f t="shared" si="0"/>
        <v>0</v>
      </c>
      <c r="L11" s="20">
        <f t="shared" si="0"/>
        <v>0</v>
      </c>
      <c r="N11" s="96" t="s">
        <v>79</v>
      </c>
      <c r="O11" s="97"/>
    </row>
    <row r="12" spans="1:15" ht="16.2" x14ac:dyDescent="0.25">
      <c r="A12" s="29" t="s">
        <v>49</v>
      </c>
      <c r="B12" s="30" t="s">
        <v>47</v>
      </c>
      <c r="F12" s="17" t="s">
        <v>80</v>
      </c>
      <c r="G12" s="17">
        <v>40722</v>
      </c>
      <c r="H12" s="17" t="s">
        <v>81</v>
      </c>
      <c r="K12" s="16">
        <f>IF(K8&gt;K9,K8,K9)</f>
        <v>0</v>
      </c>
      <c r="L12" s="20">
        <f>IF(K8&gt;K9,L8,L9)</f>
        <v>0</v>
      </c>
      <c r="N12" s="16">
        <f>N7</f>
        <v>0</v>
      </c>
      <c r="O12" s="20">
        <f>O7</f>
        <v>0</v>
      </c>
    </row>
    <row r="13" spans="1:15" ht="16.8" thickBot="1" x14ac:dyDescent="0.3">
      <c r="A13" s="29" t="s">
        <v>82</v>
      </c>
      <c r="B13" s="30">
        <v>1280</v>
      </c>
      <c r="F13" s="17" t="s">
        <v>83</v>
      </c>
      <c r="G13" s="17">
        <v>3194</v>
      </c>
      <c r="H13" s="17" t="s">
        <v>84</v>
      </c>
      <c r="K13" s="21">
        <f>IF(K8&gt;K9,K9,K8)</f>
        <v>0</v>
      </c>
      <c r="L13" s="24">
        <f>IF(K8&gt;K9,L9,L8)</f>
        <v>0</v>
      </c>
      <c r="N13" s="16">
        <f>N8</f>
        <v>0</v>
      </c>
      <c r="O13" s="20">
        <f>O8</f>
        <v>0</v>
      </c>
    </row>
    <row r="14" spans="1:15" ht="16.2" x14ac:dyDescent="0.25">
      <c r="A14" s="29" t="s">
        <v>85</v>
      </c>
      <c r="B14" s="30">
        <v>1024</v>
      </c>
      <c r="F14" s="17" t="s">
        <v>21</v>
      </c>
      <c r="G14" s="17">
        <f>ROUNDUP(1000*(86+G9/2+10)/72,0)</f>
        <v>10223</v>
      </c>
      <c r="H14" s="17" t="s">
        <v>84</v>
      </c>
      <c r="K14" s="10">
        <f>IF(K10&gt;K11,K10,K11)</f>
        <v>0</v>
      </c>
      <c r="L14" s="19">
        <f>IF(K10&gt;K11,L10,L11)</f>
        <v>0</v>
      </c>
      <c r="N14" s="16">
        <f>IF(O9&lt;N10,N9,0)</f>
        <v>0</v>
      </c>
      <c r="O14" s="20">
        <f>IF(O9&lt;N10,O9,0)</f>
        <v>0</v>
      </c>
    </row>
    <row r="15" spans="1:15" ht="16.8" thickBot="1" x14ac:dyDescent="0.3">
      <c r="A15" s="29" t="s">
        <v>86</v>
      </c>
      <c r="B15" s="30">
        <v>0</v>
      </c>
      <c r="F15" s="17" t="s">
        <v>87</v>
      </c>
      <c r="G15" s="17">
        <v>10223</v>
      </c>
      <c r="H15" s="17" t="s">
        <v>84</v>
      </c>
      <c r="K15" s="16">
        <f>IF(K10&gt;K11,K11,K10)</f>
        <v>0</v>
      </c>
      <c r="L15" s="20">
        <f>IF(K10&gt;K11,L11,L10)</f>
        <v>1024</v>
      </c>
      <c r="N15" s="21">
        <f>IF(O9&lt;N10,N10,N9)</f>
        <v>0</v>
      </c>
      <c r="O15" s="24">
        <f>IF(O9&gt;=O10,O9,O10)</f>
        <v>1024</v>
      </c>
    </row>
    <row r="16" spans="1:15" ht="16.2" x14ac:dyDescent="0.25">
      <c r="A16" s="29" t="s">
        <v>88</v>
      </c>
      <c r="B16" s="30">
        <v>0</v>
      </c>
      <c r="F16" s="17" t="s">
        <v>89</v>
      </c>
      <c r="G16" s="17">
        <f>ROUNDUP(((1000*86/72+(6+14-1)*G15+G10*G14+G12+G13)+40000)/1000,0)</f>
        <v>10748</v>
      </c>
      <c r="H16" s="17" t="s">
        <v>90</v>
      </c>
      <c r="K16" s="16">
        <f t="shared" ref="K16:L18" si="1">K12</f>
        <v>0</v>
      </c>
      <c r="L16" s="20">
        <f t="shared" si="1"/>
        <v>0</v>
      </c>
    </row>
    <row r="17" spans="1:12" ht="16.8" thickBot="1" x14ac:dyDescent="0.3">
      <c r="A17" s="31" t="s">
        <v>65</v>
      </c>
      <c r="B17" s="32" t="s">
        <v>47</v>
      </c>
      <c r="F17" s="17" t="s">
        <v>91</v>
      </c>
      <c r="G17" s="17">
        <f>ROUNDUP((2*G15+G12+G13+1000*B22)/1000,0)+40</f>
        <v>10105</v>
      </c>
      <c r="H17" s="17" t="s">
        <v>90</v>
      </c>
      <c r="K17" s="21">
        <f t="shared" si="1"/>
        <v>0</v>
      </c>
      <c r="L17" s="24">
        <f t="shared" si="1"/>
        <v>0</v>
      </c>
    </row>
    <row r="18" spans="1:12" ht="16.2" x14ac:dyDescent="0.25">
      <c r="A18" s="31" t="s">
        <v>92</v>
      </c>
      <c r="B18" s="32">
        <v>1280</v>
      </c>
      <c r="F18" s="17" t="s">
        <v>93</v>
      </c>
      <c r="G18" s="17">
        <f>MAX(G16,G17)</f>
        <v>10748</v>
      </c>
      <c r="H18" s="17" t="s">
        <v>90</v>
      </c>
      <c r="K18" s="10">
        <f t="shared" si="1"/>
        <v>0</v>
      </c>
      <c r="L18" s="19">
        <f t="shared" si="1"/>
        <v>0</v>
      </c>
    </row>
    <row r="19" spans="1:12" ht="16.2" x14ac:dyDescent="0.25">
      <c r="A19" s="31" t="s">
        <v>94</v>
      </c>
      <c r="B19" s="32">
        <v>1024</v>
      </c>
      <c r="F19" s="17" t="s">
        <v>95</v>
      </c>
      <c r="G19" s="17">
        <f>B28*(B3*B4+IF(B7="on",B8*B9+84,0)+IF(B12="on",B13*B14+84,0)+IF(B17="on",B18*B19+84,0))</f>
        <v>1310720</v>
      </c>
      <c r="H19" s="17" t="s">
        <v>96</v>
      </c>
      <c r="K19" s="16">
        <f>IF(K15&gt;K16,K15,K16)</f>
        <v>0</v>
      </c>
      <c r="L19" s="20">
        <f>IF(K15&gt;K16,L15,L16)</f>
        <v>0</v>
      </c>
    </row>
    <row r="20" spans="1:12" ht="16.2" x14ac:dyDescent="0.25">
      <c r="A20" s="31" t="s">
        <v>97</v>
      </c>
      <c r="B20" s="32">
        <v>0</v>
      </c>
      <c r="F20" s="17" t="s">
        <v>98</v>
      </c>
      <c r="G20" s="17">
        <f>ROUNDUP(1000000*G19/B25,0)</f>
        <v>3450</v>
      </c>
      <c r="H20" s="17"/>
      <c r="K20" s="16">
        <f>IF(K15&gt;K16,K16,K15)</f>
        <v>0</v>
      </c>
      <c r="L20" s="20">
        <f>IF(K15&gt;K16,L16,L15)</f>
        <v>1024</v>
      </c>
    </row>
    <row r="21" spans="1:12" ht="16.8" thickBot="1" x14ac:dyDescent="0.3">
      <c r="A21" s="31" t="s">
        <v>99</v>
      </c>
      <c r="B21" s="32">
        <v>0</v>
      </c>
      <c r="F21" s="17" t="s">
        <v>100</v>
      </c>
      <c r="G21" s="17">
        <f>ROUNDUP(1000000*G19/MIN(B24,B25),0)</f>
        <v>4370</v>
      </c>
      <c r="H21" s="17"/>
      <c r="K21" s="21">
        <f>K17</f>
        <v>0</v>
      </c>
      <c r="L21" s="24">
        <f>L17</f>
        <v>0</v>
      </c>
    </row>
    <row r="22" spans="1:12" ht="16.2" x14ac:dyDescent="0.25">
      <c r="A22" s="3" t="s">
        <v>209</v>
      </c>
      <c r="B22" s="4">
        <v>10000</v>
      </c>
      <c r="F22" s="17" t="s">
        <v>101</v>
      </c>
      <c r="G22" s="17">
        <f>IF(B26="on",1000000/B27,0)</f>
        <v>0</v>
      </c>
      <c r="H22" s="17"/>
      <c r="K22" s="10">
        <f>IF(K18&gt;K19,K18,K19)</f>
        <v>0</v>
      </c>
      <c r="L22" s="19">
        <f>IF(K18&gt;K19,L18,L19)</f>
        <v>0</v>
      </c>
    </row>
    <row r="23" spans="1:12" ht="16.2" x14ac:dyDescent="0.25">
      <c r="A23" s="3" t="s">
        <v>222</v>
      </c>
      <c r="B23" s="4">
        <v>8</v>
      </c>
      <c r="F23" s="17" t="s">
        <v>102</v>
      </c>
      <c r="G23" s="17">
        <f>MAX(G18,G20,G21,G22)</f>
        <v>10748</v>
      </c>
      <c r="K23" s="16">
        <f>IF(K18&gt;K19,K19,K18)</f>
        <v>0</v>
      </c>
      <c r="L23" s="20">
        <f>IF(K18&gt;K19,L19,L18)</f>
        <v>0</v>
      </c>
    </row>
    <row r="24" spans="1:12" ht="16.2" x14ac:dyDescent="0.25">
      <c r="A24" s="3" t="s">
        <v>208</v>
      </c>
      <c r="B24" s="4">
        <v>300000000</v>
      </c>
      <c r="K24" s="16">
        <f>K20</f>
        <v>0</v>
      </c>
      <c r="L24" s="20">
        <f>L20</f>
        <v>1024</v>
      </c>
    </row>
    <row r="25" spans="1:12" ht="16.8" thickBot="1" x14ac:dyDescent="0.3">
      <c r="A25" s="3" t="s">
        <v>215</v>
      </c>
      <c r="B25" s="4">
        <v>380000000</v>
      </c>
      <c r="K25" s="21">
        <f>K21</f>
        <v>0</v>
      </c>
      <c r="L25" s="24">
        <f>L21</f>
        <v>0</v>
      </c>
    </row>
    <row r="26" spans="1:12" ht="16.2" x14ac:dyDescent="0.25">
      <c r="A26" s="3" t="s">
        <v>302</v>
      </c>
      <c r="B26" s="4" t="s">
        <v>47</v>
      </c>
      <c r="K26" s="33"/>
      <c r="L26" s="33"/>
    </row>
    <row r="27" spans="1:12" ht="16.2" x14ac:dyDescent="0.25">
      <c r="A27" s="3" t="s">
        <v>301</v>
      </c>
      <c r="B27" s="4">
        <v>93</v>
      </c>
      <c r="K27" s="33"/>
      <c r="L27" s="33"/>
    </row>
    <row r="28" spans="1:12" ht="16.2" hidden="1" x14ac:dyDescent="0.25">
      <c r="A28" s="3" t="s">
        <v>19</v>
      </c>
      <c r="B28" s="5" t="str">
        <f>IF((B23&lt;=8),"1","2")</f>
        <v>1</v>
      </c>
    </row>
    <row r="29" spans="1:12" ht="16.2" hidden="1" x14ac:dyDescent="0.25">
      <c r="A29" s="3" t="s">
        <v>20</v>
      </c>
      <c r="B29" s="5">
        <f>B3*B4*B28+84</f>
        <v>1310804</v>
      </c>
    </row>
    <row r="30" spans="1:12" ht="16.2" hidden="1" x14ac:dyDescent="0.25">
      <c r="A30" s="3" t="s">
        <v>22</v>
      </c>
      <c r="B30" s="5">
        <f>MAX((B3/4+4),84)/72</f>
        <v>4.5</v>
      </c>
    </row>
    <row r="31" spans="1:12" ht="16.2" hidden="1" x14ac:dyDescent="0.25">
      <c r="A31" s="3" t="s">
        <v>23</v>
      </c>
      <c r="B31" s="5">
        <f>(6156/72+B4*B30+1)+64</f>
        <v>4758.5</v>
      </c>
    </row>
    <row r="32" spans="1:12" ht="16.2" hidden="1" x14ac:dyDescent="0.25">
      <c r="A32" s="3" t="s">
        <v>103</v>
      </c>
      <c r="B32" s="5">
        <f>G23</f>
        <v>10748</v>
      </c>
    </row>
    <row r="33" spans="1:2" ht="16.2" x14ac:dyDescent="0.25">
      <c r="A33" s="87" t="s">
        <v>8</v>
      </c>
      <c r="B33" s="88"/>
    </row>
    <row r="34" spans="1:2" ht="27" x14ac:dyDescent="0.25">
      <c r="A34" s="6" t="s">
        <v>210</v>
      </c>
      <c r="B34" s="7">
        <f>(1+IF(B7="on",1,0)+IF(B12="on",1,0)+IF(B17="on",1,0))*(1000000/B32)</f>
        <v>93.040565686639368</v>
      </c>
    </row>
  </sheetData>
  <sheetProtection algorithmName="SHA-512" hashValue="AibOcQBENUX801DB6flTU2JJI/dNjadxuqyP7TTth186zNPcTgbjxu5qxXCdwG/+M8tZ7ZsJoM9FUNU8P8aW8A==" saltValue="CPweMbtA/bqT9Xz41OY+hA==" spinCount="100000" sheet="1" objects="1" scenarios="1"/>
  <mergeCells count="6">
    <mergeCell ref="A33:B33"/>
    <mergeCell ref="A1:B1"/>
    <mergeCell ref="K1:L1"/>
    <mergeCell ref="N1:O1"/>
    <mergeCell ref="N6:O6"/>
    <mergeCell ref="N11:O11"/>
  </mergeCells>
  <phoneticPr fontId="5" type="noConversion"/>
  <dataValidations count="21">
    <dataValidation type="custom" allowBlank="1" showInputMessage="1" showErrorMessage="1" errorTitle="Input parameter error" error="Input range from 64 to 1280 minus horizontal offset,and is an integer multiple of 16" sqref="B18">
      <formula1>AND(MOD(B18,16)=0,B18&gt;=64,B18&lt;=1280-B20)</formula1>
    </dataValidation>
    <dataValidation type="custom" allowBlank="1" showInputMessage="1" showErrorMessage="1" errorTitle="Input parameter error" error="Input range from 64 to 1024 minus vertical offset,and is an integer multiple of 2" sqref="B19">
      <formula1>AND(MOD(B19,2)=0,B19&gt;=64,B19&lt;=1024-B21)</formula1>
    </dataValidation>
    <dataValidation type="whole" allowBlank="1" showInputMessage="1" showErrorMessage="1" errorTitle="Input parameter error" error="Input range from 5 to 1000000" sqref="B22">
      <formula1>5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24">
      <formula1>OR(AND(B23=8,B24&gt;=35000000,B24&lt;=400000000,MOD(B24,1000000)=0),AND(B23=10,B24&gt;=70000000,B24&lt;=400000000,MOD(B24,1000000)=0))</formula1>
    </dataValidation>
    <dataValidation type="list" allowBlank="1" showInputMessage="1" showErrorMessage="1" errorTitle="Input parameter error" error="Input 8 or 10" sqref="B23">
      <formula1>"8,10"</formula1>
    </dataValidation>
    <dataValidation type="custom" allowBlank="1" showInputMessage="1" showErrorMessage="1" errorTitle="Input parameter error" error="Input range from 0 to 1024 minus image height,and is an integer multiple of 2" sqref="B21">
      <formula1>AND(MOD(B21,2)=0,B21&gt;=0,B21&lt;=1024-B19)</formula1>
    </dataValidation>
    <dataValidation type="list" allowBlank="1" showInputMessage="1" showErrorMessage="1" errorTitle="Input parameter error" error="Input on or off" sqref="B17">
      <formula1>"on,off"</formula1>
    </dataValidation>
    <dataValidation type="list" allowBlank="1" showInputMessage="1" showErrorMessage="1" errorTitle="Input parameter error" error="Just can input on" sqref="B2">
      <formula1>"on"</formula1>
    </dataValidation>
    <dataValidation type="list" allowBlank="1" showInputMessage="1" showErrorMessage="1" errorTitle="Input parameter error" error="Input off or on" sqref="B26">
      <formula1>"on,off"</formula1>
    </dataValidation>
    <dataValidation type="custom" allowBlank="1" showInputMessage="1" showErrorMessage="1" errorTitle="Input parameter error" error="Input range from 0 to 1280 minus image width,and is an integer multiple of 16" sqref="B20">
      <formula1>AND(MOD(B20,16)=0,B20&gt;=0,B20&lt;=1280-B18)</formula1>
    </dataValidation>
    <dataValidation type="custom" allowBlank="1" showInputMessage="1" showErrorMessage="1" errorTitle="Input parameter error" error="Input range from 0 to 1280 minus image width,and is an integer multiple of 16" sqref="B10">
      <formula1>AND(MOD(B10,16)=0,B10&gt;=0,B10&lt;=1280-B8)</formula1>
    </dataValidation>
    <dataValidation type="custom" allowBlank="1" showInputMessage="1" showErrorMessage="1" errorTitle="Input parameter error" error="Input range from 0 to 1280 minus image width,and is an integer multiple of 16" sqref="B15">
      <formula1>AND(MOD(B15,16)=0,B15&gt;=0,B15&lt;=1280-B13)</formula1>
    </dataValidation>
    <dataValidation type="custom" allowBlank="1" showInputMessage="1" showErrorMessage="1" errorTitle="Input parameter error" error="Input range from 0.1 to 10000，step 0.1" sqref="B27">
      <formula1>AND(MOD(10*B27,1)=0,B27&gt;=0.1,B27&lt;=10000)</formula1>
    </dataValidation>
    <dataValidation type="custom" allowBlank="1" showInputMessage="1" showErrorMessage="1" errorTitle="Input parameter error" error="Input range from 64 to 1024 minus vertical offset,and is an integer multiple of 2" sqref="B9 B14">
      <formula1>AND(MOD(B9,2)=0,B9&gt;=64,B9&lt;=1024-B11)</formula1>
    </dataValidation>
    <dataValidation type="custom" allowBlank="1" showInputMessage="1" showErrorMessage="1" errorTitle="Input parameter error" error="Input range from 0 to 1024 minus image height,and is an integer multiple of 2" sqref="B11 B16">
      <formula1>AND(MOD(B11,2)=0,B11&gt;=0,B11&lt;=1024-B9)</formula1>
    </dataValidation>
    <dataValidation type="custom" allowBlank="1" showInputMessage="1" showErrorMessage="1" errorTitle="Input parameter error" error="Input range from 64 to 1280 minus horizontal offset,and is an integer multiple of 16" sqref="B3 B8 B13">
      <formula1>AND(MOD(B3,16)=0,B3&gt;=64,B3&lt;=1280-B5)</formula1>
    </dataValidation>
    <dataValidation type="custom" allowBlank="1" showInputMessage="1" showErrorMessage="1" errorTitle="Input parameter error" error="Input range from 64 to 1024 minus vertical offset,and is an integer multiple of 2" sqref="B4">
      <formula1>AND(MOD(B4,2)=0,B4&gt;=64,B4&lt;=1024-B6)</formula1>
    </dataValidation>
    <dataValidation type="custom" allowBlank="1" showInputMessage="1" showErrorMessage="1" errorTitle="Input parameter error" error="Input range from 0 to 1280 minus image width,and is an integer multiple of 16" sqref="B5">
      <formula1>AND(MOD(B5,16)=0,B5&gt;=0,B5&lt;=1280-B3)</formula1>
    </dataValidation>
    <dataValidation type="custom" allowBlank="1" showInputMessage="1" showErrorMessage="1" errorTitle="Input parameter error" error="Input range from 0 to 1024 minus image height,and is an integer multiple of 2" sqref="B6">
      <formula1>AND(MOD(B6,2)=0,B6&gt;=0,B6&lt;=1024-B4)</formula1>
    </dataValidation>
    <dataValidation type="list" allowBlank="1" showInputMessage="1" showErrorMessage="1" errorTitle="Input parameter error" error="Iput on or off" sqref="B7">
      <formula1>"on,off"</formula1>
    </dataValidation>
    <dataValidation type="list" allowBlank="1" showInputMessage="1" showErrorMessage="1" errorTitle="Input parameter error" error="Input on or off" sqref="B12">
      <formula1>"on,off"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F21" sqref="F21"/>
    </sheetView>
  </sheetViews>
  <sheetFormatPr defaultRowHeight="14.4" x14ac:dyDescent="0.25"/>
  <cols>
    <col min="1" max="1" width="39.88671875" customWidth="1"/>
    <col min="2" max="2" width="16.44140625" customWidth="1"/>
  </cols>
  <sheetData>
    <row r="1" spans="1:2" ht="16.2" x14ac:dyDescent="0.25">
      <c r="A1" s="85" t="s">
        <v>435</v>
      </c>
      <c r="B1" s="86"/>
    </row>
    <row r="2" spans="1:2" ht="16.2" x14ac:dyDescent="0.25">
      <c r="A2" s="3" t="s">
        <v>436</v>
      </c>
      <c r="B2" s="4">
        <v>1440</v>
      </c>
    </row>
    <row r="3" spans="1:2" ht="16.2" x14ac:dyDescent="0.25">
      <c r="A3" s="3" t="s">
        <v>437</v>
      </c>
      <c r="B3" s="4">
        <v>1080</v>
      </c>
    </row>
    <row r="4" spans="1:2" ht="16.2" x14ac:dyDescent="0.25">
      <c r="A4" s="3" t="s">
        <v>438</v>
      </c>
      <c r="B4" s="4">
        <v>10000</v>
      </c>
    </row>
    <row r="5" spans="1:2" ht="16.2" x14ac:dyDescent="0.25">
      <c r="A5" s="3" t="s">
        <v>439</v>
      </c>
      <c r="B5" s="4">
        <v>8</v>
      </c>
    </row>
    <row r="6" spans="1:2" ht="16.2" x14ac:dyDescent="0.25">
      <c r="A6" s="3" t="s">
        <v>208</v>
      </c>
      <c r="B6" s="4">
        <v>300000000</v>
      </c>
    </row>
    <row r="7" spans="1:2" ht="16.2" x14ac:dyDescent="0.25">
      <c r="A7" s="3" t="s">
        <v>440</v>
      </c>
      <c r="B7" s="4">
        <v>380000000</v>
      </c>
    </row>
    <row r="8" spans="1:2" ht="16.2" hidden="1" x14ac:dyDescent="0.25">
      <c r="A8" s="3"/>
      <c r="B8" s="4"/>
    </row>
    <row r="9" spans="1:2" ht="16.2" hidden="1" x14ac:dyDescent="0.25">
      <c r="A9" s="3" t="s">
        <v>134</v>
      </c>
      <c r="B9" s="4">
        <f>MAX(INT((B4-14.26)/B12),1)</f>
        <v>2547</v>
      </c>
    </row>
    <row r="10" spans="1:2" ht="16.2" hidden="1" x14ac:dyDescent="0.25">
      <c r="A10" s="3" t="s">
        <v>19</v>
      </c>
      <c r="B10" s="4" t="str">
        <f>IF((B5&lt;=8),"1","2")</f>
        <v>1</v>
      </c>
    </row>
    <row r="11" spans="1:2" ht="16.2" hidden="1" x14ac:dyDescent="0.25">
      <c r="A11" s="3" t="s">
        <v>441</v>
      </c>
      <c r="B11" s="4">
        <f>B2*B3*B10+84</f>
        <v>1555284</v>
      </c>
    </row>
    <row r="12" spans="1:2" ht="16.2" hidden="1" x14ac:dyDescent="0.25">
      <c r="A12" s="3" t="s">
        <v>442</v>
      </c>
      <c r="B12" s="4">
        <f>IF(B5=8,147/37.5,294/37.5)</f>
        <v>3.92</v>
      </c>
    </row>
    <row r="13" spans="1:2" ht="16.2" hidden="1" x14ac:dyDescent="0.25">
      <c r="A13" s="3" t="s">
        <v>443</v>
      </c>
      <c r="B13" s="4">
        <f>(B3+42)*B12</f>
        <v>4398.24</v>
      </c>
    </row>
    <row r="14" spans="1:2" ht="16.2" x14ac:dyDescent="0.25">
      <c r="A14" s="3" t="s">
        <v>444</v>
      </c>
      <c r="B14" s="4" t="s">
        <v>47</v>
      </c>
    </row>
    <row r="15" spans="1:2" ht="16.2" x14ac:dyDescent="0.25">
      <c r="A15" s="3" t="s">
        <v>445</v>
      </c>
      <c r="B15" s="4">
        <v>227</v>
      </c>
    </row>
    <row r="16" spans="1:2" ht="16.2" hidden="1" x14ac:dyDescent="0.25">
      <c r="A16" s="3" t="s">
        <v>446</v>
      </c>
      <c r="B16" s="5">
        <f>MAX(B11*1000000/B7,B11*1000000/B6,(B9+18)*B12,B13,B12*IF(B14="off",0,1)*INT(1000*1000/(B12*B15)))</f>
        <v>10054.799999999999</v>
      </c>
    </row>
    <row r="17" spans="1:2" ht="16.2" x14ac:dyDescent="0.25">
      <c r="A17" s="87" t="s">
        <v>447</v>
      </c>
      <c r="B17" s="88"/>
    </row>
    <row r="18" spans="1:2" ht="27" x14ac:dyDescent="0.25">
      <c r="A18" s="6" t="s">
        <v>448</v>
      </c>
      <c r="B18" s="7">
        <f>1000000/B16</f>
        <v>99.454986673031797</v>
      </c>
    </row>
  </sheetData>
  <sheetProtection algorithmName="SHA-512" hashValue="xdBQ5BrcBisJ6dZ0KKNpdnRQ4Pd/2vkDzVLG6PwMKEmJtcYINQul0ibeJsyCSqY5j855PB4tmw01O2vUMqDoOw==" saltValue="gb6BR79LNHSTsL39jMTjbQ==" spinCount="100000" sheet="1" objects="1" scenarios="1"/>
  <mergeCells count="2">
    <mergeCell ref="A1:B1"/>
    <mergeCell ref="A17:B17"/>
  </mergeCells>
  <phoneticPr fontId="5" type="noConversion"/>
  <dataValidations count="7"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  <dataValidation type="list" allowBlank="1" showInputMessage="1" showErrorMessage="1" errorTitle="Input parameter error" error="Input off or on" sqref="B14">
      <formula1>"off,on"</formula1>
    </dataValidation>
    <dataValidation type="list" allowBlank="1" showInputMessage="1" showErrorMessage="1" errorTitle="Input parameter error" error="Input 8 or 10" sqref="B5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Input range from 64 to 1080,and is an integer multiple of 2" sqref="B3">
      <formula1>AND(MOD(B3,2)=0,B3&gt;=64,B3&lt;=1080)</formula1>
    </dataValidation>
    <dataValidation type="custom" allowBlank="1" showInputMessage="1" showErrorMessage="1" errorTitle="Input parameter error" error="Input range from 64 to 1440_x000a_,and is an integer multiple of 8" sqref="B2">
      <formula1>AND(MOD(B2,8)=0,B2&gt;=64,B2&lt;=1440)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"/>
    </sheetView>
  </sheetViews>
  <sheetFormatPr defaultColWidth="9" defaultRowHeight="14.4" x14ac:dyDescent="0.25"/>
  <cols>
    <col min="1" max="1" width="35.44140625" style="9" customWidth="1"/>
    <col min="2" max="2" width="27.33203125" style="9" customWidth="1"/>
    <col min="3" max="16384" width="9" style="9"/>
  </cols>
  <sheetData>
    <row r="1" spans="1:2" ht="16.2" x14ac:dyDescent="0.25">
      <c r="A1" s="85" t="s">
        <v>7</v>
      </c>
      <c r="B1" s="86"/>
    </row>
    <row r="2" spans="1:2" ht="16.2" x14ac:dyDescent="0.25">
      <c r="A2" s="3" t="s">
        <v>104</v>
      </c>
      <c r="B2" s="4">
        <v>1920</v>
      </c>
    </row>
    <row r="3" spans="1:2" ht="16.2" x14ac:dyDescent="0.25">
      <c r="A3" s="3" t="s">
        <v>105</v>
      </c>
      <c r="B3" s="4">
        <v>1200</v>
      </c>
    </row>
    <row r="4" spans="1:2" ht="16.2" x14ac:dyDescent="0.25">
      <c r="A4" s="3" t="s">
        <v>209</v>
      </c>
      <c r="B4" s="4">
        <v>10000</v>
      </c>
    </row>
    <row r="5" spans="1:2" ht="15" customHeight="1" x14ac:dyDescent="0.25">
      <c r="A5" s="3" t="s">
        <v>223</v>
      </c>
      <c r="B5" s="4">
        <v>8</v>
      </c>
    </row>
    <row r="6" spans="1:2" ht="16.2" x14ac:dyDescent="0.25">
      <c r="A6" s="3" t="s">
        <v>208</v>
      </c>
      <c r="B6" s="4">
        <v>300000000</v>
      </c>
    </row>
    <row r="7" spans="1:2" ht="16.2" x14ac:dyDescent="0.25">
      <c r="A7" s="3" t="s">
        <v>215</v>
      </c>
      <c r="B7" s="4">
        <v>380000000</v>
      </c>
    </row>
    <row r="8" spans="1:2" ht="16.2" hidden="1" x14ac:dyDescent="0.25">
      <c r="A8" s="3"/>
      <c r="B8" s="4"/>
    </row>
    <row r="9" spans="1:2" ht="16.2" hidden="1" x14ac:dyDescent="0.25">
      <c r="A9" s="3" t="s">
        <v>106</v>
      </c>
      <c r="B9" s="4">
        <f>MAX(INT((B4-13.73)/B12),1)</f>
        <v>2080</v>
      </c>
    </row>
    <row r="10" spans="1:2" ht="16.2" hidden="1" x14ac:dyDescent="0.25">
      <c r="A10" s="3" t="s">
        <v>107</v>
      </c>
      <c r="B10" s="4" t="str">
        <f>IF((B5&lt;=8),"1","2")</f>
        <v>1</v>
      </c>
    </row>
    <row r="11" spans="1:2" ht="16.2" hidden="1" x14ac:dyDescent="0.25">
      <c r="A11" s="3" t="s">
        <v>12</v>
      </c>
      <c r="B11" s="4">
        <f>B2*B3*B10+84</f>
        <v>2304084</v>
      </c>
    </row>
    <row r="12" spans="1:2" ht="16.2" hidden="1" x14ac:dyDescent="0.25">
      <c r="A12" s="3" t="s">
        <v>13</v>
      </c>
      <c r="B12" s="4">
        <f>IF(B5=8,180/37.5,360/37.5)</f>
        <v>4.8</v>
      </c>
    </row>
    <row r="13" spans="1:2" ht="16.2" hidden="1" x14ac:dyDescent="0.25">
      <c r="A13" s="3" t="s">
        <v>14</v>
      </c>
      <c r="B13" s="4">
        <f>(B3+38)*B12</f>
        <v>5942.4</v>
      </c>
    </row>
    <row r="14" spans="1:2" ht="16.2" x14ac:dyDescent="0.25">
      <c r="A14" s="3" t="s">
        <v>212</v>
      </c>
      <c r="B14" s="4" t="s">
        <v>47</v>
      </c>
    </row>
    <row r="15" spans="1:2" ht="16.2" x14ac:dyDescent="0.25">
      <c r="A15" s="3" t="s">
        <v>214</v>
      </c>
      <c r="B15" s="4">
        <v>168</v>
      </c>
    </row>
    <row r="16" spans="1:2" ht="16.2" hidden="1" x14ac:dyDescent="0.25">
      <c r="A16" s="3" t="s">
        <v>35</v>
      </c>
      <c r="B16" s="5">
        <f>MAX(B11*1000000/B7,B11*1000000/B6,(B9+14)*B12,B13,B12*(IF(B14="off",0,1))*INT(1000*1000/(B12*B15)))</f>
        <v>10051.199999999999</v>
      </c>
    </row>
    <row r="17" spans="1:2" ht="16.2" x14ac:dyDescent="0.25">
      <c r="A17" s="87" t="s">
        <v>8</v>
      </c>
      <c r="B17" s="88"/>
    </row>
    <row r="18" spans="1:2" ht="27" x14ac:dyDescent="0.25">
      <c r="A18" s="6" t="s">
        <v>210</v>
      </c>
      <c r="B18" s="7">
        <f>1000000/B16</f>
        <v>99.490608086596637</v>
      </c>
    </row>
  </sheetData>
  <sheetProtection algorithmName="SHA-512" hashValue="tXpd41VWu2t9dUWSRe1DM6OLbzIe89pF+tGapoGFMg9pEnUNqhhLwx8/grIbJn2uPf/bAXG2NvhY4EMFAiHmsg==" saltValue="cULbg5JQ1QS4atgI3YnB5Q==" spinCount="100000" sheet="1" objects="1" scenarios="1"/>
  <dataConsolidate/>
  <mergeCells count="2">
    <mergeCell ref="A1:B1"/>
    <mergeCell ref="A17:B17"/>
  </mergeCells>
  <phoneticPr fontId="5" type="noConversion"/>
  <dataValidations count="7"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  <dataValidation type="list" allowBlank="1" showInputMessage="1" showErrorMessage="1" errorTitle="Input parameter error" error="Input off or on" sqref="B14">
      <formula1>"off,on"</formula1>
    </dataValidation>
    <dataValidation type="list" allowBlank="1" showDropDown="1" showInputMessage="1" showErrorMessage="1" errorTitle="Input parameter error" error="Input 8 or 10" sqref="B5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Input range from 64 to 1200,and is an integer multiple of 2" sqref="B3">
      <formula1>AND(MOD(B3,2)=0,B3&gt;=64,B3&lt;=1200)</formula1>
    </dataValidation>
    <dataValidation type="custom" allowBlank="1" showInputMessage="1" showErrorMessage="1" errorTitle="Input parameter error" error="Input range from 64 to 1920,and is an integer multiple of 8" sqref="B2">
      <formula1>AND(MOD(B2,8)=0,B2&gt;=64,B2&lt;=1920)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"/>
    </sheetView>
  </sheetViews>
  <sheetFormatPr defaultColWidth="9" defaultRowHeight="14.4" x14ac:dyDescent="0.25"/>
  <cols>
    <col min="1" max="1" width="35.88671875" style="9" customWidth="1"/>
    <col min="2" max="2" width="29.109375" style="9" customWidth="1"/>
    <col min="3" max="16384" width="9" style="9"/>
  </cols>
  <sheetData>
    <row r="1" spans="1:2" ht="16.2" x14ac:dyDescent="0.25">
      <c r="A1" s="85" t="s">
        <v>7</v>
      </c>
      <c r="B1" s="86"/>
    </row>
    <row r="2" spans="1:2" ht="16.2" x14ac:dyDescent="0.25">
      <c r="A2" s="3" t="s">
        <v>104</v>
      </c>
      <c r="B2" s="4">
        <v>1920</v>
      </c>
    </row>
    <row r="3" spans="1:2" ht="16.2" x14ac:dyDescent="0.25">
      <c r="A3" s="3" t="s">
        <v>105</v>
      </c>
      <c r="B3" s="4">
        <v>1200</v>
      </c>
    </row>
    <row r="4" spans="1:2" ht="16.2" x14ac:dyDescent="0.25">
      <c r="A4" s="3" t="s">
        <v>209</v>
      </c>
      <c r="B4" s="4">
        <v>10000</v>
      </c>
    </row>
    <row r="5" spans="1:2" ht="16.2" x14ac:dyDescent="0.25">
      <c r="A5" s="3" t="s">
        <v>224</v>
      </c>
      <c r="B5" s="4">
        <v>8</v>
      </c>
    </row>
    <row r="6" spans="1:2" ht="16.2" x14ac:dyDescent="0.25">
      <c r="A6" s="3" t="s">
        <v>208</v>
      </c>
      <c r="B6" s="4">
        <v>400000000</v>
      </c>
    </row>
    <row r="7" spans="1:2" ht="16.2" x14ac:dyDescent="0.25">
      <c r="A7" s="3" t="s">
        <v>215</v>
      </c>
      <c r="B7" s="4">
        <v>380000000</v>
      </c>
    </row>
    <row r="8" spans="1:2" ht="16.2" hidden="1" x14ac:dyDescent="0.25">
      <c r="A8" s="3"/>
      <c r="B8" s="4"/>
    </row>
    <row r="9" spans="1:2" ht="16.2" hidden="1" x14ac:dyDescent="0.25">
      <c r="A9" s="3" t="s">
        <v>106</v>
      </c>
      <c r="B9" s="4">
        <f>MAX(INT((B4-13.73)/B12),1)</f>
        <v>501</v>
      </c>
    </row>
    <row r="10" spans="1:2" ht="16.2" hidden="1" x14ac:dyDescent="0.25">
      <c r="A10" s="3" t="s">
        <v>108</v>
      </c>
      <c r="B10" s="4" t="str">
        <f>IF((B5&lt;=8),"1","2")</f>
        <v>1</v>
      </c>
    </row>
    <row r="11" spans="1:2" ht="16.2" hidden="1" x14ac:dyDescent="0.25">
      <c r="A11" s="3" t="s">
        <v>109</v>
      </c>
      <c r="B11" s="4">
        <f>B2*B3*B10+84</f>
        <v>2304084</v>
      </c>
    </row>
    <row r="12" spans="1:2" ht="16.2" hidden="1" x14ac:dyDescent="0.25">
      <c r="A12" s="3" t="s">
        <v>110</v>
      </c>
      <c r="B12" s="4">
        <f>746/37.5</f>
        <v>19.893333333333334</v>
      </c>
    </row>
    <row r="13" spans="1:2" ht="16.2" hidden="1" x14ac:dyDescent="0.25">
      <c r="A13" s="3" t="s">
        <v>111</v>
      </c>
      <c r="B13" s="4">
        <f>(B3+38)*B12</f>
        <v>24627.946666666667</v>
      </c>
    </row>
    <row r="14" spans="1:2" ht="16.2" x14ac:dyDescent="0.25">
      <c r="A14" s="3" t="s">
        <v>212</v>
      </c>
      <c r="B14" s="4" t="s">
        <v>47</v>
      </c>
    </row>
    <row r="15" spans="1:2" ht="16.2" x14ac:dyDescent="0.25">
      <c r="A15" s="3" t="s">
        <v>48</v>
      </c>
      <c r="B15" s="4">
        <v>41</v>
      </c>
    </row>
    <row r="16" spans="1:2" ht="16.2" hidden="1" x14ac:dyDescent="0.25">
      <c r="A16" s="3" t="s">
        <v>112</v>
      </c>
      <c r="B16" s="5">
        <f>MAX(B11*1000000/B7,B11*1000000/B6,(B9+14)*B12,B13,B12*(IF(B14="off",0,1))*INT(1000*1000/(B12*B15)))</f>
        <v>24627.946666666667</v>
      </c>
    </row>
    <row r="17" spans="1:2" ht="16.2" x14ac:dyDescent="0.25">
      <c r="A17" s="87" t="s">
        <v>8</v>
      </c>
      <c r="B17" s="88"/>
    </row>
    <row r="18" spans="1:2" ht="27" x14ac:dyDescent="0.25">
      <c r="A18" s="6" t="s">
        <v>210</v>
      </c>
      <c r="B18" s="7">
        <f>1000000/B16</f>
        <v>40.604278283316084</v>
      </c>
    </row>
  </sheetData>
  <sheetProtection algorithmName="SHA-512" hashValue="6n5QEi+RnPkWhh2/xwNeD4VidHTZDGT5+T/95WRgSxiDKQ9F8zZUjpTf2C8oi3GX5y+THTH0NTc5QNd8Xcdz0w==" saltValue="m7PjGZr0SS++sWOuhlSljw==" spinCount="100000" sheet="1" objects="1" scenarios="1"/>
  <mergeCells count="2">
    <mergeCell ref="A1:B1"/>
    <mergeCell ref="A17:B17"/>
  </mergeCells>
  <phoneticPr fontId="5" type="noConversion"/>
  <dataValidations count="7"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  <dataValidation type="list" allowBlank="1" showInputMessage="1" showErrorMessage="1" errorTitle="Input parameter error" error="Input off or on" sqref="B14">
      <formula1>"off,on"</formula1>
    </dataValidation>
    <dataValidation type="custom" allowBlank="1" showInputMessage="1" showErrorMessage="1" errorTitle="Input parameter error" error="Input range from 64 to 1920,and is an integer multiple of 8" sqref="B2">
      <formula1>AND(MOD(B2,8)=0,B2&gt;=64,B2&lt;=1920)</formula1>
    </dataValidation>
    <dataValidation type="custom" allowBlank="1" showInputMessage="1" showErrorMessage="1" errorTitle="Input parameter error" error="Input range from 64 to 1200,and is an integer multiple of 2" sqref="B3">
      <formula1>AND(MOD(B3,2)=0,B3&gt;=64,B3&lt;=1200)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list" allowBlank="1" showDropDown="1" showInputMessage="1" showErrorMessage="1" errorTitle="Input parameter error" error="Input 8 or 10" sqref="B5">
      <formula1>"8,10"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selection activeCell="B4" sqref="B4"/>
    </sheetView>
  </sheetViews>
  <sheetFormatPr defaultColWidth="9" defaultRowHeight="14.4" x14ac:dyDescent="0.25"/>
  <cols>
    <col min="1" max="1" width="38.77734375" style="9" bestFit="1" customWidth="1"/>
    <col min="2" max="2" width="20.109375" style="9" customWidth="1"/>
    <col min="3" max="3" width="73.109375" style="9" bestFit="1" customWidth="1"/>
    <col min="4" max="6" width="9" style="9"/>
    <col min="7" max="7" width="12.77734375" style="9" hidden="1" customWidth="1"/>
    <col min="8" max="8" width="9.44140625" style="9" hidden="1" customWidth="1"/>
    <col min="9" max="9" width="9" style="9" hidden="1" customWidth="1"/>
    <col min="10" max="10" width="73.109375" style="9" hidden="1" customWidth="1"/>
    <col min="11" max="11" width="65.44140625" style="9" hidden="1" customWidth="1"/>
    <col min="12" max="16384" width="9" style="9"/>
  </cols>
  <sheetData>
    <row r="1" spans="1:11" ht="16.2" x14ac:dyDescent="0.25">
      <c r="A1" s="85" t="s">
        <v>7</v>
      </c>
      <c r="B1" s="86"/>
    </row>
    <row r="2" spans="1:11" ht="16.2" x14ac:dyDescent="0.25">
      <c r="A2" s="3" t="s">
        <v>0</v>
      </c>
      <c r="B2" s="4">
        <v>2048</v>
      </c>
      <c r="C2" s="9" t="str">
        <f>IF(OR(B2&gt;2048/B4,B2&lt;64),LOOKUP(B4,G3:G5,J3:J5),"")</f>
        <v/>
      </c>
      <c r="G2" s="9" t="s">
        <v>451</v>
      </c>
      <c r="H2" s="9" t="s">
        <v>452</v>
      </c>
      <c r="I2" s="9" t="s">
        <v>453</v>
      </c>
    </row>
    <row r="3" spans="1:11" ht="16.2" x14ac:dyDescent="0.25">
      <c r="A3" s="3" t="s">
        <v>1</v>
      </c>
      <c r="B3" s="4">
        <v>1536</v>
      </c>
      <c r="C3" s="9" t="str">
        <f>IF(OR(B3&gt;1536/B5,B3&lt;64),LOOKUP(B5,G3:G5,K3:K5),"")</f>
        <v/>
      </c>
      <c r="G3" s="9">
        <v>1</v>
      </c>
      <c r="H3" s="9">
        <f>8*INT(2048/(8*G3))</f>
        <v>2048</v>
      </c>
      <c r="I3" s="9">
        <f>2*INT(1536/(2*G3))</f>
        <v>1536</v>
      </c>
      <c r="J3" s="9" t="s">
        <v>454</v>
      </c>
      <c r="K3" s="9" t="s">
        <v>457</v>
      </c>
    </row>
    <row r="4" spans="1:11" ht="16.2" x14ac:dyDescent="0.25">
      <c r="A4" s="3" t="s">
        <v>449</v>
      </c>
      <c r="B4" s="4">
        <v>1</v>
      </c>
      <c r="G4" s="9">
        <v>2</v>
      </c>
      <c r="H4" s="9">
        <f>8*INT(2048/(8*G4))</f>
        <v>1024</v>
      </c>
      <c r="I4" s="9">
        <f>2*INT(1536/(2*G4))</f>
        <v>768</v>
      </c>
      <c r="J4" s="9" t="s">
        <v>455</v>
      </c>
      <c r="K4" s="9" t="s">
        <v>458</v>
      </c>
    </row>
    <row r="5" spans="1:11" ht="16.2" x14ac:dyDescent="0.25">
      <c r="A5" s="3" t="s">
        <v>450</v>
      </c>
      <c r="B5" s="4">
        <v>1</v>
      </c>
      <c r="G5" s="9">
        <v>4</v>
      </c>
      <c r="H5" s="9">
        <f>8*INT(2048/(8*G5))</f>
        <v>512</v>
      </c>
      <c r="I5" s="9">
        <f>2*INT(1536/(2*G5))</f>
        <v>384</v>
      </c>
      <c r="J5" s="9" t="s">
        <v>456</v>
      </c>
      <c r="K5" s="9" t="s">
        <v>459</v>
      </c>
    </row>
    <row r="6" spans="1:11" ht="16.2" x14ac:dyDescent="0.25">
      <c r="A6" s="3" t="s">
        <v>209</v>
      </c>
      <c r="B6" s="4">
        <v>10000</v>
      </c>
      <c r="J6" s="9" t="s">
        <v>460</v>
      </c>
    </row>
    <row r="7" spans="1:11" ht="16.2" x14ac:dyDescent="0.25">
      <c r="A7" s="3" t="s">
        <v>225</v>
      </c>
      <c r="B7" s="4">
        <v>8</v>
      </c>
      <c r="H7" s="9">
        <f>2048/B4</f>
        <v>2048</v>
      </c>
      <c r="I7" s="9">
        <f>1536/B5</f>
        <v>1536</v>
      </c>
    </row>
    <row r="8" spans="1:11" ht="16.2" x14ac:dyDescent="0.25">
      <c r="A8" s="3" t="s">
        <v>208</v>
      </c>
      <c r="B8" s="4">
        <v>300000000</v>
      </c>
    </row>
    <row r="9" spans="1:11" ht="16.2" x14ac:dyDescent="0.25">
      <c r="A9" s="34" t="s">
        <v>463</v>
      </c>
      <c r="B9" s="4">
        <v>380000000</v>
      </c>
    </row>
    <row r="10" spans="1:11" ht="16.2" hidden="1" x14ac:dyDescent="0.25">
      <c r="A10" s="3"/>
      <c r="B10" s="4"/>
    </row>
    <row r="11" spans="1:11" ht="16.2" hidden="1" x14ac:dyDescent="0.25">
      <c r="A11" s="3" t="s">
        <v>113</v>
      </c>
      <c r="B11" s="4">
        <f>MAX(INT((B6-13.73)/B14),1)</f>
        <v>1970</v>
      </c>
    </row>
    <row r="12" spans="1:11" ht="16.2" hidden="1" x14ac:dyDescent="0.25">
      <c r="A12" s="3" t="s">
        <v>2</v>
      </c>
      <c r="B12" s="4" t="str">
        <f>IF((B7&lt;=8),"1","2")</f>
        <v>1</v>
      </c>
    </row>
    <row r="13" spans="1:11" ht="16.2" hidden="1" x14ac:dyDescent="0.25">
      <c r="A13" s="3" t="s">
        <v>3</v>
      </c>
      <c r="B13" s="4">
        <f>B2*B3*B12+84</f>
        <v>3145812</v>
      </c>
    </row>
    <row r="14" spans="1:11" ht="16.2" hidden="1" x14ac:dyDescent="0.25">
      <c r="A14" s="3" t="s">
        <v>4</v>
      </c>
      <c r="B14" s="4">
        <f>IF(B7=8,190/37.5,380/37.5)</f>
        <v>5.0666666666666664</v>
      </c>
    </row>
    <row r="15" spans="1:11" ht="16.2" hidden="1" x14ac:dyDescent="0.25">
      <c r="A15" s="3" t="s">
        <v>5</v>
      </c>
      <c r="B15" s="4">
        <f>(B3*B5+38)*B14</f>
        <v>7974.9333333333334</v>
      </c>
    </row>
    <row r="16" spans="1:11" ht="16.2" x14ac:dyDescent="0.25">
      <c r="A16" s="3" t="s">
        <v>212</v>
      </c>
      <c r="B16" s="4" t="s">
        <v>47</v>
      </c>
    </row>
    <row r="17" spans="1:3" ht="16.2" x14ac:dyDescent="0.25">
      <c r="A17" s="3" t="s">
        <v>48</v>
      </c>
      <c r="B17" s="4">
        <v>125</v>
      </c>
    </row>
    <row r="18" spans="1:3" ht="16.2" hidden="1" x14ac:dyDescent="0.25">
      <c r="A18" s="3" t="s">
        <v>6</v>
      </c>
      <c r="B18" s="5">
        <f>MAX(B13*1000000/B9,B13*1000000/B8,(B11+14)*B14,B15,B14*(IF(B16="off",0,1))*INT(1000*1000/(B14*B17)))</f>
        <v>10486.04</v>
      </c>
    </row>
    <row r="19" spans="1:3" ht="16.2" x14ac:dyDescent="0.25">
      <c r="A19" s="87" t="s">
        <v>8</v>
      </c>
      <c r="B19" s="88"/>
    </row>
    <row r="20" spans="1:3" ht="27" x14ac:dyDescent="0.25">
      <c r="A20" s="6" t="s">
        <v>210</v>
      </c>
      <c r="B20" s="7">
        <f>1000000/B18</f>
        <v>95.364885123459374</v>
      </c>
      <c r="C20" s="9" t="str">
        <f>IF(OR(B3&gt;1536/B5,B3&lt;64,B2&gt;2048/B4,B2&lt;64),J6,"")</f>
        <v/>
      </c>
    </row>
  </sheetData>
  <sheetProtection algorithmName="SHA-512" hashValue="yTq8pAhSBeqX9TfXkl1yhHu1zbfkAJW79x0tCZCJrpIJeaIQl1wGBXV8tcm3eZrErTUZCe8u+XkAmhPnrqNLIQ==" saltValue="3VDTQZaUtY+iqw6QMNeKAA==" spinCount="100000" sheet="1" objects="1" scenarios="1"/>
  <mergeCells count="2">
    <mergeCell ref="A1:B1"/>
    <mergeCell ref="A19:B19"/>
  </mergeCells>
  <phoneticPr fontId="5" type="noConversion"/>
  <conditionalFormatting sqref="B2">
    <cfRule type="cellIs" dxfId="7" priority="2" operator="notBetween">
      <formula>64</formula>
      <formula>$H$7</formula>
    </cfRule>
  </conditionalFormatting>
  <conditionalFormatting sqref="B3">
    <cfRule type="cellIs" dxfId="6" priority="1" operator="notBetween">
      <formula>64</formula>
      <formula>$I$7</formula>
    </cfRule>
  </conditionalFormatting>
  <dataValidations count="9">
    <dataValidation type="custom" allowBlank="1" showInputMessage="1" showErrorMessage="1" errorTitle="Input parameter error" error="Input range from 0.1 to 10000,step 0.1" sqref="B17">
      <formula1>AND(MOD(10*B17,1)=0,B17&gt;=0.1,B17&lt;=10000)</formula1>
    </dataValidation>
    <dataValidation type="list" allowBlank="1" showInputMessage="1" showErrorMessage="1" errorTitle="Input parameter error" error="Input off or on" sqref="B16">
      <formula1>"off,on"</formula1>
    </dataValidation>
    <dataValidation type="custom" allowBlank="1" showInputMessage="1" showErrorMessage="1" errorTitle="Input parameter error" error="Input parameter error" sqref="B2">
      <formula1>AND(MOD(B2,8)=0,B2&gt;=64,B2&lt;=2048/B4)</formula1>
    </dataValidation>
    <dataValidation type="custom" allowBlank="1" showInputMessage="1" showErrorMessage="1" errorTitle="Input parameter error" error="Input parameter error" sqref="B3">
      <formula1>AND(MOD(B3,2)=0,B3&gt;=64,B3&lt;=1536/B5)</formula1>
    </dataValidation>
    <dataValidation type="whole" allowBlank="1" showInputMessage="1" showErrorMessage="1" errorTitle="Input parameter error" error="Input range from 20 to 1000000" sqref="B6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8">
      <formula1>OR(AND(B7=8,B8&gt;=35000000,B8&lt;=400000000,MOD(B8,1000000)=0),AND(B7=10,B8&gt;=70000000,B8&lt;=400000000,MOD(B8,1000000)=0))</formula1>
    </dataValidation>
    <dataValidation type="list" allowBlank="1" showDropDown="1" showInputMessage="1" showErrorMessage="1" errorTitle="Input parameter error" error="Input 8 or 10" sqref="B7">
      <formula1>"8,10"</formula1>
    </dataValidation>
    <dataValidation type="list" allowBlank="1" showInputMessage="1" showErrorMessage="1" errorTitle="Input parameter error" error="Input range is 1,2,4" sqref="B4">
      <formula1>"1,2,4"</formula1>
    </dataValidation>
    <dataValidation type="list" allowBlank="1" showInputMessage="1" showErrorMessage="1" errorTitle="Input parameter error" error="Input range is 1,2,4" sqref="B5">
      <formula1>"1,2,4"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selection activeCell="C16" sqref="C16"/>
    </sheetView>
  </sheetViews>
  <sheetFormatPr defaultColWidth="9" defaultRowHeight="14.4" x14ac:dyDescent="0.25"/>
  <cols>
    <col min="1" max="1" width="35.6640625" style="9" customWidth="1"/>
    <col min="2" max="2" width="12.77734375" style="9" bestFit="1" customWidth="1"/>
    <col min="3" max="3" width="73.109375" style="9" bestFit="1" customWidth="1"/>
    <col min="4" max="6" width="9" style="9"/>
    <col min="7" max="7" width="12.77734375" style="9" hidden="1" customWidth="1"/>
    <col min="8" max="9" width="9.44140625" style="9" hidden="1" customWidth="1"/>
    <col min="10" max="10" width="73.109375" style="9" hidden="1" customWidth="1"/>
    <col min="11" max="11" width="65.44140625" style="9" hidden="1" customWidth="1"/>
    <col min="12" max="16384" width="9" style="9"/>
  </cols>
  <sheetData>
    <row r="1" spans="1:11" ht="16.2" x14ac:dyDescent="0.25">
      <c r="A1" s="85" t="s">
        <v>7</v>
      </c>
      <c r="B1" s="86"/>
    </row>
    <row r="2" spans="1:11" ht="16.2" x14ac:dyDescent="0.25">
      <c r="A2" s="3" t="s">
        <v>132</v>
      </c>
      <c r="B2" s="4">
        <v>2048</v>
      </c>
      <c r="C2" s="9" t="str">
        <f>IF(OR(B2&gt;2048/B4,B2&lt;64),LOOKUP(B4,G3:G5,J3:J5),"")</f>
        <v/>
      </c>
      <c r="G2" s="9" t="s">
        <v>451</v>
      </c>
      <c r="H2" s="9" t="s">
        <v>452</v>
      </c>
      <c r="I2" s="9" t="s">
        <v>453</v>
      </c>
    </row>
    <row r="3" spans="1:11" ht="16.2" x14ac:dyDescent="0.25">
      <c r="A3" s="3" t="s">
        <v>133</v>
      </c>
      <c r="B3" s="4">
        <v>1536</v>
      </c>
      <c r="C3" s="9" t="str">
        <f>IF(OR(B3&gt;1536/B5,B3&lt;64),LOOKUP(B5,G3:G5,K3:K5),"")</f>
        <v/>
      </c>
      <c r="G3" s="9">
        <v>1</v>
      </c>
      <c r="H3" s="9">
        <f>8*INT(2048/(8*G3))</f>
        <v>2048</v>
      </c>
      <c r="I3" s="9">
        <f>2*INT(1536/(2*G3))</f>
        <v>1536</v>
      </c>
      <c r="J3" s="9" t="s">
        <v>454</v>
      </c>
      <c r="K3" s="9" t="s">
        <v>457</v>
      </c>
    </row>
    <row r="4" spans="1:11" ht="16.2" x14ac:dyDescent="0.25">
      <c r="A4" s="3" t="s">
        <v>449</v>
      </c>
      <c r="B4" s="4">
        <v>1</v>
      </c>
      <c r="G4" s="9">
        <v>2</v>
      </c>
      <c r="H4" s="9">
        <f>8*INT(2048/(8*G4))</f>
        <v>1024</v>
      </c>
      <c r="I4" s="9">
        <f>2*INT(1536/(2*G4))</f>
        <v>768</v>
      </c>
      <c r="J4" s="9" t="s">
        <v>455</v>
      </c>
      <c r="K4" s="9" t="s">
        <v>458</v>
      </c>
    </row>
    <row r="5" spans="1:11" ht="16.2" x14ac:dyDescent="0.25">
      <c r="A5" s="3" t="s">
        <v>450</v>
      </c>
      <c r="B5" s="4">
        <v>1</v>
      </c>
      <c r="G5" s="9">
        <v>4</v>
      </c>
      <c r="H5" s="9">
        <f>8*INT(2048/(8*G5))</f>
        <v>512</v>
      </c>
      <c r="I5" s="9">
        <f>2*INT(1536/(2*G5))</f>
        <v>384</v>
      </c>
      <c r="J5" s="9" t="s">
        <v>456</v>
      </c>
      <c r="K5" s="9" t="s">
        <v>459</v>
      </c>
    </row>
    <row r="6" spans="1:11" ht="16.2" x14ac:dyDescent="0.25">
      <c r="A6" s="3" t="s">
        <v>209</v>
      </c>
      <c r="B6" s="4">
        <v>10000</v>
      </c>
      <c r="J6" s="9" t="s">
        <v>460</v>
      </c>
    </row>
    <row r="7" spans="1:11" ht="16.2" x14ac:dyDescent="0.25">
      <c r="A7" s="3" t="s">
        <v>225</v>
      </c>
      <c r="B7" s="4">
        <v>8</v>
      </c>
      <c r="H7" s="9">
        <f>2048/B4</f>
        <v>2048</v>
      </c>
      <c r="I7" s="9">
        <f>1536/B5</f>
        <v>1536</v>
      </c>
    </row>
    <row r="8" spans="1:11" ht="16.2" x14ac:dyDescent="0.25">
      <c r="A8" s="3" t="s">
        <v>208</v>
      </c>
      <c r="B8" s="4">
        <v>300000000</v>
      </c>
    </row>
    <row r="9" spans="1:11" ht="16.2" x14ac:dyDescent="0.25">
      <c r="A9" s="3" t="s">
        <v>215</v>
      </c>
      <c r="B9" s="4">
        <v>380000000</v>
      </c>
    </row>
    <row r="10" spans="1:11" ht="16.2" hidden="1" x14ac:dyDescent="0.25">
      <c r="A10" s="3"/>
      <c r="B10" s="4"/>
    </row>
    <row r="11" spans="1:11" ht="16.2" hidden="1" x14ac:dyDescent="0.25">
      <c r="A11" s="3" t="s">
        <v>134</v>
      </c>
      <c r="B11" s="4">
        <f>MAX(INT((B6-13.73)/B14),1)</f>
        <v>885</v>
      </c>
    </row>
    <row r="12" spans="1:11" ht="16.2" hidden="1" x14ac:dyDescent="0.25">
      <c r="A12" s="3" t="s">
        <v>135</v>
      </c>
      <c r="B12" s="4" t="str">
        <f>IF((B7&lt;=8),"1","2")</f>
        <v>1</v>
      </c>
    </row>
    <row r="13" spans="1:11" ht="16.2" hidden="1" x14ac:dyDescent="0.25">
      <c r="A13" s="3" t="s">
        <v>38</v>
      </c>
      <c r="B13" s="4">
        <f>B2*B3*B12+84</f>
        <v>3145812</v>
      </c>
    </row>
    <row r="14" spans="1:11" ht="16.2" hidden="1" x14ac:dyDescent="0.25">
      <c r="A14" s="3" t="s">
        <v>52</v>
      </c>
      <c r="B14" s="4">
        <f>423/37.5</f>
        <v>11.28</v>
      </c>
    </row>
    <row r="15" spans="1:11" ht="16.2" hidden="1" x14ac:dyDescent="0.25">
      <c r="A15" s="3" t="s">
        <v>136</v>
      </c>
      <c r="B15" s="4">
        <f>(B3*B5+32)*B14</f>
        <v>17687.039999999997</v>
      </c>
    </row>
    <row r="16" spans="1:11" ht="16.2" x14ac:dyDescent="0.25">
      <c r="A16" s="3" t="s">
        <v>212</v>
      </c>
      <c r="B16" s="4" t="s">
        <v>47</v>
      </c>
    </row>
    <row r="17" spans="1:3" ht="16.2" x14ac:dyDescent="0.25">
      <c r="A17" s="3" t="s">
        <v>48</v>
      </c>
      <c r="B17" s="4">
        <v>56</v>
      </c>
    </row>
    <row r="18" spans="1:3" ht="16.2" hidden="1" x14ac:dyDescent="0.25">
      <c r="A18" s="3" t="s">
        <v>35</v>
      </c>
      <c r="B18" s="5">
        <f>MAX(B13*1000000/B9,B13*1000000/B8,(B11+14)*B14,B15,B14*(IF(B16="off",0,1))*INT(1000*1000/(B14*B17)))</f>
        <v>17687.039999999997</v>
      </c>
    </row>
    <row r="19" spans="1:3" ht="16.2" x14ac:dyDescent="0.25">
      <c r="A19" s="87" t="s">
        <v>8</v>
      </c>
      <c r="B19" s="88"/>
    </row>
    <row r="20" spans="1:3" ht="27" x14ac:dyDescent="0.25">
      <c r="A20" s="6" t="s">
        <v>226</v>
      </c>
      <c r="B20" s="7">
        <f>1000000/B18</f>
        <v>56.538572875958906</v>
      </c>
      <c r="C20" s="9" t="str">
        <f>IF(OR(B3&gt;1536/B5,B3&lt;64,B2&gt;2048/B4,B2&lt;64),J6,"")</f>
        <v/>
      </c>
    </row>
  </sheetData>
  <sheetProtection algorithmName="SHA-512" hashValue="6PmnhX9SjDZAf07WsCQvu105QZhSecXOt918LOvSpY5f7OH14t++2r+DwFXV6ox6Y6mT2SakMV/XE90vfGfQFQ==" saltValue="WteZDCxZoVln5GUV+7WcXg==" spinCount="100000" sheet="1" objects="1" scenarios="1"/>
  <mergeCells count="2">
    <mergeCell ref="A1:B1"/>
    <mergeCell ref="A19:B19"/>
  </mergeCells>
  <phoneticPr fontId="5" type="noConversion"/>
  <conditionalFormatting sqref="B2">
    <cfRule type="cellIs" dxfId="5" priority="2" operator="notBetween">
      <formula>64</formula>
      <formula>$H$7</formula>
    </cfRule>
  </conditionalFormatting>
  <conditionalFormatting sqref="B3">
    <cfRule type="cellIs" dxfId="4" priority="1" operator="notBetween">
      <formula>64</formula>
      <formula>$I$7</formula>
    </cfRule>
  </conditionalFormatting>
  <dataValidations count="9">
    <dataValidation type="whole" allowBlank="1" showInputMessage="1" showErrorMessage="1" errorTitle="Input parameter error" error="Input range from 20 to 1000000" sqref="B6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8">
      <formula1>OR(AND(B7=8,B8&gt;=35000000,B8&lt;=400000000,MOD(B8,1000000)=0),AND(B7=10,B8&gt;=70000000,B8&lt;=400000000,MOD(B8,1000000)=0))</formula1>
    </dataValidation>
    <dataValidation type="list" allowBlank="1" showDropDown="1" showInputMessage="1" showErrorMessage="1" errorTitle="Input parameter error" error="Input 8 or 10" sqref="B7">
      <formula1>"8,10"</formula1>
    </dataValidation>
    <dataValidation type="list" allowBlank="1" showInputMessage="1" showErrorMessage="1" errorTitle="Input parameter error" error="Input off or on" sqref="B16">
      <formula1>"off,on"</formula1>
    </dataValidation>
    <dataValidation type="custom" allowBlank="1" showInputMessage="1" showErrorMessage="1" errorTitle="Input parameter error" error="Input range from 0.1 to 10000,step 0.1" sqref="B17">
      <formula1>AND(MOD(10*B17,1)=0,B17&gt;=0.1,B17&lt;=10000)</formula1>
    </dataValidation>
    <dataValidation type="list" allowBlank="1" showInputMessage="1" showErrorMessage="1" errorTitle="Input parameter error" error="Input range is 1,2" sqref="B5">
      <formula1>"1,2"</formula1>
    </dataValidation>
    <dataValidation type="custom" allowBlank="1" showInputMessage="1" showErrorMessage="1" errorTitle="Input parameter error" error="Input parameter error" sqref="B3">
      <formula1>AND(MOD(B3,2)=0,B3&gt;=64,B3&lt;=1536/B5)</formula1>
    </dataValidation>
    <dataValidation type="custom" allowBlank="1" showInputMessage="1" showErrorMessage="1" errorTitle="Input parameter error" error="Input parameter error" sqref="B2">
      <formula1>AND(MOD(B2,8)=0,B2&gt;=64,B2&lt;=2048/B4)</formula1>
    </dataValidation>
    <dataValidation type="list" allowBlank="1" showInputMessage="1" showErrorMessage="1" errorTitle="Input parameter error" error="Input range is 1,2" sqref="B4">
      <formula1>"1,2"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15" zoomScaleNormal="115" workbookViewId="0">
      <selection activeCell="D6" sqref="D6"/>
    </sheetView>
  </sheetViews>
  <sheetFormatPr defaultColWidth="9" defaultRowHeight="14.4" x14ac:dyDescent="0.25"/>
  <cols>
    <col min="1" max="2" width="35.77734375" style="9" customWidth="1"/>
    <col min="3" max="16384" width="9" style="9"/>
  </cols>
  <sheetData>
    <row r="1" spans="1:2" ht="16.2" x14ac:dyDescent="0.25">
      <c r="A1" s="85" t="s">
        <v>7</v>
      </c>
      <c r="B1" s="86"/>
    </row>
    <row r="2" spans="1:2" ht="16.2" x14ac:dyDescent="0.25">
      <c r="A2" s="3" t="s">
        <v>114</v>
      </c>
      <c r="B2" s="4">
        <v>2592</v>
      </c>
    </row>
    <row r="3" spans="1:2" ht="16.2" x14ac:dyDescent="0.25">
      <c r="A3" s="3" t="s">
        <v>115</v>
      </c>
      <c r="B3" s="4">
        <v>1944</v>
      </c>
    </row>
    <row r="4" spans="1:2" ht="16.2" x14ac:dyDescent="0.25">
      <c r="A4" s="3" t="s">
        <v>209</v>
      </c>
      <c r="B4" s="4">
        <v>60000</v>
      </c>
    </row>
    <row r="5" spans="1:2" ht="16.2" x14ac:dyDescent="0.25">
      <c r="A5" s="3" t="s">
        <v>216</v>
      </c>
      <c r="B5" s="4">
        <v>8</v>
      </c>
    </row>
    <row r="6" spans="1:2" ht="16.2" x14ac:dyDescent="0.25">
      <c r="A6" s="3" t="s">
        <v>208</v>
      </c>
      <c r="B6" s="4">
        <v>400000000</v>
      </c>
    </row>
    <row r="7" spans="1:2" ht="16.2" x14ac:dyDescent="0.25">
      <c r="A7" s="3" t="s">
        <v>215</v>
      </c>
      <c r="B7" s="4">
        <v>380000000</v>
      </c>
    </row>
    <row r="8" spans="1:2" ht="16.2" hidden="1" x14ac:dyDescent="0.25">
      <c r="A8" s="3"/>
      <c r="B8" s="5"/>
    </row>
    <row r="9" spans="1:2" ht="16.2" hidden="1" x14ac:dyDescent="0.25">
      <c r="A9" s="3" t="s">
        <v>16</v>
      </c>
      <c r="B9" s="5" t="str">
        <f>IF((B5&lt;=8),"1","2")</f>
        <v>1</v>
      </c>
    </row>
    <row r="10" spans="1:2" ht="16.2" hidden="1" x14ac:dyDescent="0.25">
      <c r="A10" s="3" t="s">
        <v>38</v>
      </c>
      <c r="B10" s="5">
        <f>B2*B3*B9+84</f>
        <v>5038932</v>
      </c>
    </row>
    <row r="11" spans="1:2" ht="16.2" hidden="1" x14ac:dyDescent="0.25">
      <c r="A11" s="3" t="s">
        <v>52</v>
      </c>
      <c r="B11" s="5">
        <f>20832*MAX((B2+1)/2+450,487)/1000000</f>
        <v>36.383088000000001</v>
      </c>
    </row>
    <row r="12" spans="1:2" ht="16.2" hidden="1" x14ac:dyDescent="0.25">
      <c r="A12" s="3" t="s">
        <v>53</v>
      </c>
      <c r="B12" s="5">
        <f>(B3+19)*B11</f>
        <v>71420.001744000008</v>
      </c>
    </row>
    <row r="13" spans="1:2" ht="16.2" hidden="1" x14ac:dyDescent="0.25">
      <c r="A13" s="3" t="s">
        <v>35</v>
      </c>
      <c r="B13" s="5">
        <f>MAX(B10*1000000/B7,B10*1000000/B6,B4,B12)</f>
        <v>71420.001744000008</v>
      </c>
    </row>
    <row r="14" spans="1:2" ht="16.2" hidden="1" x14ac:dyDescent="0.25">
      <c r="A14" s="3"/>
      <c r="B14" s="5"/>
    </row>
    <row r="15" spans="1:2" ht="16.2" hidden="1" x14ac:dyDescent="0.25">
      <c r="A15" s="3"/>
      <c r="B15" s="3"/>
    </row>
    <row r="16" spans="1:2" ht="16.2" x14ac:dyDescent="0.25">
      <c r="A16" s="87" t="s">
        <v>8</v>
      </c>
      <c r="B16" s="88"/>
    </row>
    <row r="17" spans="1:2" ht="27" x14ac:dyDescent="0.25">
      <c r="A17" s="6" t="s">
        <v>210</v>
      </c>
      <c r="B17" s="7">
        <f>1000000/B13</f>
        <v>14.001679859718148</v>
      </c>
    </row>
  </sheetData>
  <sheetProtection algorithmName="SHA-512" hashValue="LBFER2rrzfgdWg1WCGz+omSVbHPxT1xxStc1FzxVychAU+r9tTFB2FyCrws9/nZ6AhHLo05X+4/vhd6n1kvenQ==" saltValue="tTJQoekJUUVjN0j33be8iQ==" spinCount="100000" sheet="1" objects="1" scenarios="1"/>
  <mergeCells count="2">
    <mergeCell ref="A1:B1"/>
    <mergeCell ref="A16:B16"/>
  </mergeCells>
  <phoneticPr fontId="5" type="noConversion"/>
  <dataValidations count="5">
    <dataValidation type="custom" allowBlank="1" showInputMessage="1" showErrorMessage="1" errorTitle="Input parameter error" error="Input range from 64 to 2592,and is an integer multiple of 4" sqref="B2">
      <formula1>AND(MOD(B2,4)=0,B2&gt;=64,B2&lt;=2592)</formula1>
    </dataValidation>
    <dataValidation type="custom" allowBlank="1" showInputMessage="1" showErrorMessage="1" errorTitle="Input parameter error" error="Input range from 64 to 1944,and is an integer multiple of 2" sqref="B3">
      <formula1>AND(MOD(B3,2)=0,B3&gt;=64,B3&lt;=1944)</formula1>
    </dataValidation>
    <dataValidation type="whole" allowBlank="1" showInputMessage="1" showErrorMessage="1" errorTitle="Input parameter error" error="Input range from 36 to 1000000" sqref="B4">
      <formula1>36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list" allowBlank="1" showDropDown="1" showInputMessage="1" showErrorMessage="1" errorTitle="Input parameter error" error="Input 8 or 10" sqref="B5">
      <formula1>"8,10"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selection activeCell="B23" sqref="B23"/>
    </sheetView>
  </sheetViews>
  <sheetFormatPr defaultColWidth="9" defaultRowHeight="14.4" x14ac:dyDescent="0.25"/>
  <cols>
    <col min="1" max="1" width="36.109375" style="9" customWidth="1"/>
    <col min="2" max="2" width="20.21875" style="9" customWidth="1"/>
    <col min="3" max="3" width="73.6640625" style="9" bestFit="1" customWidth="1"/>
    <col min="4" max="6" width="9" style="9"/>
    <col min="7" max="7" width="12.44140625" style="9" hidden="1" customWidth="1"/>
    <col min="8" max="9" width="9" style="9" hidden="1" customWidth="1"/>
    <col min="10" max="10" width="73.6640625" style="9" hidden="1" customWidth="1"/>
    <col min="11" max="11" width="66" style="9" hidden="1" customWidth="1"/>
    <col min="12" max="16384" width="9" style="9"/>
  </cols>
  <sheetData>
    <row r="1" spans="1:11" ht="16.2" x14ac:dyDescent="0.25">
      <c r="A1" s="85" t="s">
        <v>7</v>
      </c>
      <c r="B1" s="86"/>
    </row>
    <row r="2" spans="1:11" ht="16.2" x14ac:dyDescent="0.25">
      <c r="A2" s="3" t="s">
        <v>116</v>
      </c>
      <c r="B2" s="4">
        <v>2448</v>
      </c>
      <c r="C2" s="82" t="str">
        <f>IF(OR(B2&gt;2448/B4,B2&lt;64),LOOKUP(B4,G3:G5,J3:J5),"")</f>
        <v/>
      </c>
      <c r="G2" s="9" t="s">
        <v>451</v>
      </c>
      <c r="H2" s="9" t="s">
        <v>452</v>
      </c>
      <c r="I2" s="9" t="s">
        <v>453</v>
      </c>
    </row>
    <row r="3" spans="1:11" ht="16.2" x14ac:dyDescent="0.25">
      <c r="A3" s="3" t="s">
        <v>117</v>
      </c>
      <c r="B3" s="4">
        <v>2048</v>
      </c>
      <c r="C3" s="82" t="str">
        <f>IF(OR(B3&gt;2048/B5,B3&lt;64),LOOKUP(B5,G3:G5,K3:K5),"")</f>
        <v/>
      </c>
      <c r="G3" s="9">
        <v>1</v>
      </c>
      <c r="H3" s="9">
        <f>8*INT(2448/(8*G3))</f>
        <v>2448</v>
      </c>
      <c r="I3" s="9">
        <f>2*INT(2048/(2*G3))</f>
        <v>2048</v>
      </c>
      <c r="J3" s="9" t="s">
        <v>564</v>
      </c>
      <c r="K3" s="9" t="s">
        <v>567</v>
      </c>
    </row>
    <row r="4" spans="1:11" ht="16.2" x14ac:dyDescent="0.25">
      <c r="A4" s="3" t="s">
        <v>449</v>
      </c>
      <c r="B4" s="4">
        <v>1</v>
      </c>
      <c r="G4" s="9">
        <v>2</v>
      </c>
      <c r="H4" s="9">
        <f>8*INT(2448/(8*G4))</f>
        <v>1224</v>
      </c>
      <c r="I4" s="9">
        <f>2*INT(2048/(2*G4))</f>
        <v>1024</v>
      </c>
      <c r="J4" s="9" t="s">
        <v>565</v>
      </c>
      <c r="K4" s="9" t="s">
        <v>550</v>
      </c>
    </row>
    <row r="5" spans="1:11" ht="16.2" x14ac:dyDescent="0.25">
      <c r="A5" s="3" t="s">
        <v>450</v>
      </c>
      <c r="B5" s="4">
        <v>1</v>
      </c>
      <c r="C5"/>
      <c r="G5" s="9">
        <v>4</v>
      </c>
      <c r="H5" s="9">
        <f>8*INT(2448/(8*G5))</f>
        <v>608</v>
      </c>
      <c r="I5" s="9">
        <f>2*INT(2048/(2*G5))</f>
        <v>512</v>
      </c>
      <c r="J5" s="9" t="s">
        <v>566</v>
      </c>
      <c r="K5" s="9" t="s">
        <v>568</v>
      </c>
    </row>
    <row r="6" spans="1:11" ht="16.2" x14ac:dyDescent="0.25">
      <c r="A6" s="3" t="s">
        <v>209</v>
      </c>
      <c r="B6" s="4">
        <v>10000</v>
      </c>
      <c r="J6" s="9" t="s">
        <v>460</v>
      </c>
    </row>
    <row r="7" spans="1:11" ht="16.2" x14ac:dyDescent="0.25">
      <c r="A7" s="3" t="s">
        <v>227</v>
      </c>
      <c r="B7" s="4">
        <v>8</v>
      </c>
      <c r="H7" s="9">
        <f>2448/B4</f>
        <v>2448</v>
      </c>
      <c r="I7" s="9">
        <f>2048/B5</f>
        <v>2048</v>
      </c>
    </row>
    <row r="8" spans="1:11" ht="16.2" x14ac:dyDescent="0.25">
      <c r="A8" s="3" t="s">
        <v>208</v>
      </c>
      <c r="B8" s="4">
        <v>300000000</v>
      </c>
    </row>
    <row r="9" spans="1:11" ht="16.2" x14ac:dyDescent="0.25">
      <c r="A9" s="3" t="s">
        <v>215</v>
      </c>
      <c r="B9" s="4">
        <v>380000000</v>
      </c>
    </row>
    <row r="10" spans="1:11" ht="16.2" hidden="1" x14ac:dyDescent="0.25">
      <c r="A10" s="3"/>
      <c r="B10" s="4"/>
    </row>
    <row r="11" spans="1:11" ht="16.2" hidden="1" x14ac:dyDescent="0.25">
      <c r="A11" s="3" t="s">
        <v>118</v>
      </c>
      <c r="B11" s="4">
        <f>MAX(INT((B6-13.73)/B14),1)</f>
        <v>1649</v>
      </c>
    </row>
    <row r="12" spans="1:11" ht="16.2" hidden="1" x14ac:dyDescent="0.25">
      <c r="A12" s="3" t="s">
        <v>119</v>
      </c>
      <c r="B12" s="4" t="str">
        <f>IF((B7&lt;=8),"1","2")</f>
        <v>1</v>
      </c>
    </row>
    <row r="13" spans="1:11" ht="16.2" hidden="1" x14ac:dyDescent="0.25">
      <c r="A13" s="3" t="s">
        <v>120</v>
      </c>
      <c r="B13" s="4">
        <f>B2*B3*B12+84</f>
        <v>5013588</v>
      </c>
    </row>
    <row r="14" spans="1:11" ht="16.2" hidden="1" x14ac:dyDescent="0.25">
      <c r="A14" s="3" t="s">
        <v>121</v>
      </c>
      <c r="B14" s="4">
        <f>IF(B7=8,227/37.5,454/37.5)</f>
        <v>6.0533333333333337</v>
      </c>
    </row>
    <row r="15" spans="1:11" ht="16.2" hidden="1" x14ac:dyDescent="0.25">
      <c r="A15" s="3" t="s">
        <v>122</v>
      </c>
      <c r="B15" s="4">
        <f>(B5*B3+38)*B14</f>
        <v>12627.253333333334</v>
      </c>
    </row>
    <row r="16" spans="1:11" ht="16.2" x14ac:dyDescent="0.25">
      <c r="A16" s="3" t="s">
        <v>212</v>
      </c>
      <c r="B16" s="4" t="s">
        <v>47</v>
      </c>
    </row>
    <row r="17" spans="1:3" ht="16.2" x14ac:dyDescent="0.25">
      <c r="A17" s="3" t="s">
        <v>48</v>
      </c>
      <c r="B17" s="4">
        <v>79</v>
      </c>
    </row>
    <row r="18" spans="1:3" ht="16.2" hidden="1" x14ac:dyDescent="0.25">
      <c r="A18" s="3" t="s">
        <v>123</v>
      </c>
      <c r="B18" s="5">
        <f>MAX(B13*1000000/B9,B13*1000000/B8,(B11+14)*B14,B15,B14*IF(B16="off",0,1)*INT(1000*1000/(B14*B17)))</f>
        <v>16711.96</v>
      </c>
    </row>
    <row r="19" spans="1:3" ht="16.2" x14ac:dyDescent="0.25">
      <c r="A19" s="87" t="s">
        <v>8</v>
      </c>
      <c r="B19" s="88"/>
    </row>
    <row r="20" spans="1:3" ht="27" x14ac:dyDescent="0.25">
      <c r="A20" s="6" t="s">
        <v>210</v>
      </c>
      <c r="B20" s="7">
        <f>1000000/B18</f>
        <v>59.837385920023749</v>
      </c>
      <c r="C20" s="82" t="str">
        <f>IF(OR(B3&gt;2048/B5,B3&lt;64,B2&gt;2448/B4,B2&lt;64),J6,"")</f>
        <v/>
      </c>
    </row>
  </sheetData>
  <sheetProtection algorithmName="SHA-512" hashValue="vzxPuh+qNoMG9iK6hSnDXWO0+UYeqAyA1lZ9XMOigG3TDefyljU1rtc0S1QJC3SLA7w8RqE8eq+zG5rZU//YXw==" saltValue="mpyuWs4FqME2UiMb1qMmlA==" spinCount="100000" sheet="1" objects="1" scenarios="1"/>
  <dataConsolidate/>
  <mergeCells count="2">
    <mergeCell ref="A1:B1"/>
    <mergeCell ref="A19:B19"/>
  </mergeCells>
  <phoneticPr fontId="5" type="noConversion"/>
  <conditionalFormatting sqref="B2">
    <cfRule type="cellIs" dxfId="3" priority="3" operator="notBetween">
      <formula>64</formula>
      <formula>$H$7</formula>
    </cfRule>
  </conditionalFormatting>
  <conditionalFormatting sqref="B3">
    <cfRule type="cellIs" dxfId="2" priority="1" operator="notBetween">
      <formula>64</formula>
      <formula>$I$7</formula>
    </cfRule>
  </conditionalFormatting>
  <dataValidations count="8">
    <dataValidation type="custom" allowBlank="1" showInputMessage="1" showErrorMessage="1" errorTitle="Input parameter error" error="Input range from 0.1 to 10000,step 0.1" sqref="B17">
      <formula1>AND(MOD(10*B17,1)=0,B17&gt;=0.1,B17&lt;=10000)</formula1>
    </dataValidation>
    <dataValidation type="list" allowBlank="1" showInputMessage="1" showErrorMessage="1" errorTitle="Input parameter error" error="Input off or on" sqref="B16">
      <formula1>"off,on"</formula1>
    </dataValidation>
    <dataValidation type="list" allowBlank="1" showDropDown="1" showInputMessage="1" showErrorMessage="1" errorTitle="Input parameter error" error="Input 8 or 10" sqref="B7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8">
      <formula1>OR(AND(B7=8,B8&gt;=35000000,B8&lt;=400000000,MOD(B8,1000000)=0),AND(B7=10,B8&gt;=70000000,B8&lt;=400000000,MOD(B8,1000000)=0))</formula1>
    </dataValidation>
    <dataValidation type="whole" allowBlank="1" showInputMessage="1" showErrorMessage="1" errorTitle="Input parameter error" error="Input range from 20 to 1000000" sqref="B6">
      <formula1>20</formula1>
      <formula2>1000000</formula2>
    </dataValidation>
    <dataValidation type="custom" allowBlank="1" showInputMessage="1" showErrorMessage="1" errorTitle="Input parameter error" error="Input range from 64 to 2048,and is an integer multiple of 2" sqref="B3">
      <formula1>AND(MOD(B3,2)=0,B3&gt;=64,B3&lt;=2048)</formula1>
    </dataValidation>
    <dataValidation type="custom" allowBlank="1" showInputMessage="1" showErrorMessage="1" errorTitle="Input parameter error" error="Input range from 64 to 2448,and is an integer multiple of 8" sqref="B2">
      <formula1>AND(MOD(B2,8)=0,B2&gt;=64,B2&lt;=2448)</formula1>
    </dataValidation>
    <dataValidation type="list" allowBlank="1" showInputMessage="1" showErrorMessage="1" errorTitle="Input parameter error" error="Input range is 1,2,4" sqref="B4:B5">
      <formula1>"1,2,4"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Normal="100" workbookViewId="0">
      <selection activeCell="F22" sqref="F22"/>
    </sheetView>
  </sheetViews>
  <sheetFormatPr defaultColWidth="9" defaultRowHeight="14.4" x14ac:dyDescent="0.25"/>
  <cols>
    <col min="1" max="1" width="35.6640625" style="9" customWidth="1"/>
    <col min="2" max="2" width="28.44140625" style="9" customWidth="1"/>
    <col min="3" max="16384" width="9" style="9"/>
  </cols>
  <sheetData>
    <row r="1" spans="1:2" ht="16.2" x14ac:dyDescent="0.25">
      <c r="A1" s="85" t="s">
        <v>7</v>
      </c>
      <c r="B1" s="86"/>
    </row>
    <row r="2" spans="1:2" ht="16.2" x14ac:dyDescent="0.25">
      <c r="A2" s="3" t="s">
        <v>0</v>
      </c>
      <c r="B2" s="4">
        <v>2448</v>
      </c>
    </row>
    <row r="3" spans="1:2" ht="16.2" x14ac:dyDescent="0.25">
      <c r="A3" s="3" t="s">
        <v>1</v>
      </c>
      <c r="B3" s="4">
        <v>2048</v>
      </c>
    </row>
    <row r="4" spans="1:2" ht="16.2" x14ac:dyDescent="0.25">
      <c r="A4" s="3" t="s">
        <v>209</v>
      </c>
      <c r="B4" s="4">
        <v>20000</v>
      </c>
    </row>
    <row r="5" spans="1:2" ht="16.2" x14ac:dyDescent="0.25">
      <c r="A5" s="3" t="s">
        <v>228</v>
      </c>
      <c r="B5" s="4">
        <v>8</v>
      </c>
    </row>
    <row r="6" spans="1:2" ht="16.2" x14ac:dyDescent="0.25">
      <c r="A6" s="3" t="s">
        <v>208</v>
      </c>
      <c r="B6" s="4">
        <v>300000000</v>
      </c>
    </row>
    <row r="7" spans="1:2" ht="16.2" x14ac:dyDescent="0.25">
      <c r="A7" s="3" t="s">
        <v>215</v>
      </c>
      <c r="B7" s="4">
        <v>380000000</v>
      </c>
    </row>
    <row r="8" spans="1:2" ht="16.2" hidden="1" x14ac:dyDescent="0.25">
      <c r="A8" s="3"/>
      <c r="B8" s="4"/>
    </row>
    <row r="9" spans="1:2" ht="16.2" hidden="1" x14ac:dyDescent="0.25">
      <c r="A9" s="3" t="s">
        <v>113</v>
      </c>
      <c r="B9" s="4">
        <f>MAX(INT((B4-13.73)/B12),1)</f>
        <v>1504</v>
      </c>
    </row>
    <row r="10" spans="1:2" ht="16.2" hidden="1" x14ac:dyDescent="0.25">
      <c r="A10" s="3" t="s">
        <v>2</v>
      </c>
      <c r="B10" s="4" t="str">
        <f>IF((B5&lt;=8),"1","2")</f>
        <v>1</v>
      </c>
    </row>
    <row r="11" spans="1:2" ht="16.2" hidden="1" x14ac:dyDescent="0.25">
      <c r="A11" s="3" t="s">
        <v>3</v>
      </c>
      <c r="B11" s="4">
        <f>B2*B3*B10+84</f>
        <v>5013588</v>
      </c>
    </row>
    <row r="12" spans="1:2" ht="16.2" hidden="1" x14ac:dyDescent="0.25">
      <c r="A12" s="3" t="s">
        <v>4</v>
      </c>
      <c r="B12" s="4">
        <f>498/37.5</f>
        <v>13.28</v>
      </c>
    </row>
    <row r="13" spans="1:2" ht="16.2" hidden="1" x14ac:dyDescent="0.25">
      <c r="A13" s="3" t="s">
        <v>5</v>
      </c>
      <c r="B13" s="4">
        <f>(B3+32)*B12</f>
        <v>27622.399999999998</v>
      </c>
    </row>
    <row r="14" spans="1:2" ht="16.2" x14ac:dyDescent="0.25">
      <c r="A14" s="3" t="s">
        <v>212</v>
      </c>
      <c r="B14" s="4" t="s">
        <v>47</v>
      </c>
    </row>
    <row r="15" spans="1:2" ht="16.2" x14ac:dyDescent="0.25">
      <c r="A15" s="3" t="s">
        <v>48</v>
      </c>
      <c r="B15" s="4">
        <v>36</v>
      </c>
    </row>
    <row r="16" spans="1:2" ht="16.2" hidden="1" x14ac:dyDescent="0.25">
      <c r="A16" s="3" t="s">
        <v>6</v>
      </c>
      <c r="B16" s="5">
        <f>MAX(B11*1000000/B7,B11*1000000/B6,(B9+14)*B12,B13,B12*IF(B14="off",0,1)*INT(1000*1000/(B12*B15)))</f>
        <v>27622.399999999998</v>
      </c>
    </row>
    <row r="17" spans="1:2" ht="16.2" x14ac:dyDescent="0.25">
      <c r="A17" s="87" t="s">
        <v>8</v>
      </c>
      <c r="B17" s="88"/>
    </row>
    <row r="18" spans="1:2" ht="27" x14ac:dyDescent="0.25">
      <c r="A18" s="6" t="s">
        <v>210</v>
      </c>
      <c r="B18" s="7">
        <f>1000000/B16</f>
        <v>36.20250231696015</v>
      </c>
    </row>
  </sheetData>
  <sheetProtection algorithmName="SHA-512" hashValue="EiWO5pwSWTDZIMYHV6opCXVaAzgzybIaRbs5z+DKWgsTlGwwWXUcMO2b7/lj8sKmYOt4w94k7a8rc3BcC3qSnw==" saltValue="KEPK9t/G+dHMOUtuxgR6iw==" spinCount="100000" sheet="1" objects="1" scenarios="1"/>
  <mergeCells count="2">
    <mergeCell ref="A1:B1"/>
    <mergeCell ref="A17:B17"/>
  </mergeCells>
  <phoneticPr fontId="5" type="noConversion"/>
  <dataValidations count="7"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  <dataValidation type="list" allowBlank="1" showInputMessage="1" showErrorMessage="1" errorTitle="Input parameter error" error="Input off or on" sqref="B14">
      <formula1>"off,on"</formula1>
    </dataValidation>
    <dataValidation type="list" allowBlank="1" showDropDown="1" showInputMessage="1" showErrorMessage="1" errorTitle="Input parameter error" error="Input 8 or 10" sqref="B5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Input range from 64 to 2048,and is an integer multiple of 2" sqref="B3">
      <formula1>AND(MOD(B3,2)=0,B3&gt;=64,B3&lt;=2048)</formula1>
    </dataValidation>
    <dataValidation type="custom" allowBlank="1" showInputMessage="1" showErrorMessage="1" errorTitle="Input parameter error" error="Input range from 64 to 2448,and is an integer multiple of 8" sqref="B2">
      <formula1>AND(MOD(B2,8)=0,B2&gt;=64,B2&lt;=2448)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9" sqref="C9"/>
    </sheetView>
  </sheetViews>
  <sheetFormatPr defaultRowHeight="14.4" x14ac:dyDescent="0.25"/>
  <cols>
    <col min="1" max="1" width="36.6640625" customWidth="1"/>
    <col min="2" max="2" width="21.33203125" customWidth="1"/>
    <col min="3" max="3" width="66.6640625" customWidth="1"/>
    <col min="7" max="9" width="0" hidden="1" customWidth="1"/>
    <col min="10" max="10" width="68.21875" hidden="1" customWidth="1"/>
    <col min="11" max="11" width="60.44140625" hidden="1" customWidth="1"/>
  </cols>
  <sheetData>
    <row r="1" spans="1:11" ht="16.2" x14ac:dyDescent="0.25">
      <c r="A1" s="85" t="s">
        <v>7</v>
      </c>
      <c r="B1" s="86"/>
    </row>
    <row r="2" spans="1:11" ht="16.2" x14ac:dyDescent="0.25">
      <c r="A2" s="3" t="s">
        <v>0</v>
      </c>
      <c r="B2" s="4">
        <v>640</v>
      </c>
      <c r="C2" t="str">
        <f>IF(OR(B2&gt;640/B4,B2&lt;64),LOOKUP(B4,G3:G5,J3:J5),"")</f>
        <v/>
      </c>
      <c r="G2" s="9" t="s">
        <v>451</v>
      </c>
      <c r="H2" s="9" t="s">
        <v>452</v>
      </c>
      <c r="I2" s="9" t="s">
        <v>453</v>
      </c>
      <c r="J2" s="9"/>
      <c r="K2" s="9"/>
    </row>
    <row r="3" spans="1:11" ht="16.2" x14ac:dyDescent="0.25">
      <c r="A3" s="3" t="s">
        <v>1</v>
      </c>
      <c r="B3" s="4">
        <v>480</v>
      </c>
      <c r="C3" t="str">
        <f>IF(OR(B3&gt;480/B5,B3&lt;64),LOOKUP(B5,G3:G5,K3:K5),"")</f>
        <v/>
      </c>
      <c r="G3" s="9">
        <v>1</v>
      </c>
      <c r="H3" s="9">
        <f>16*INT(640/(16*G3))</f>
        <v>640</v>
      </c>
      <c r="I3" s="9">
        <f>2*INT(480/(2*G3))</f>
        <v>480</v>
      </c>
      <c r="J3" s="9" t="s">
        <v>542</v>
      </c>
      <c r="K3" s="9" t="s">
        <v>545</v>
      </c>
    </row>
    <row r="4" spans="1:11" ht="16.2" x14ac:dyDescent="0.25">
      <c r="A4" s="3" t="s">
        <v>502</v>
      </c>
      <c r="B4" s="4">
        <v>1</v>
      </c>
      <c r="G4" s="9">
        <v>2</v>
      </c>
      <c r="H4" s="9">
        <f>16*INT(640/(16*G4))</f>
        <v>320</v>
      </c>
      <c r="I4" s="9">
        <f>2*INT(480/(2*G4))</f>
        <v>240</v>
      </c>
      <c r="J4" s="9" t="s">
        <v>543</v>
      </c>
      <c r="K4" s="9" t="s">
        <v>546</v>
      </c>
    </row>
    <row r="5" spans="1:11" ht="16.2" x14ac:dyDescent="0.25">
      <c r="A5" s="3" t="s">
        <v>503</v>
      </c>
      <c r="B5" s="4">
        <v>1</v>
      </c>
      <c r="G5" s="9">
        <v>4</v>
      </c>
      <c r="H5" s="9">
        <f>16*INT(640/(16*G5))</f>
        <v>160</v>
      </c>
      <c r="I5" s="9">
        <f>2*INT(480/(2*G5))</f>
        <v>120</v>
      </c>
      <c r="J5" s="9" t="s">
        <v>544</v>
      </c>
      <c r="K5" s="9" t="s">
        <v>547</v>
      </c>
    </row>
    <row r="6" spans="1:11" ht="16.2" x14ac:dyDescent="0.25">
      <c r="A6" s="3" t="s">
        <v>209</v>
      </c>
      <c r="B6" s="4">
        <v>10000</v>
      </c>
      <c r="G6" s="9"/>
      <c r="H6" s="9"/>
      <c r="I6" s="9"/>
      <c r="J6" s="9" t="s">
        <v>460</v>
      </c>
      <c r="K6" s="9"/>
    </row>
    <row r="7" spans="1:11" ht="16.2" x14ac:dyDescent="0.25">
      <c r="A7" s="3" t="s">
        <v>218</v>
      </c>
      <c r="B7" s="4">
        <v>8</v>
      </c>
      <c r="G7" s="9"/>
      <c r="H7" s="9">
        <f>640/B4</f>
        <v>640</v>
      </c>
      <c r="I7" s="9">
        <f>480/B5</f>
        <v>480</v>
      </c>
      <c r="J7" s="9"/>
      <c r="K7" s="9"/>
    </row>
    <row r="8" spans="1:11" ht="16.2" x14ac:dyDescent="0.25">
      <c r="A8" s="3" t="s">
        <v>208</v>
      </c>
      <c r="B8" s="4">
        <v>300000000</v>
      </c>
    </row>
    <row r="9" spans="1:11" ht="32.4" x14ac:dyDescent="0.25">
      <c r="A9" s="34" t="s">
        <v>215</v>
      </c>
      <c r="B9" s="4">
        <v>380000000</v>
      </c>
    </row>
    <row r="10" spans="1:11" ht="16.2" x14ac:dyDescent="0.25">
      <c r="A10" s="43" t="s">
        <v>246</v>
      </c>
      <c r="B10" s="4" t="s">
        <v>47</v>
      </c>
    </row>
    <row r="11" spans="1:11" ht="16.2" x14ac:dyDescent="0.25">
      <c r="A11" s="43" t="s">
        <v>245</v>
      </c>
      <c r="B11" s="4">
        <v>860</v>
      </c>
    </row>
    <row r="12" spans="1:11" ht="16.2" hidden="1" x14ac:dyDescent="0.25">
      <c r="A12" s="3"/>
      <c r="B12" s="5"/>
    </row>
    <row r="13" spans="1:11" ht="16.2" hidden="1" x14ac:dyDescent="0.25">
      <c r="A13" s="3" t="s">
        <v>2</v>
      </c>
      <c r="B13" s="5" t="str">
        <f>IF((B7&lt;=8),"1","2")</f>
        <v>1</v>
      </c>
    </row>
    <row r="14" spans="1:11" ht="16.2" hidden="1" x14ac:dyDescent="0.25">
      <c r="A14" s="3" t="s">
        <v>3</v>
      </c>
      <c r="B14" s="5">
        <f>B2*B3*B13+84</f>
        <v>307284</v>
      </c>
    </row>
    <row r="15" spans="1:11" ht="16.2" hidden="1" x14ac:dyDescent="0.25">
      <c r="A15" s="3" t="s">
        <v>4</v>
      </c>
      <c r="B15" s="5">
        <f>MAX((B4*B2/4+4),84)/72</f>
        <v>2.2777777777777777</v>
      </c>
    </row>
    <row r="16" spans="1:11" ht="16.2" hidden="1" x14ac:dyDescent="0.25">
      <c r="A16" s="3" t="s">
        <v>5</v>
      </c>
      <c r="B16" s="5">
        <f>(820/72+B3*B5*B15+13)*B13+45.5</f>
        <v>1163.2222222222222</v>
      </c>
    </row>
    <row r="17" spans="1:3" ht="16.2" hidden="1" x14ac:dyDescent="0.25">
      <c r="A17" s="3" t="s">
        <v>6</v>
      </c>
      <c r="B17" s="5">
        <f>MAX(B14*1000000/B9,B14*1000000/B8,B6,B16,IF(B10="on",1000000/B11,0))</f>
        <v>10000</v>
      </c>
    </row>
    <row r="18" spans="1:3" ht="16.2" hidden="1" x14ac:dyDescent="0.25">
      <c r="A18" s="3"/>
      <c r="B18" s="3"/>
    </row>
    <row r="19" spans="1:3" ht="16.2" hidden="1" x14ac:dyDescent="0.25">
      <c r="A19" s="3"/>
      <c r="B19" s="3"/>
    </row>
    <row r="20" spans="1:3" ht="16.2" x14ac:dyDescent="0.25">
      <c r="A20" s="87" t="s">
        <v>8</v>
      </c>
      <c r="B20" s="88"/>
    </row>
    <row r="21" spans="1:3" ht="27" x14ac:dyDescent="0.25">
      <c r="A21" s="6" t="s">
        <v>210</v>
      </c>
      <c r="B21" s="7">
        <f>1000000/B17</f>
        <v>100</v>
      </c>
      <c r="C21" t="str">
        <f>IF(OR(B3&gt;480/B5,B3&lt;64,B2&gt;640/B4,B2&lt;64),J6,"")</f>
        <v/>
      </c>
    </row>
  </sheetData>
  <sheetProtection algorithmName="SHA-512" hashValue="zhDzSswSUdCk4FHRR4g/XhwXNojCgIxzx9RWllXBN/EgpZyOVxq98e8WkIscwF8z2WD92Xm9W4Tonuus90os9Q==" saltValue="uqUeN1zBfLkW6xsidp2QuA==" spinCount="100000" sheet="1" objects="1" scenarios="1"/>
  <mergeCells count="2">
    <mergeCell ref="A1:B1"/>
    <mergeCell ref="A20:B20"/>
  </mergeCells>
  <phoneticPr fontId="6" type="noConversion"/>
  <dataValidations count="9">
    <dataValidation type="custom" allowBlank="1" showInputMessage="1" showErrorMessage="1" errorTitle="Input parameter error" error="Input range from 64 to 640,and is an integer multiple of 16" sqref="B2">
      <formula1>AND(MOD(B2,16)=0,B2&gt;=64,B2&lt;=640)</formula1>
    </dataValidation>
    <dataValidation type="custom" allowBlank="1" showInputMessage="1" showErrorMessage="1" errorTitle="Input parameter error" error="Input range from 64 to 480,and is an integer multiple of 2_x000a_" sqref="B3">
      <formula1>AND(MOD(B3,2)=0,B3&gt;=64,B3&lt;=480)</formula1>
    </dataValidation>
    <dataValidation type="whole" allowBlank="1" showInputMessage="1" showErrorMessage="1" errorTitle="Input parameter error" error="Input range from 20 to 1000000" sqref="B6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8">
      <formula1>OR(AND(B7=8,B8&gt;=35000000,B8&lt;=400000000,MOD(B8,1000000)=0),AND(B7=10,B8&gt;=70000000,B8&lt;=400000000,MOD(B8,1000000)=0))</formula1>
    </dataValidation>
    <dataValidation type="list" allowBlank="1" showDropDown="1" showInputMessage="1" showErrorMessage="1" errorTitle="Input parameter error" error="Input 8 or 10" sqref="B7">
      <formula1>"8,10"</formula1>
    </dataValidation>
    <dataValidation type="list" allowBlank="1" showInputMessage="1" showErrorMessage="1" errorTitle="input parameter error" error="input range is 1,2" sqref="B5">
      <formula1>"1,2"</formula1>
    </dataValidation>
    <dataValidation type="list" allowBlank="1" showInputMessage="1" showErrorMessage="1" errorTitle="Input parameter error" error="input range is 1,2" sqref="B4">
      <formula1>"1,2"</formula1>
    </dataValidation>
    <dataValidation type="custom" allowBlank="1" showInputMessage="1" showErrorMessage="1" errorTitle="Input parameter error" error="Input renge from 0.8 to 10000,step 0.1" sqref="B11">
      <formula1>AND(MOD(10*B11,1)=0,B11&gt;=0.8,B11&lt;=10000)</formula1>
    </dataValidation>
    <dataValidation type="list" allowBlank="1" showInputMessage="1" showErrorMessage="1" errorTitle="Input parameter error" error="Input off or on" sqref="B10">
      <formula1>"on,off"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Normal="100" workbookViewId="0">
      <selection activeCell="Q26" sqref="Q26"/>
    </sheetView>
  </sheetViews>
  <sheetFormatPr defaultColWidth="8.88671875" defaultRowHeight="14.4" x14ac:dyDescent="0.25"/>
  <cols>
    <col min="1" max="1" width="40.6640625" style="68" customWidth="1"/>
    <col min="2" max="2" width="25.44140625" style="68" customWidth="1"/>
    <col min="3" max="6" width="8.88671875" style="68"/>
    <col min="7" max="7" width="21.44140625" style="68" hidden="1" customWidth="1"/>
    <col min="8" max="8" width="23.44140625" style="68" hidden="1" customWidth="1"/>
    <col min="9" max="9" width="8.88671875" style="68" hidden="1" customWidth="1"/>
    <col min="10" max="16384" width="8.88671875" style="68"/>
  </cols>
  <sheetData>
    <row r="1" spans="1:9" ht="16.2" x14ac:dyDescent="0.25">
      <c r="A1" s="85" t="s">
        <v>7</v>
      </c>
      <c r="B1" s="86"/>
      <c r="G1" s="100" t="s">
        <v>313</v>
      </c>
      <c r="H1" s="101"/>
      <c r="I1" s="102"/>
    </row>
    <row r="2" spans="1:9" ht="16.2" x14ac:dyDescent="0.25">
      <c r="A2" s="76" t="s">
        <v>350</v>
      </c>
      <c r="B2" s="77">
        <v>3088</v>
      </c>
      <c r="G2" s="69" t="s">
        <v>314</v>
      </c>
      <c r="H2" s="69">
        <v>3088</v>
      </c>
      <c r="I2" s="69"/>
    </row>
    <row r="3" spans="1:9" ht="16.2" x14ac:dyDescent="0.25">
      <c r="A3" s="76" t="s">
        <v>351</v>
      </c>
      <c r="B3" s="77">
        <v>2064</v>
      </c>
      <c r="G3" s="69" t="s">
        <v>315</v>
      </c>
      <c r="H3" s="69">
        <f>B3</f>
        <v>2064</v>
      </c>
      <c r="I3" s="69"/>
    </row>
    <row r="4" spans="1:9" ht="16.2" x14ac:dyDescent="0.25">
      <c r="A4" s="43" t="s">
        <v>253</v>
      </c>
      <c r="B4" s="71">
        <v>10000</v>
      </c>
      <c r="G4" s="100" t="s">
        <v>316</v>
      </c>
      <c r="H4" s="101"/>
      <c r="I4" s="102"/>
    </row>
    <row r="5" spans="1:9" ht="16.2" x14ac:dyDescent="0.25">
      <c r="A5" s="43" t="s">
        <v>251</v>
      </c>
      <c r="B5" s="71">
        <v>8</v>
      </c>
      <c r="G5" s="69" t="s">
        <v>317</v>
      </c>
      <c r="H5" s="69">
        <v>3088</v>
      </c>
      <c r="I5" s="69"/>
    </row>
    <row r="6" spans="1:9" ht="16.2" x14ac:dyDescent="0.25">
      <c r="A6" s="43" t="s">
        <v>249</v>
      </c>
      <c r="B6" s="71">
        <v>300000000</v>
      </c>
      <c r="G6" s="69" t="s">
        <v>318</v>
      </c>
      <c r="H6" s="69">
        <f>IF(H3&gt;=320,H3,320)</f>
        <v>2064</v>
      </c>
      <c r="I6" s="69"/>
    </row>
    <row r="7" spans="1:9" ht="16.2" x14ac:dyDescent="0.25">
      <c r="A7" s="43" t="s">
        <v>247</v>
      </c>
      <c r="B7" s="71">
        <v>380000000</v>
      </c>
      <c r="G7" s="100"/>
      <c r="H7" s="101"/>
      <c r="I7" s="102"/>
    </row>
    <row r="8" spans="1:9" ht="16.2" x14ac:dyDescent="0.25">
      <c r="A8" s="43" t="s">
        <v>334</v>
      </c>
      <c r="B8" s="71" t="s">
        <v>47</v>
      </c>
      <c r="G8" s="69" t="s">
        <v>319</v>
      </c>
      <c r="H8" s="69">
        <f>IF(B5=8,7778,2*7778)</f>
        <v>7778</v>
      </c>
      <c r="I8" s="69" t="s">
        <v>320</v>
      </c>
    </row>
    <row r="9" spans="1:9" ht="16.2" x14ac:dyDescent="0.25">
      <c r="A9" s="43" t="s">
        <v>246</v>
      </c>
      <c r="B9" s="71" t="s">
        <v>47</v>
      </c>
      <c r="G9" s="69" t="s">
        <v>321</v>
      </c>
      <c r="H9" s="69">
        <v>2000</v>
      </c>
      <c r="I9" s="69" t="s">
        <v>322</v>
      </c>
    </row>
    <row r="10" spans="1:9" ht="16.2" x14ac:dyDescent="0.25">
      <c r="A10" s="43" t="s">
        <v>245</v>
      </c>
      <c r="B10" s="71">
        <v>60</v>
      </c>
      <c r="G10" s="69" t="s">
        <v>323</v>
      </c>
      <c r="H10" s="69">
        <v>28</v>
      </c>
      <c r="I10" s="69" t="s">
        <v>319</v>
      </c>
    </row>
    <row r="11" spans="1:9" ht="16.2" hidden="1" x14ac:dyDescent="0.25">
      <c r="A11" s="70" t="s">
        <v>335</v>
      </c>
      <c r="B11" s="72" t="str">
        <f>IF((B5&lt;=8),"1","2")</f>
        <v>1</v>
      </c>
      <c r="G11" s="69" t="s">
        <v>324</v>
      </c>
      <c r="H11" s="69">
        <v>7</v>
      </c>
      <c r="I11" s="69" t="s">
        <v>319</v>
      </c>
    </row>
    <row r="12" spans="1:9" ht="16.2" hidden="1" x14ac:dyDescent="0.25">
      <c r="A12" s="70" t="s">
        <v>336</v>
      </c>
      <c r="B12" s="72">
        <f>H15</f>
        <v>6373716</v>
      </c>
      <c r="G12" s="75" t="s">
        <v>345</v>
      </c>
      <c r="H12" s="69">
        <v>16</v>
      </c>
      <c r="I12" s="69" t="s">
        <v>319</v>
      </c>
    </row>
    <row r="13" spans="1:9" ht="16.2" hidden="1" x14ac:dyDescent="0.25">
      <c r="A13" s="70" t="s">
        <v>337</v>
      </c>
      <c r="B13" s="72">
        <f>H8</f>
        <v>7778</v>
      </c>
      <c r="G13" s="69" t="s">
        <v>325</v>
      </c>
      <c r="H13" s="69">
        <v>78</v>
      </c>
      <c r="I13" s="69" t="s">
        <v>319</v>
      </c>
    </row>
    <row r="14" spans="1:9" ht="16.2" hidden="1" x14ac:dyDescent="0.25">
      <c r="A14" s="70" t="s">
        <v>338</v>
      </c>
      <c r="B14" s="72">
        <f>B15</f>
        <v>21248888.888888888</v>
      </c>
      <c r="G14" s="69" t="s">
        <v>326</v>
      </c>
      <c r="H14" s="69">
        <v>8</v>
      </c>
      <c r="I14" s="69" t="s">
        <v>319</v>
      </c>
    </row>
    <row r="15" spans="1:9" ht="16.2" hidden="1" x14ac:dyDescent="0.25">
      <c r="A15" s="70" t="s">
        <v>239</v>
      </c>
      <c r="B15" s="72">
        <f>H21</f>
        <v>21248888.888888888</v>
      </c>
      <c r="G15" s="69" t="s">
        <v>327</v>
      </c>
      <c r="H15" s="69">
        <f>IF(B5=8,1,2)*B2*B3+84</f>
        <v>6373716</v>
      </c>
      <c r="I15" s="69" t="s">
        <v>328</v>
      </c>
    </row>
    <row r="16" spans="1:9" ht="16.2" x14ac:dyDescent="0.25">
      <c r="A16" s="87" t="s">
        <v>8</v>
      </c>
      <c r="B16" s="88"/>
      <c r="G16" s="100"/>
      <c r="H16" s="101"/>
      <c r="I16" s="102"/>
    </row>
    <row r="17" spans="1:9" ht="27" x14ac:dyDescent="0.25">
      <c r="A17" s="73" t="s">
        <v>210</v>
      </c>
      <c r="B17" s="74">
        <f>1000000000/B15</f>
        <v>47.061284250156874</v>
      </c>
      <c r="G17" s="69" t="s">
        <v>329</v>
      </c>
      <c r="H17" s="69">
        <f>H10+MAX(H6+H13-H10,2+H11+ROUNDUP(1000*H9/H8,0))</f>
        <v>2142</v>
      </c>
      <c r="I17" s="69" t="s">
        <v>319</v>
      </c>
    </row>
    <row r="18" spans="1:9" x14ac:dyDescent="0.25">
      <c r="G18" s="69" t="s">
        <v>330</v>
      </c>
      <c r="H18" s="69">
        <f>ROUNDUP(1000*B4/H8,0)+H14</f>
        <v>1294</v>
      </c>
      <c r="I18" s="69" t="s">
        <v>319</v>
      </c>
    </row>
    <row r="19" spans="1:9" x14ac:dyDescent="0.25">
      <c r="G19" s="69" t="s">
        <v>331</v>
      </c>
      <c r="H19" s="69">
        <f>IF(B9="on",ROUNDUP((10^9)/(B10*H8),0),0)</f>
        <v>0</v>
      </c>
      <c r="I19" s="69" t="s">
        <v>319</v>
      </c>
    </row>
    <row r="20" spans="1:9" x14ac:dyDescent="0.25">
      <c r="G20" s="69" t="s">
        <v>332</v>
      </c>
      <c r="H20" s="69">
        <f>ROUNDUP((H15/MIN(B6,B7))*10^9/H8,0)</f>
        <v>2732</v>
      </c>
      <c r="I20" s="69" t="s">
        <v>319</v>
      </c>
    </row>
    <row r="21" spans="1:9" x14ac:dyDescent="0.25">
      <c r="G21" s="69" t="s">
        <v>333</v>
      </c>
      <c r="H21" s="69">
        <f>IF(B8="off",MAX(H17:H20),MAX(H17+H18+H12,H19,H20))*1000*IF(B5=8,420,840)/54</f>
        <v>21248888.888888888</v>
      </c>
      <c r="I21" s="69" t="s">
        <v>320</v>
      </c>
    </row>
    <row r="29" spans="1:9" hidden="1" x14ac:dyDescent="0.25"/>
    <row r="30" spans="1:9" hidden="1" x14ac:dyDescent="0.25"/>
    <row r="31" spans="1:9" hidden="1" x14ac:dyDescent="0.25"/>
    <row r="32" spans="1:9" hidden="1" x14ac:dyDescent="0.25"/>
    <row r="33" hidden="1" x14ac:dyDescent="0.25"/>
  </sheetData>
  <sheetProtection algorithmName="SHA-512" hashValue="O4azNyKVKz9zu9ANDKVIBnyfkQAVcJAX8S6Ead2vSbuqUT4x3IFYlKvVV5IFyvxmhMclOQWsVa/hUzGrjP5Vrw==" saltValue="O749bGEOm553n8FQgWmNdg==" spinCount="100000" sheet="1" objects="1" scenarios="1"/>
  <mergeCells count="6">
    <mergeCell ref="A16:B16"/>
    <mergeCell ref="A1:B1"/>
    <mergeCell ref="G1:I1"/>
    <mergeCell ref="G4:I4"/>
    <mergeCell ref="G7:I7"/>
    <mergeCell ref="G16:I16"/>
  </mergeCells>
  <phoneticPr fontId="5" type="noConversion"/>
  <dataValidations count="8">
    <dataValidation type="list" allowBlank="1" showInputMessage="1" showErrorMessage="1" errorTitle="Input parameter error" error="Input off or on" sqref="B8">
      <formula1>"on,off"</formula1>
    </dataValidation>
    <dataValidation type="custom" allowBlank="1" showInputMessage="1" showErrorMessage="1" errorTitle="Input parameter error" error="Input renge from 0.1 to 10000,step 0.1" sqref="B10">
      <formula1>AND(MOD(10*B10,1)=0,B10&gt;=0.1,B10&lt;=10000)</formula1>
    </dataValidation>
    <dataValidation type="list" allowBlank="1" showInputMessage="1" showErrorMessage="1" errorTitle="Input parameter error" error="Input off or on" sqref="B9">
      <formula1>"on,off"</formula1>
    </dataValidation>
    <dataValidation type="list" allowBlank="1" showInputMessage="1" showErrorMessage="1" errorTitle="Input parameter error" error="input 8 or 10" sqref="B5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whole" allowBlank="1" showInputMessage="1" showErrorMessage="1" errorTitle="Input parameter error" error="Input range from 8 to 1000000" sqref="B4">
      <formula1>8</formula1>
      <formula2>1000000</formula2>
    </dataValidation>
    <dataValidation type="custom" allowBlank="1" showInputMessage="1" showErrorMessage="1" errorTitle="Input parameter error" error="Input range from 64 to 3088,and is an integer multiple of 8_x000a_" sqref="B2">
      <formula1>AND(MOD(B2,8)=0,B2&gt;=64,B2&lt;=3088)</formula1>
    </dataValidation>
    <dataValidation type="custom" allowBlank="1" showInputMessage="1" showErrorMessage="1" errorTitle="Input parameter error" error="Input range from 64 to 2064,and is an integer multiple of 2" sqref="B3">
      <formula1>AND(MOD(B3,2)=0,B3&gt;=64,B3&lt;=2064)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selection activeCell="C24" sqref="C24"/>
    </sheetView>
  </sheetViews>
  <sheetFormatPr defaultColWidth="9" defaultRowHeight="14.4" x14ac:dyDescent="0.25"/>
  <cols>
    <col min="1" max="1" width="38" style="9" bestFit="1" customWidth="1"/>
    <col min="2" max="2" width="30.6640625" style="9" customWidth="1"/>
    <col min="3" max="3" width="66" style="9" bestFit="1" customWidth="1"/>
    <col min="4" max="6" width="9" style="9"/>
    <col min="7" max="7" width="12.44140625" style="9" hidden="1" customWidth="1"/>
    <col min="8" max="9" width="9" style="9" hidden="1" customWidth="1"/>
    <col min="10" max="10" width="73.6640625" style="9" hidden="1" customWidth="1"/>
    <col min="11" max="11" width="66" style="9" hidden="1" customWidth="1"/>
    <col min="12" max="16384" width="9" style="9"/>
  </cols>
  <sheetData>
    <row r="1" spans="1:11" ht="16.2" x14ac:dyDescent="0.25">
      <c r="A1" s="85" t="s">
        <v>483</v>
      </c>
      <c r="B1" s="86"/>
    </row>
    <row r="2" spans="1:11" ht="16.2" x14ac:dyDescent="0.25">
      <c r="A2" s="3" t="s">
        <v>482</v>
      </c>
      <c r="B2" s="4">
        <v>3840</v>
      </c>
      <c r="C2" s="9" t="str">
        <f>IF(OR(B2&gt;3840/B4,B2&lt;64),LOOKUP(B4,G3:G5,J3:J5),"")</f>
        <v/>
      </c>
      <c r="G2" s="9" t="s">
        <v>451</v>
      </c>
      <c r="H2" s="9" t="s">
        <v>452</v>
      </c>
      <c r="I2" s="9" t="s">
        <v>453</v>
      </c>
    </row>
    <row r="3" spans="1:11" ht="16.2" x14ac:dyDescent="0.25">
      <c r="A3" s="3" t="s">
        <v>481</v>
      </c>
      <c r="B3" s="4">
        <v>2748</v>
      </c>
      <c r="C3" s="9" t="str">
        <f>IF(OR(B3&gt;2748/B5,B3&lt;64),LOOKUP(B5,G3:G5,K3:K5),"")</f>
        <v/>
      </c>
      <c r="G3" s="9">
        <v>1</v>
      </c>
      <c r="H3" s="9">
        <f>4*INT(3840/(4*G3))</f>
        <v>3840</v>
      </c>
      <c r="I3" s="9">
        <f>2*INT(2748/(2*G3))</f>
        <v>2748</v>
      </c>
      <c r="J3" s="9" t="s">
        <v>575</v>
      </c>
      <c r="K3" s="9" t="s">
        <v>572</v>
      </c>
    </row>
    <row r="4" spans="1:11" ht="16.2" x14ac:dyDescent="0.25">
      <c r="A4" s="3" t="s">
        <v>449</v>
      </c>
      <c r="B4" s="4">
        <v>1</v>
      </c>
      <c r="G4" s="9">
        <v>2</v>
      </c>
      <c r="H4" s="9">
        <f>4*INT(3840/(4*G4))</f>
        <v>1920</v>
      </c>
      <c r="I4" s="9">
        <f>2*INT(2748/(2*G4))</f>
        <v>1374</v>
      </c>
      <c r="J4" s="9" t="s">
        <v>576</v>
      </c>
      <c r="K4" s="9" t="s">
        <v>573</v>
      </c>
    </row>
    <row r="5" spans="1:11" ht="16.2" x14ac:dyDescent="0.25">
      <c r="A5" s="3" t="s">
        <v>450</v>
      </c>
      <c r="B5" s="4">
        <v>1</v>
      </c>
      <c r="G5" s="9">
        <v>4</v>
      </c>
      <c r="H5" s="9">
        <f>4*INT(3840/(4*G5))</f>
        <v>960</v>
      </c>
      <c r="I5" s="9">
        <f>2*INT(2748/(2*G5))</f>
        <v>686</v>
      </c>
      <c r="J5" s="9" t="s">
        <v>577</v>
      </c>
      <c r="K5" s="9" t="s">
        <v>574</v>
      </c>
    </row>
    <row r="6" spans="1:11" ht="16.2" x14ac:dyDescent="0.25">
      <c r="A6" s="3" t="s">
        <v>480</v>
      </c>
      <c r="B6" s="4">
        <v>60000</v>
      </c>
      <c r="J6" s="9" t="s">
        <v>460</v>
      </c>
    </row>
    <row r="7" spans="1:11" ht="16.2" x14ac:dyDescent="0.25">
      <c r="A7" s="3" t="s">
        <v>479</v>
      </c>
      <c r="B7" s="4">
        <v>8</v>
      </c>
      <c r="H7" s="9">
        <f>3840/B4</f>
        <v>3840</v>
      </c>
      <c r="I7" s="9">
        <f>2748/B5</f>
        <v>2748</v>
      </c>
    </row>
    <row r="8" spans="1:11" ht="16.2" x14ac:dyDescent="0.25">
      <c r="A8" s="3" t="s">
        <v>478</v>
      </c>
      <c r="B8" s="4">
        <v>400000000</v>
      </c>
    </row>
    <row r="9" spans="1:11" ht="16.2" x14ac:dyDescent="0.25">
      <c r="A9" s="34" t="s">
        <v>477</v>
      </c>
      <c r="B9" s="4">
        <v>380000000</v>
      </c>
    </row>
    <row r="10" spans="1:11" ht="16.2" x14ac:dyDescent="0.25">
      <c r="A10" s="3" t="s">
        <v>476</v>
      </c>
      <c r="B10" s="4" t="s">
        <v>47</v>
      </c>
    </row>
    <row r="11" spans="1:11" ht="16.2" hidden="1" x14ac:dyDescent="0.25">
      <c r="A11" s="3" t="s">
        <v>475</v>
      </c>
      <c r="B11" s="5" t="str">
        <f>IF((B7&lt;=8),"1","2")</f>
        <v>1</v>
      </c>
    </row>
    <row r="12" spans="1:11" ht="16.2" hidden="1" x14ac:dyDescent="0.25">
      <c r="A12" s="3" t="s">
        <v>474</v>
      </c>
      <c r="B12" s="5">
        <f>B2*B3*B11+84</f>
        <v>10552404</v>
      </c>
    </row>
    <row r="13" spans="1:11" ht="16.2" hidden="1" x14ac:dyDescent="0.25">
      <c r="A13" s="3" t="s">
        <v>473</v>
      </c>
      <c r="B13" s="5">
        <v>24.7</v>
      </c>
    </row>
    <row r="14" spans="1:11" ht="16.2" hidden="1" x14ac:dyDescent="0.25">
      <c r="A14" s="3" t="s">
        <v>472</v>
      </c>
      <c r="B14" s="5">
        <f>IF(B10="off",(B3+143)*B13,(5300+B6+B3*B13))</f>
        <v>71407.7</v>
      </c>
    </row>
    <row r="15" spans="1:11" ht="16.2" hidden="1" x14ac:dyDescent="0.25">
      <c r="A15" s="3" t="s">
        <v>471</v>
      </c>
      <c r="B15" s="5">
        <f>MAX(B12*1000000/B9,B12*1000000/B8,B6,B14,B18)</f>
        <v>71407.7</v>
      </c>
    </row>
    <row r="16" spans="1:11" ht="16.2" x14ac:dyDescent="0.25">
      <c r="A16" s="43" t="s">
        <v>470</v>
      </c>
      <c r="B16" s="4" t="s">
        <v>47</v>
      </c>
    </row>
    <row r="17" spans="1:3" ht="16.2" x14ac:dyDescent="0.25">
      <c r="A17" s="43" t="s">
        <v>245</v>
      </c>
      <c r="B17" s="4">
        <v>14</v>
      </c>
    </row>
    <row r="18" spans="1:3" ht="16.2" hidden="1" x14ac:dyDescent="0.25">
      <c r="A18" s="43" t="s">
        <v>469</v>
      </c>
      <c r="B18" s="4">
        <f>B13*(IF(B16="off",0,1))*(INT(1000*1000/(B17*B13)+1))</f>
        <v>0</v>
      </c>
    </row>
    <row r="19" spans="1:3" ht="16.2" x14ac:dyDescent="0.25">
      <c r="A19" s="87" t="s">
        <v>468</v>
      </c>
      <c r="B19" s="88"/>
    </row>
    <row r="20" spans="1:3" ht="27" x14ac:dyDescent="0.25">
      <c r="A20" s="6" t="s">
        <v>467</v>
      </c>
      <c r="B20" s="7">
        <f>1000000/B15</f>
        <v>14.004091995681138</v>
      </c>
      <c r="C20" s="9" t="str">
        <f>IF(OR(B3&gt;2748/B5,B3&lt;64,B2&gt;3840/B4,B2&lt;64),J6,"")</f>
        <v/>
      </c>
    </row>
  </sheetData>
  <sheetProtection algorithmName="SHA-512" hashValue="yVrN183L5By1NrAngMGhny+ojkA2ZDzpbMmPFtWheKazyGYSnszo5s9GHiZxZgJZxZScYHaUolmFcT7zIWzJIw==" saltValue="/qtdwaLsjCwom5NgszWnAA==" spinCount="100000" sheet="1" objects="1" scenarios="1"/>
  <mergeCells count="2">
    <mergeCell ref="A1:B1"/>
    <mergeCell ref="A19:B19"/>
  </mergeCells>
  <phoneticPr fontId="5" type="noConversion"/>
  <conditionalFormatting sqref="B2">
    <cfRule type="cellIs" dxfId="1" priority="2" operator="notBetween">
      <formula>64</formula>
      <formula>$H$7</formula>
    </cfRule>
  </conditionalFormatting>
  <conditionalFormatting sqref="B3">
    <cfRule type="cellIs" dxfId="0" priority="1" operator="notBetween">
      <formula>64</formula>
      <formula>$I$7</formula>
    </cfRule>
  </conditionalFormatting>
  <dataValidations count="10">
    <dataValidation allowBlank="1" showInputMessage="1" showErrorMessage="1" errorTitle="输入超出范围" error="仅能输入0.1到10000之间的数值" sqref="B18"/>
    <dataValidation type="list" allowBlank="1" showInputMessage="1" showErrorMessage="1" errorTitle="Input parameter error" error="Input off or on" sqref="B16">
      <formula1>"on,off"</formula1>
    </dataValidation>
    <dataValidation type="custom" allowBlank="1" showInputMessage="1" showErrorMessage="1" errorTitle="Input parameter error" error="Input range from 0.7 to 10000,step 0.1" sqref="B17">
      <formula1>AND(MOD(10*B17,1)=0,B17&gt;=0.7,B17&lt;=10000)</formula1>
    </dataValidation>
    <dataValidation type="list" allowBlank="1" showInputMessage="1" showErrorMessage="1" errorTitle="Input parameter error" error="Input off or on" sqref="B10">
      <formula1>"off,on"</formula1>
    </dataValidation>
    <dataValidation type="custom" allowBlank="1" showInputMessage="1" showErrorMessage="1" errorTitle="Input parameter error" error="Input range from 64 to 3840,and is an integer multiple of 4" sqref="B2">
      <formula1>AND(MOD(B2,4)=0,B2&gt;=64,B2&lt;=3840)</formula1>
    </dataValidation>
    <dataValidation type="custom" allowBlank="1" showInputMessage="1" showErrorMessage="1" errorTitle="Input parameter error" error="Input range from 64 to 2748,and is an integer multiple of 2" sqref="B3">
      <formula1>AND(MOD(B3,2)=0,B3&gt;=64,B3&lt;=2748)</formula1>
    </dataValidation>
    <dataValidation type="whole" allowBlank="1" showInputMessage="1" showErrorMessage="1" errorTitle="Input parameter error" error="Input range from 24 to 1000000" sqref="B6">
      <formula1>24</formula1>
      <formula2>1000000</formula2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8">
      <formula1>OR(AND(B7=8,B8&gt;=35000000,B8&lt;=400000000,MOD(B8,1000000)=0),AND(B7=12,B8&gt;=70000000,B8&lt;=400000000,MOD(B8,1000000)=0))</formula1>
    </dataValidation>
    <dataValidation type="list" allowBlank="1" showDropDown="1" showInputMessage="1" showErrorMessage="1" errorTitle="Input parameter error" error="Input 8 or 12" sqref="B7">
      <formula1>"8,12"</formula1>
    </dataValidation>
    <dataValidation type="list" allowBlank="1" showInputMessage="1" showErrorMessage="1" errorTitle="Input parameter error" error="Input range is 1,2,4" sqref="B4:B5">
      <formula1>"1,2,4"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L27" sqref="L27"/>
    </sheetView>
  </sheetViews>
  <sheetFormatPr defaultColWidth="8.88671875" defaultRowHeight="14.4" x14ac:dyDescent="0.25"/>
  <cols>
    <col min="1" max="1" width="40.6640625" style="9" customWidth="1"/>
    <col min="2" max="2" width="15.44140625" style="9" bestFit="1" customWidth="1"/>
    <col min="3" max="6" width="8.88671875" style="9"/>
    <col min="7" max="7" width="21.44140625" style="9" hidden="1" customWidth="1"/>
    <col min="8" max="8" width="23.44140625" style="9" hidden="1" customWidth="1"/>
    <col min="9" max="9" width="8.88671875" style="9" hidden="1" customWidth="1"/>
    <col min="10" max="10" width="8.88671875" style="9" customWidth="1"/>
    <col min="11" max="16384" width="8.88671875" style="9"/>
  </cols>
  <sheetData>
    <row r="1" spans="1:9" ht="16.2" x14ac:dyDescent="0.25">
      <c r="A1" s="85" t="s">
        <v>7</v>
      </c>
      <c r="B1" s="86"/>
      <c r="G1" s="103" t="s">
        <v>313</v>
      </c>
      <c r="H1" s="104"/>
      <c r="I1" s="105"/>
    </row>
    <row r="2" spans="1:9" ht="16.2" x14ac:dyDescent="0.25">
      <c r="A2" s="76" t="s">
        <v>361</v>
      </c>
      <c r="B2" s="78">
        <v>4024</v>
      </c>
      <c r="G2" s="17" t="s">
        <v>314</v>
      </c>
      <c r="H2" s="17">
        <v>4024</v>
      </c>
      <c r="I2" s="17"/>
    </row>
    <row r="3" spans="1:9" ht="16.2" x14ac:dyDescent="0.25">
      <c r="A3" s="76" t="s">
        <v>363</v>
      </c>
      <c r="B3" s="78">
        <v>3036</v>
      </c>
      <c r="G3" s="17" t="s">
        <v>105</v>
      </c>
      <c r="H3" s="17">
        <v>3036</v>
      </c>
      <c r="I3" s="17"/>
    </row>
    <row r="4" spans="1:9" ht="16.2" x14ac:dyDescent="0.25">
      <c r="A4" s="43" t="s">
        <v>253</v>
      </c>
      <c r="B4" s="4">
        <v>30000</v>
      </c>
      <c r="G4" s="103" t="s">
        <v>316</v>
      </c>
      <c r="H4" s="104"/>
      <c r="I4" s="105"/>
    </row>
    <row r="5" spans="1:9" ht="16.2" x14ac:dyDescent="0.25">
      <c r="A5" s="43" t="s">
        <v>396</v>
      </c>
      <c r="B5" s="4">
        <v>8</v>
      </c>
      <c r="G5" s="17" t="s">
        <v>314</v>
      </c>
      <c r="H5" s="17">
        <v>4024</v>
      </c>
      <c r="I5" s="17"/>
    </row>
    <row r="6" spans="1:9" ht="16.2" x14ac:dyDescent="0.25">
      <c r="A6" s="43" t="s">
        <v>249</v>
      </c>
      <c r="B6" s="4">
        <v>300000000</v>
      </c>
      <c r="G6" s="17" t="s">
        <v>366</v>
      </c>
      <c r="H6" s="17">
        <v>3046</v>
      </c>
      <c r="I6" s="17"/>
    </row>
    <row r="7" spans="1:9" ht="16.2" x14ac:dyDescent="0.25">
      <c r="A7" s="43" t="s">
        <v>247</v>
      </c>
      <c r="B7" s="4">
        <v>380000000</v>
      </c>
      <c r="G7" s="103"/>
      <c r="H7" s="104"/>
      <c r="I7" s="105"/>
    </row>
    <row r="8" spans="1:9" ht="16.2" x14ac:dyDescent="0.25">
      <c r="A8" s="43" t="s">
        <v>334</v>
      </c>
      <c r="B8" s="4" t="s">
        <v>47</v>
      </c>
      <c r="G8" s="17" t="s">
        <v>367</v>
      </c>
      <c r="H8" s="17">
        <f>IF(B5=8,1,2)*10000</f>
        <v>10000</v>
      </c>
      <c r="I8" s="17" t="s">
        <v>368</v>
      </c>
    </row>
    <row r="9" spans="1:9" ht="16.2" x14ac:dyDescent="0.25">
      <c r="A9" s="43" t="s">
        <v>246</v>
      </c>
      <c r="B9" s="4" t="s">
        <v>47</v>
      </c>
      <c r="G9" s="17" t="s">
        <v>369</v>
      </c>
      <c r="H9" s="17">
        <v>50</v>
      </c>
      <c r="I9" s="17" t="s">
        <v>322</v>
      </c>
    </row>
    <row r="10" spans="1:9" ht="16.2" x14ac:dyDescent="0.25">
      <c r="A10" s="43" t="s">
        <v>245</v>
      </c>
      <c r="B10" s="4">
        <v>32.299999999999997</v>
      </c>
      <c r="G10" s="17" t="s">
        <v>371</v>
      </c>
      <c r="H10" s="17">
        <v>33</v>
      </c>
      <c r="I10" s="17" t="s">
        <v>367</v>
      </c>
    </row>
    <row r="11" spans="1:9" ht="16.2" hidden="1" x14ac:dyDescent="0.25">
      <c r="A11" s="3" t="s">
        <v>372</v>
      </c>
      <c r="B11" s="5" t="str">
        <f>IF((B5&lt;=8),"1","2")</f>
        <v>1</v>
      </c>
      <c r="G11" s="17" t="s">
        <v>373</v>
      </c>
      <c r="H11" s="17">
        <v>17</v>
      </c>
      <c r="I11" s="17" t="s">
        <v>367</v>
      </c>
    </row>
    <row r="12" spans="1:9" ht="16.2" hidden="1" x14ac:dyDescent="0.25">
      <c r="A12" s="3" t="s">
        <v>202</v>
      </c>
      <c r="B12" s="5">
        <f>H15</f>
        <v>12216948</v>
      </c>
      <c r="G12" s="17" t="s">
        <v>375</v>
      </c>
      <c r="H12" s="17">
        <v>16</v>
      </c>
      <c r="I12" s="17" t="s">
        <v>376</v>
      </c>
    </row>
    <row r="13" spans="1:9" ht="16.2" hidden="1" x14ac:dyDescent="0.25">
      <c r="A13" s="3" t="s">
        <v>337</v>
      </c>
      <c r="B13" s="5">
        <f>H8</f>
        <v>10000</v>
      </c>
      <c r="G13" s="17" t="s">
        <v>378</v>
      </c>
      <c r="H13" s="17">
        <v>38</v>
      </c>
      <c r="I13" s="17" t="s">
        <v>376</v>
      </c>
    </row>
    <row r="14" spans="1:9" ht="16.2" hidden="1" x14ac:dyDescent="0.25">
      <c r="A14" s="3" t="s">
        <v>379</v>
      </c>
      <c r="B14" s="5">
        <f>B15</f>
        <v>40730000</v>
      </c>
      <c r="G14" s="17" t="s">
        <v>380</v>
      </c>
      <c r="H14" s="17">
        <v>8</v>
      </c>
      <c r="I14" s="17" t="s">
        <v>381</v>
      </c>
    </row>
    <row r="15" spans="1:9" ht="16.2" hidden="1" x14ac:dyDescent="0.25">
      <c r="A15" s="3" t="s">
        <v>382</v>
      </c>
      <c r="B15" s="5">
        <f>H22</f>
        <v>40730000</v>
      </c>
      <c r="G15" s="17" t="s">
        <v>383</v>
      </c>
      <c r="H15" s="17">
        <f>IF(B5=8,1,2)*B2*B3+84</f>
        <v>12216948</v>
      </c>
      <c r="I15" s="17" t="s">
        <v>384</v>
      </c>
    </row>
    <row r="16" spans="1:9" ht="16.2" x14ac:dyDescent="0.25">
      <c r="A16" s="87" t="s">
        <v>8</v>
      </c>
      <c r="B16" s="88"/>
      <c r="G16" s="103"/>
      <c r="H16" s="104"/>
      <c r="I16" s="105"/>
    </row>
    <row r="17" spans="1:9" ht="27" x14ac:dyDescent="0.25">
      <c r="A17" s="6" t="s">
        <v>226</v>
      </c>
      <c r="B17" s="7">
        <f>1000000000/B15</f>
        <v>24.551927326295115</v>
      </c>
      <c r="G17" s="17" t="s">
        <v>385</v>
      </c>
      <c r="H17" s="17">
        <f>H10+MAX(H6+H13-H10,2+H11+ROUNDUP(1000*H9/H8,0))</f>
        <v>3084</v>
      </c>
      <c r="I17" s="17" t="s">
        <v>386</v>
      </c>
    </row>
    <row r="18" spans="1:9" x14ac:dyDescent="0.25">
      <c r="G18" s="17" t="s">
        <v>387</v>
      </c>
      <c r="H18" s="17">
        <f>ROUNDUP(1000*B4/H8,0)+H14</f>
        <v>3008</v>
      </c>
      <c r="I18" s="17" t="s">
        <v>386</v>
      </c>
    </row>
    <row r="19" spans="1:9" x14ac:dyDescent="0.25">
      <c r="G19" s="17" t="s">
        <v>388</v>
      </c>
      <c r="H19" s="17">
        <f>IF(B9="on",ROUNDUP((10^9)/(B10*H8),0),0)</f>
        <v>0</v>
      </c>
      <c r="I19" s="17" t="s">
        <v>386</v>
      </c>
    </row>
    <row r="20" spans="1:9" x14ac:dyDescent="0.25">
      <c r="G20" s="17" t="s">
        <v>389</v>
      </c>
      <c r="H20" s="17">
        <f>ROUNDUP((H15/MIN(395000000,B6,B7))*10^9/H8,0)</f>
        <v>4073</v>
      </c>
      <c r="I20" s="17" t="s">
        <v>386</v>
      </c>
    </row>
    <row r="21" spans="1:9" x14ac:dyDescent="0.25">
      <c r="G21" s="17" t="s">
        <v>390</v>
      </c>
      <c r="H21" s="17">
        <f>H17+H18+H12</f>
        <v>6108</v>
      </c>
      <c r="I21" s="17" t="s">
        <v>386</v>
      </c>
    </row>
    <row r="22" spans="1:9" x14ac:dyDescent="0.25">
      <c r="G22" s="17" t="s">
        <v>391</v>
      </c>
      <c r="H22" s="17">
        <f>IF(B8="off",MAX(H17:H20),MAX(H21,H19,H20))*1000*IF(B5=8,720,1440)/72</f>
        <v>40730000</v>
      </c>
      <c r="I22" s="17" t="s">
        <v>320</v>
      </c>
    </row>
  </sheetData>
  <sheetProtection algorithmName="SHA-512" hashValue="hAuqQMdGAHLuE09Td33wJ96Ms6DSUqFcRz0G/K3YpMowPxp4kWX9Qb1d4hgijTCfpsGhJUAnyHeqH+TABdt1AQ==" saltValue="Z91IFQSAVwa4WyeFTn9WOg==" spinCount="100000" sheet="1" objects="1" scenarios="1"/>
  <mergeCells count="6">
    <mergeCell ref="A1:B1"/>
    <mergeCell ref="G1:I1"/>
    <mergeCell ref="G4:I4"/>
    <mergeCell ref="G7:I7"/>
    <mergeCell ref="A16:B16"/>
    <mergeCell ref="G16:I16"/>
  </mergeCells>
  <phoneticPr fontId="5" type="noConversion"/>
  <dataValidations count="7">
    <dataValidation type="custom" allowBlank="1" showInputMessage="1" showErrorMessage="1" errorTitle="Input parameter error" error="Input range from 64 to 3036,and is an integer multiple of 2" sqref="B3">
      <formula1>AND(MOD(B3,2)=0,B3&gt;=64,B3&lt;=3036)</formula1>
    </dataValidation>
    <dataValidation type="custom" allowBlank="1" showInputMessage="1" showErrorMessage="1" errorTitle="Input parameter error" error="Input range from 64 to 4024,and is an integer multiple of 8_x000a_" sqref="B2">
      <formula1>AND(MOD(B2,8)=0,B2&gt;=64,B2&lt;=4024)</formula1>
    </dataValidation>
    <dataValidation type="whole" allowBlank="1" showInputMessage="1" showErrorMessage="1" errorTitle="Input parameter error" error="Input range from 10 to 1000000" sqref="B4">
      <formula1>10</formula1>
      <formula2>1000000</formula2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6">
      <formula1>OR(AND(B5=8,B6&gt;=35000000,B6&lt;=400000000,MOD(B6,1000000)=0),AND(B5=12,B6&gt;=70000000,B6&lt;=400000000,MOD(B6,1000000)=0))</formula1>
    </dataValidation>
    <dataValidation type="list" allowBlank="1" showInputMessage="1" showErrorMessage="1" errorTitle="Input parameter error" error="Input 8 or 12" sqref="B5">
      <formula1>"8,12"</formula1>
    </dataValidation>
    <dataValidation type="list" allowBlank="1" showInputMessage="1" showErrorMessage="1" errorTitle="Input parameter error" error="Input off or on" sqref="B8:B9">
      <formula1>"on,off"</formula1>
    </dataValidation>
    <dataValidation type="custom" allowBlank="1" showInputMessage="1" showErrorMessage="1" errorTitle="Input parameter error" error="Input renge from 0.1 to 10000,step 0.1" sqref="B10">
      <formula1>AND(MOD(10*B10,1)=0,B10&gt;=0.1,B10&lt;=10000)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29" sqref="D29"/>
    </sheetView>
  </sheetViews>
  <sheetFormatPr defaultColWidth="9" defaultRowHeight="14.4" x14ac:dyDescent="0.25"/>
  <cols>
    <col min="1" max="1" width="36.109375" style="9" customWidth="1"/>
    <col min="2" max="2" width="30.6640625" style="9" customWidth="1"/>
    <col min="3" max="16384" width="9" style="9"/>
  </cols>
  <sheetData>
    <row r="1" spans="1:2" ht="16.2" x14ac:dyDescent="0.25">
      <c r="A1" s="85" t="s">
        <v>498</v>
      </c>
      <c r="B1" s="86"/>
    </row>
    <row r="2" spans="1:2" ht="16.2" x14ac:dyDescent="0.25">
      <c r="A2" s="3" t="s">
        <v>497</v>
      </c>
      <c r="B2" s="4">
        <v>4608</v>
      </c>
    </row>
    <row r="3" spans="1:2" ht="16.2" x14ac:dyDescent="0.25">
      <c r="A3" s="3" t="s">
        <v>496</v>
      </c>
      <c r="B3" s="4">
        <v>3288</v>
      </c>
    </row>
    <row r="4" spans="1:2" ht="16.2" x14ac:dyDescent="0.25">
      <c r="A4" s="3" t="s">
        <v>495</v>
      </c>
      <c r="B4" s="4">
        <v>60000</v>
      </c>
    </row>
    <row r="5" spans="1:2" ht="16.2" x14ac:dyDescent="0.25">
      <c r="A5" s="3" t="s">
        <v>494</v>
      </c>
      <c r="B5" s="4">
        <v>8</v>
      </c>
    </row>
    <row r="6" spans="1:2" ht="16.2" x14ac:dyDescent="0.25">
      <c r="A6" s="3" t="s">
        <v>493</v>
      </c>
      <c r="B6" s="4">
        <v>300000000</v>
      </c>
    </row>
    <row r="7" spans="1:2" ht="16.2" x14ac:dyDescent="0.25">
      <c r="A7" s="3" t="s">
        <v>492</v>
      </c>
      <c r="B7" s="4">
        <v>380000000</v>
      </c>
    </row>
    <row r="8" spans="1:2" ht="16.2" x14ac:dyDescent="0.25">
      <c r="A8" s="3" t="s">
        <v>491</v>
      </c>
      <c r="B8" s="4" t="s">
        <v>47</v>
      </c>
    </row>
    <row r="9" spans="1:2" ht="16.2" hidden="1" x14ac:dyDescent="0.25">
      <c r="A9" s="3" t="s">
        <v>490</v>
      </c>
      <c r="B9" s="5" t="str">
        <f>IF((B5&lt;=8),"1","2")</f>
        <v>1</v>
      </c>
    </row>
    <row r="10" spans="1:2" ht="16.2" hidden="1" x14ac:dyDescent="0.25">
      <c r="A10" s="3" t="s">
        <v>489</v>
      </c>
      <c r="B10" s="5">
        <f>B2*B3*B9+84</f>
        <v>15151188</v>
      </c>
    </row>
    <row r="11" spans="1:2" ht="16.2" hidden="1" x14ac:dyDescent="0.25">
      <c r="A11" s="3" t="s">
        <v>488</v>
      </c>
      <c r="B11" s="5">
        <v>22.36</v>
      </c>
    </row>
    <row r="12" spans="1:2" ht="16.2" hidden="1" x14ac:dyDescent="0.25">
      <c r="A12" s="3" t="s">
        <v>487</v>
      </c>
      <c r="B12" s="5">
        <f>IF(B8="off",(B3+146)*B11,(5100+B4+B3*B11))</f>
        <v>76784.240000000005</v>
      </c>
    </row>
    <row r="13" spans="1:2" ht="16.2" hidden="1" x14ac:dyDescent="0.25">
      <c r="A13" s="3" t="s">
        <v>486</v>
      </c>
      <c r="B13" s="5">
        <f>MAX(B10*1000000/B7,B10*1000000/B6,B4,B12,B16)</f>
        <v>76784.240000000005</v>
      </c>
    </row>
    <row r="14" spans="1:2" ht="16.2" hidden="1" x14ac:dyDescent="0.25">
      <c r="A14" s="43" t="s">
        <v>246</v>
      </c>
      <c r="B14" s="4" t="s">
        <v>47</v>
      </c>
    </row>
    <row r="15" spans="1:2" ht="16.2" hidden="1" x14ac:dyDescent="0.25">
      <c r="A15" s="43" t="s">
        <v>245</v>
      </c>
      <c r="B15" s="4">
        <v>13</v>
      </c>
    </row>
    <row r="16" spans="1:2" ht="16.2" hidden="1" x14ac:dyDescent="0.25">
      <c r="A16" s="43" t="s">
        <v>469</v>
      </c>
      <c r="B16" s="4">
        <f>B11*(IF(B14="off",0,1))*(INT(1000*1000/(B15*B11)+1))</f>
        <v>0</v>
      </c>
    </row>
    <row r="17" spans="1:2" ht="16.2" x14ac:dyDescent="0.25">
      <c r="A17" s="87" t="s">
        <v>485</v>
      </c>
      <c r="B17" s="88"/>
    </row>
    <row r="18" spans="1:2" ht="27" x14ac:dyDescent="0.25">
      <c r="A18" s="6" t="s">
        <v>484</v>
      </c>
      <c r="B18" s="7">
        <f>1000000/B13</f>
        <v>13.023505865266101</v>
      </c>
    </row>
  </sheetData>
  <sheetProtection algorithmName="SHA-512" hashValue="38oSDH9CWK9dqofRsLztDncbYuaiEjICLT413VbI9lspCMsO1dU4QkCWsdkwbJY6X2Hb3JyjY8C31j3N/afRmA==" saltValue="zb1jIXeGc5QCp/0BkEDeVg==" spinCount="100000" sheet="1" objects="1" scenarios="1"/>
  <mergeCells count="2">
    <mergeCell ref="A1:B1"/>
    <mergeCell ref="A17:B17"/>
  </mergeCells>
  <phoneticPr fontId="5" type="noConversion"/>
  <dataValidations count="9">
    <dataValidation type="custom" allowBlank="1" showInputMessage="1" showErrorMessage="1" errorTitle="Input parameter error" error="Input range from 0.7 to 10000,step 0.1" sqref="B15">
      <formula1>AND(MOD(10*B15,1)=0,B15&gt;=0.7,B15&lt;=10000)</formula1>
    </dataValidation>
    <dataValidation type="list" allowBlank="1" showInputMessage="1" showErrorMessage="1" errorTitle="参数输入错误" error="仅能输入on或off" sqref="B14">
      <formula1>"on,off"</formula1>
    </dataValidation>
    <dataValidation allowBlank="1" showInputMessage="1" showErrorMessage="1" errorTitle="输入超出范围" error="仅能输入0.1到10000之间的数值" sqref="B16"/>
    <dataValidation type="list" allowBlank="1" showInputMessage="1" showErrorMessage="1" errorTitle="Input parameter error" error="Input off or on" sqref="B8">
      <formula1>"off,on"</formula1>
    </dataValidation>
    <dataValidation type="list" allowBlank="1" showDropDown="1" showInputMessage="1" showErrorMessage="1" errorTitle="Input parameter error" error="Input 8 or 12" sqref="B5">
      <formula1>"8,12"</formula1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6">
      <formula1>OR(AND(B5=8,B6&gt;=35000000,B6&lt;=400000000,MOD(B6,1000000)=0),AND(B5=12,B6&gt;=70000000,B6&lt;=400000000,MOD(B6,1000000)=0))</formula1>
    </dataValidation>
    <dataValidation type="whole" allowBlank="1" showInputMessage="1" showErrorMessage="1" errorTitle="Input parameter error" error="Input range from 22 to 1000000" sqref="B4">
      <formula1>22</formula1>
      <formula2>1000000</formula2>
    </dataValidation>
    <dataValidation type="custom" allowBlank="1" showInputMessage="1" showErrorMessage="1" errorTitle="Input parameter error" error="Input range from 64 to 3288,and is an integer multiple of 2" sqref="B3">
      <formula1>AND(MOD(B3,2)=0,B3&gt;=64,B3&lt;=3288)</formula1>
    </dataValidation>
    <dataValidation type="custom" allowBlank="1" showInputMessage="1" showErrorMessage="1" errorTitle="Input parameter error" error="Input range from 64 to 4608,and is an integer multiple of 4" sqref="B2">
      <formula1>AND(MOD(B2,4)=0,B2&gt;=64,B2&lt;=4608)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7" sqref="F7"/>
    </sheetView>
  </sheetViews>
  <sheetFormatPr defaultColWidth="9" defaultRowHeight="14.4" x14ac:dyDescent="0.25"/>
  <cols>
    <col min="1" max="1" width="35.44140625" style="9" customWidth="1"/>
    <col min="2" max="2" width="15.77734375" style="9" customWidth="1"/>
    <col min="3" max="16384" width="9" style="9"/>
  </cols>
  <sheetData>
    <row r="1" spans="1:2" ht="16.2" x14ac:dyDescent="0.25">
      <c r="A1" s="85" t="s">
        <v>7</v>
      </c>
      <c r="B1" s="86"/>
    </row>
    <row r="2" spans="1:2" ht="16.2" x14ac:dyDescent="0.25">
      <c r="A2" s="3" t="s">
        <v>124</v>
      </c>
      <c r="B2" s="4">
        <v>4912</v>
      </c>
    </row>
    <row r="3" spans="1:2" ht="16.2" x14ac:dyDescent="0.25">
      <c r="A3" s="3" t="s">
        <v>125</v>
      </c>
      <c r="B3" s="4">
        <v>3684</v>
      </c>
    </row>
    <row r="4" spans="1:2" ht="16.2" x14ac:dyDescent="0.25">
      <c r="A4" s="3" t="s">
        <v>209</v>
      </c>
      <c r="B4" s="4">
        <v>40000</v>
      </c>
    </row>
    <row r="5" spans="1:2" ht="16.2" x14ac:dyDescent="0.25">
      <c r="A5" s="3" t="s">
        <v>229</v>
      </c>
      <c r="B5" s="4">
        <v>8</v>
      </c>
    </row>
    <row r="6" spans="1:2" ht="16.2" x14ac:dyDescent="0.25">
      <c r="A6" s="3" t="s">
        <v>208</v>
      </c>
      <c r="B6" s="4">
        <v>300000000</v>
      </c>
    </row>
    <row r="7" spans="1:2" ht="16.2" x14ac:dyDescent="0.25">
      <c r="A7" s="3" t="s">
        <v>215</v>
      </c>
      <c r="B7" s="4">
        <v>380000000</v>
      </c>
    </row>
    <row r="8" spans="1:2" ht="16.2" x14ac:dyDescent="0.25">
      <c r="A8" s="3" t="s">
        <v>126</v>
      </c>
      <c r="B8" s="4" t="s">
        <v>47</v>
      </c>
    </row>
    <row r="9" spans="1:2" ht="16.2" hidden="1" x14ac:dyDescent="0.25">
      <c r="A9" s="3" t="s">
        <v>127</v>
      </c>
      <c r="B9" s="4" t="str">
        <f>IF((B5&lt;=8),"1","2")</f>
        <v>1</v>
      </c>
    </row>
    <row r="10" spans="1:2" ht="16.2" hidden="1" x14ac:dyDescent="0.25">
      <c r="A10" s="3" t="s">
        <v>38</v>
      </c>
      <c r="B10" s="4">
        <f>B2*B3*B9+84</f>
        <v>18095892</v>
      </c>
    </row>
    <row r="11" spans="1:2" ht="16.2" hidden="1" x14ac:dyDescent="0.25">
      <c r="A11" s="3" t="s">
        <v>52</v>
      </c>
      <c r="B11" s="4">
        <f>IF(OR(B4&gt;=800000,B5&lt;&gt;8,B10*1000000/B7&gt;=800000,B10*1000000/B6&gt;=800000,IF(B13="off",0,1)*1000*1000/B14&gt;=800000),12.6545*2,12.6545)</f>
        <v>12.654500000000001</v>
      </c>
    </row>
    <row r="12" spans="1:2" ht="16.2" hidden="1" x14ac:dyDescent="0.25">
      <c r="A12" s="3" t="s">
        <v>53</v>
      </c>
      <c r="B12" s="4">
        <f>(B3+77)*B11</f>
        <v>47593.574500000002</v>
      </c>
    </row>
    <row r="13" spans="1:2" ht="16.2" x14ac:dyDescent="0.25">
      <c r="A13" s="3" t="s">
        <v>212</v>
      </c>
      <c r="B13" s="4" t="s">
        <v>47</v>
      </c>
    </row>
    <row r="14" spans="1:2" ht="16.2" x14ac:dyDescent="0.25">
      <c r="A14" s="3" t="s">
        <v>48</v>
      </c>
      <c r="B14" s="4">
        <v>21</v>
      </c>
    </row>
    <row r="15" spans="1:2" ht="16.2" hidden="1" x14ac:dyDescent="0.25">
      <c r="A15" s="3" t="s">
        <v>128</v>
      </c>
      <c r="B15" s="4">
        <f>MIN(MAX(B4+B11,B12),B11*65535)</f>
        <v>47593.574500000002</v>
      </c>
    </row>
    <row r="16" spans="1:2" ht="16.2" hidden="1" x14ac:dyDescent="0.25">
      <c r="A16" s="3" t="s">
        <v>129</v>
      </c>
      <c r="B16" s="4">
        <f>B4+B11*B3+IF(B11&lt;20,2700,3300)</f>
        <v>89319.178</v>
      </c>
    </row>
    <row r="17" spans="1:2" ht="16.2" hidden="1" x14ac:dyDescent="0.25">
      <c r="A17" s="3" t="s">
        <v>130</v>
      </c>
      <c r="B17" s="4">
        <f>MAX(B10*1000000/B7,B10*1000000/B6)</f>
        <v>60319.64</v>
      </c>
    </row>
    <row r="18" spans="1:2" ht="16.2" hidden="1" x14ac:dyDescent="0.25">
      <c r="A18" s="3" t="s">
        <v>131</v>
      </c>
      <c r="B18" s="4">
        <f>B11*IF(B13="off",0,1)*INT(1000*1000/(B11*B14))</f>
        <v>0</v>
      </c>
    </row>
    <row r="19" spans="1:2" ht="16.2" hidden="1" x14ac:dyDescent="0.25">
      <c r="A19" s="3" t="s">
        <v>35</v>
      </c>
      <c r="B19" s="5">
        <f>MAX(B17,B18,IF(EXACT(B8,"on"),B16,B15))</f>
        <v>60319.64</v>
      </c>
    </row>
    <row r="20" spans="1:2" ht="16.2" hidden="1" x14ac:dyDescent="0.25">
      <c r="A20" s="3"/>
      <c r="B20" s="3"/>
    </row>
    <row r="21" spans="1:2" ht="16.2" x14ac:dyDescent="0.25">
      <c r="A21" s="87" t="s">
        <v>8</v>
      </c>
      <c r="B21" s="88"/>
    </row>
    <row r="22" spans="1:2" ht="27" x14ac:dyDescent="0.25">
      <c r="A22" s="6" t="s">
        <v>210</v>
      </c>
      <c r="B22" s="7">
        <f>1000000/B19</f>
        <v>16.578348279266919</v>
      </c>
    </row>
  </sheetData>
  <sheetProtection algorithmName="SHA-512" hashValue="9jFHaUau46nh8MftTQc29SmpogHaI8T5vl4aUA96Za8QIT2ej0KV2mCHHKVyEHiIbK6gLwJHOFWQcX5OTc/bsg==" saltValue="t6BwS0AzXzXmNi3lnEVXRQ==" spinCount="100000" sheet="1" objects="1" scenarios="1"/>
  <mergeCells count="2">
    <mergeCell ref="A1:B1"/>
    <mergeCell ref="A21:B21"/>
  </mergeCells>
  <phoneticPr fontId="5" type="noConversion"/>
  <dataValidations count="8">
    <dataValidation type="custom" allowBlank="1" showInputMessage="1" showErrorMessage="1" errorTitle="Input parameter error" error="Input range from 64 to 4912,and is an integer multiple of 8" sqref="B2">
      <formula1>AND(MOD(B2,8)=0,B2&gt;=64,B2&lt;=4912)</formula1>
    </dataValidation>
    <dataValidation type="custom" allowBlank="1" showInputMessage="1" showErrorMessage="1" errorTitle="Input parameter error" error="Input range from 64 to 3684,and is an integer multiple of 2" sqref="B3">
      <formula1>AND(MOD(B3,2)=0,B3&gt;=64,B3&lt;=3684)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6">
      <formula1>OR(AND(B5=8,B6&gt;=35000000,B6&lt;=400000000,MOD(B6,1000000)=0),AND(B5=12,B6&gt;=70000000,B6&lt;=400000000,MOD(B6,1000000)=0))</formula1>
    </dataValidation>
    <dataValidation type="list" allowBlank="1" showDropDown="1" showInputMessage="1" showErrorMessage="1" errorTitle="Input parameter error" error="Input 8 or 12" sqref="B5">
      <formula1>"8,12"</formula1>
    </dataValidation>
    <dataValidation type="list" allowBlank="1" showInputMessage="1" showErrorMessage="1" errorTitle="Input parameter error" error="Input off or on" sqref="B8 B13">
      <formula1>"off,on"</formula1>
    </dataValidation>
    <dataValidation type="custom" allowBlank="1" showInputMessage="1" showErrorMessage="1" errorTitle="Input parameter error" error="Input range from 0.6 to 10000,step 0.1" sqref="B14">
      <formula1>AND(MOD(10*B14,1)=0,B14&gt;=0.6,B14&lt;=10000)</formula1>
    </dataValidation>
    <dataValidation allowBlank="1" showInputMessage="1" showErrorMessage="1" errorTitle="输入超出范围" error="仅能输入0.1到10000之间的数值" sqref="B15:B18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O26" sqref="O26"/>
    </sheetView>
  </sheetViews>
  <sheetFormatPr defaultColWidth="8.88671875" defaultRowHeight="14.4" x14ac:dyDescent="0.25"/>
  <cols>
    <col min="1" max="1" width="40.6640625" style="9" customWidth="1"/>
    <col min="2" max="2" width="15.44140625" style="9" bestFit="1" customWidth="1"/>
    <col min="3" max="6" width="8.88671875" style="9"/>
    <col min="7" max="7" width="21.44140625" style="9" hidden="1" customWidth="1"/>
    <col min="8" max="8" width="23.44140625" style="9" hidden="1" customWidth="1"/>
    <col min="9" max="9" width="8.88671875" style="9" hidden="1" customWidth="1"/>
    <col min="10" max="10" width="8.88671875" style="9" customWidth="1"/>
    <col min="11" max="16384" width="8.88671875" style="9"/>
  </cols>
  <sheetData>
    <row r="1" spans="1:9" ht="16.2" x14ac:dyDescent="0.25">
      <c r="A1" s="85" t="s">
        <v>7</v>
      </c>
      <c r="B1" s="86"/>
      <c r="G1" s="103" t="s">
        <v>360</v>
      </c>
      <c r="H1" s="104"/>
      <c r="I1" s="105"/>
    </row>
    <row r="2" spans="1:9" ht="16.2" x14ac:dyDescent="0.25">
      <c r="A2" s="76" t="s">
        <v>361</v>
      </c>
      <c r="B2" s="78">
        <v>5496</v>
      </c>
      <c r="G2" s="17" t="s">
        <v>362</v>
      </c>
      <c r="H2" s="17">
        <v>5496</v>
      </c>
      <c r="I2" s="17"/>
    </row>
    <row r="3" spans="1:9" ht="16.2" x14ac:dyDescent="0.25">
      <c r="A3" s="76" t="s">
        <v>363</v>
      </c>
      <c r="B3" s="78">
        <v>3672</v>
      </c>
      <c r="G3" s="17" t="s">
        <v>105</v>
      </c>
      <c r="H3" s="17">
        <f>B3</f>
        <v>3672</v>
      </c>
      <c r="I3" s="17"/>
    </row>
    <row r="4" spans="1:9" ht="16.2" x14ac:dyDescent="0.25">
      <c r="A4" s="43" t="s">
        <v>253</v>
      </c>
      <c r="B4" s="4">
        <v>50000</v>
      </c>
      <c r="G4" s="103" t="s">
        <v>364</v>
      </c>
      <c r="H4" s="104"/>
      <c r="I4" s="105"/>
    </row>
    <row r="5" spans="1:9" ht="16.2" x14ac:dyDescent="0.25">
      <c r="A5" s="43" t="s">
        <v>396</v>
      </c>
      <c r="B5" s="4">
        <v>8</v>
      </c>
      <c r="G5" s="17" t="s">
        <v>365</v>
      </c>
      <c r="H5" s="17">
        <v>5496</v>
      </c>
      <c r="I5" s="17"/>
    </row>
    <row r="6" spans="1:9" ht="16.2" x14ac:dyDescent="0.25">
      <c r="A6" s="43" t="s">
        <v>249</v>
      </c>
      <c r="B6" s="4">
        <v>300000000</v>
      </c>
      <c r="G6" s="17" t="s">
        <v>366</v>
      </c>
      <c r="H6" s="17">
        <f>IF(H3&gt;=1848,H3,1848)</f>
        <v>3672</v>
      </c>
      <c r="I6" s="17"/>
    </row>
    <row r="7" spans="1:9" ht="16.2" x14ac:dyDescent="0.25">
      <c r="A7" s="43" t="s">
        <v>247</v>
      </c>
      <c r="B7" s="4">
        <v>380000000</v>
      </c>
      <c r="G7" s="103"/>
      <c r="H7" s="104"/>
      <c r="I7" s="105"/>
    </row>
    <row r="8" spans="1:9" ht="16.2" x14ac:dyDescent="0.25">
      <c r="A8" s="43" t="s">
        <v>334</v>
      </c>
      <c r="B8" s="4" t="s">
        <v>47</v>
      </c>
      <c r="G8" s="17" t="s">
        <v>367</v>
      </c>
      <c r="H8" s="17">
        <f>IF(B5=8,1,2)*12500</f>
        <v>12500</v>
      </c>
      <c r="I8" s="17" t="s">
        <v>368</v>
      </c>
    </row>
    <row r="9" spans="1:9" ht="16.2" x14ac:dyDescent="0.25">
      <c r="A9" s="43" t="s">
        <v>246</v>
      </c>
      <c r="B9" s="4" t="s">
        <v>47</v>
      </c>
      <c r="G9" s="17" t="s">
        <v>369</v>
      </c>
      <c r="H9" s="17">
        <v>50</v>
      </c>
      <c r="I9" s="17" t="s">
        <v>370</v>
      </c>
    </row>
    <row r="10" spans="1:9" ht="16.2" x14ac:dyDescent="0.25">
      <c r="A10" s="43" t="s">
        <v>245</v>
      </c>
      <c r="B10" s="4">
        <v>19.600000000000001</v>
      </c>
      <c r="G10" s="17" t="s">
        <v>371</v>
      </c>
      <c r="H10" s="17">
        <v>33</v>
      </c>
      <c r="I10" s="17" t="s">
        <v>367</v>
      </c>
    </row>
    <row r="11" spans="1:9" ht="16.2" hidden="1" x14ac:dyDescent="0.25">
      <c r="A11" s="3" t="s">
        <v>372</v>
      </c>
      <c r="B11" s="5" t="str">
        <f>IF((B5&lt;=8),"1","2")</f>
        <v>1</v>
      </c>
      <c r="G11" s="17" t="s">
        <v>373</v>
      </c>
      <c r="H11" s="17">
        <v>17</v>
      </c>
      <c r="I11" s="17" t="s">
        <v>367</v>
      </c>
    </row>
    <row r="12" spans="1:9" ht="16.2" hidden="1" x14ac:dyDescent="0.25">
      <c r="A12" s="3" t="s">
        <v>374</v>
      </c>
      <c r="B12" s="5">
        <f>H15</f>
        <v>20181396</v>
      </c>
      <c r="G12" s="17" t="s">
        <v>375</v>
      </c>
      <c r="H12" s="17">
        <v>16</v>
      </c>
      <c r="I12" s="17" t="s">
        <v>376</v>
      </c>
    </row>
    <row r="13" spans="1:9" ht="16.2" hidden="1" x14ac:dyDescent="0.25">
      <c r="A13" s="3" t="s">
        <v>377</v>
      </c>
      <c r="B13" s="5">
        <f>H8</f>
        <v>12500</v>
      </c>
      <c r="G13" s="17" t="s">
        <v>378</v>
      </c>
      <c r="H13" s="17">
        <v>38</v>
      </c>
      <c r="I13" s="17" t="s">
        <v>376</v>
      </c>
    </row>
    <row r="14" spans="1:9" ht="16.2" hidden="1" x14ac:dyDescent="0.25">
      <c r="A14" s="3" t="s">
        <v>379</v>
      </c>
      <c r="B14" s="5">
        <f>B15</f>
        <v>67275000</v>
      </c>
      <c r="G14" s="17" t="s">
        <v>380</v>
      </c>
      <c r="H14" s="17">
        <v>8</v>
      </c>
      <c r="I14" s="17" t="s">
        <v>381</v>
      </c>
    </row>
    <row r="15" spans="1:9" ht="16.2" hidden="1" x14ac:dyDescent="0.25">
      <c r="A15" s="3" t="s">
        <v>382</v>
      </c>
      <c r="B15" s="5">
        <f>H22</f>
        <v>67275000</v>
      </c>
      <c r="G15" s="17" t="s">
        <v>383</v>
      </c>
      <c r="H15" s="17">
        <f>IF(B5=8,1,2)*B2*B3+84</f>
        <v>20181396</v>
      </c>
      <c r="I15" s="17" t="s">
        <v>384</v>
      </c>
    </row>
    <row r="16" spans="1:9" ht="16.2" x14ac:dyDescent="0.25">
      <c r="A16" s="87" t="s">
        <v>8</v>
      </c>
      <c r="B16" s="88"/>
      <c r="G16" s="103"/>
      <c r="H16" s="104"/>
      <c r="I16" s="105"/>
    </row>
    <row r="17" spans="1:9" ht="27" x14ac:dyDescent="0.25">
      <c r="A17" s="6" t="s">
        <v>226</v>
      </c>
      <c r="B17" s="7">
        <f>1000000000/B15</f>
        <v>14.864362690449648</v>
      </c>
      <c r="G17" s="17" t="s">
        <v>385</v>
      </c>
      <c r="H17" s="17">
        <f>H10+MAX(H6+H13-H10,2+H11+ROUNDUP(1000*H9/H8,0))</f>
        <v>3710</v>
      </c>
      <c r="I17" s="17" t="s">
        <v>386</v>
      </c>
    </row>
    <row r="18" spans="1:9" x14ac:dyDescent="0.25">
      <c r="G18" s="17" t="s">
        <v>387</v>
      </c>
      <c r="H18" s="17">
        <f>ROUNDUP(1000*B4/H8,0)+H14</f>
        <v>4008</v>
      </c>
      <c r="I18" s="17" t="s">
        <v>386</v>
      </c>
    </row>
    <row r="19" spans="1:9" x14ac:dyDescent="0.25">
      <c r="G19" s="17" t="s">
        <v>388</v>
      </c>
      <c r="H19" s="17">
        <f>IF(B9="on",ROUNDUP((10^9)/(B10*H8),0),0)</f>
        <v>0</v>
      </c>
      <c r="I19" s="17" t="s">
        <v>386</v>
      </c>
    </row>
    <row r="20" spans="1:9" x14ac:dyDescent="0.25">
      <c r="G20" s="17" t="s">
        <v>389</v>
      </c>
      <c r="H20" s="17">
        <f>ROUNDUP((H15/MIN(395000000,B6,B7))*10^9/H8,0)</f>
        <v>5382</v>
      </c>
      <c r="I20" s="17" t="s">
        <v>386</v>
      </c>
    </row>
    <row r="21" spans="1:9" x14ac:dyDescent="0.25">
      <c r="G21" s="17" t="s">
        <v>390</v>
      </c>
      <c r="H21" s="17">
        <f>H17+H18+H12</f>
        <v>7734</v>
      </c>
      <c r="I21" s="17" t="s">
        <v>386</v>
      </c>
    </row>
    <row r="22" spans="1:9" x14ac:dyDescent="0.25">
      <c r="G22" s="17" t="s">
        <v>391</v>
      </c>
      <c r="H22" s="17">
        <f>IF(B8="off",MAX(H17:H20),MAX(H21,H19,H20))*1000*IF(B5=8,900,1800)/72</f>
        <v>67275000</v>
      </c>
      <c r="I22" s="17" t="s">
        <v>392</v>
      </c>
    </row>
  </sheetData>
  <sheetProtection algorithmName="SHA-512" hashValue="HuLBQpli1o8c0c+zTw6ZjW6x1XN2CpJHn4dKBycDzdeqRJt+3DzqOTo/caNiKeK6dXuYz7eNyqQaVvHFPksnzQ==" saltValue="XOAkDJlyw/cJM48fNo9p4w==" spinCount="100000" sheet="1" objects="1" scenarios="1"/>
  <mergeCells count="6">
    <mergeCell ref="A1:B1"/>
    <mergeCell ref="G1:I1"/>
    <mergeCell ref="G4:I4"/>
    <mergeCell ref="G7:I7"/>
    <mergeCell ref="A16:B16"/>
    <mergeCell ref="G16:I16"/>
  </mergeCells>
  <phoneticPr fontId="5" type="noConversion"/>
  <dataValidations count="8">
    <dataValidation type="list" allowBlank="1" showInputMessage="1" showErrorMessage="1" errorTitle="Input parameter error" error="Input off or on" sqref="B8">
      <formula1>"on,off"</formula1>
    </dataValidation>
    <dataValidation type="custom" allowBlank="1" showInputMessage="1" showErrorMessage="1" errorTitle="Input parameter error" error="Input renge from 0.1 to 10000,step 0.1" sqref="B10">
      <formula1>AND(MOD(10*B10,1)=0,B10&gt;=0.1,B10&lt;=10000)</formula1>
    </dataValidation>
    <dataValidation type="list" allowBlank="1" showInputMessage="1" showErrorMessage="1" errorTitle="Input parameter error" error="Input off or on" sqref="B9">
      <formula1>"on,off"</formula1>
    </dataValidation>
    <dataValidation type="list" allowBlank="1" showInputMessage="1" showErrorMessage="1" errorTitle="Input parameter error" error="Input 8 or 12" sqref="B5">
      <formula1>"8,12"</formula1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6">
      <formula1>OR(AND(B5=8,B6&gt;=35000000,B6&lt;=400000000,MOD(B6,1000000)=0),AND(B5=12,B6&gt;=70000000,B6&lt;=400000000,MOD(B6,1000000)=0))</formula1>
    </dataValidation>
    <dataValidation type="whole" allowBlank="1" showInputMessage="1" showErrorMessage="1" errorTitle="Input parameter error" error="Input range from 12 to 1000000" sqref="B4">
      <formula1>12</formula1>
      <formula2>1000000</formula2>
    </dataValidation>
    <dataValidation type="custom" allowBlank="1" showInputMessage="1" showErrorMessage="1" errorTitle="Input parameter error" error="Input range from 64 to 5496,and is an integer multiple of 8_x000a_" sqref="B2">
      <formula1>AND(MOD(B2,8)=0,B2&gt;=64,B2&lt;=5496)</formula1>
    </dataValidation>
    <dataValidation type="custom" allowBlank="1" showInputMessage="1" showErrorMessage="1" errorTitle="Input parameter error" error="Input range from 64 to 3672,and is an integer multiple of 2" sqref="B3">
      <formula1>AND(MOD(B3,2)=0,B3&gt;=64,B3&lt;=3672)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30" sqref="C30"/>
    </sheetView>
  </sheetViews>
  <sheetFormatPr defaultRowHeight="14.4" x14ac:dyDescent="0.25"/>
  <cols>
    <col min="1" max="1" width="36.88671875" customWidth="1"/>
    <col min="2" max="2" width="30.77734375" customWidth="1"/>
  </cols>
  <sheetData>
    <row r="1" spans="1:2" ht="16.2" x14ac:dyDescent="0.25">
      <c r="A1" s="85" t="s">
        <v>7</v>
      </c>
      <c r="B1" s="86"/>
    </row>
    <row r="2" spans="1:2" ht="16.2" x14ac:dyDescent="0.25">
      <c r="A2" s="3" t="s">
        <v>0</v>
      </c>
      <c r="B2" s="4">
        <v>720</v>
      </c>
    </row>
    <row r="3" spans="1:2" ht="16.2" x14ac:dyDescent="0.25">
      <c r="A3" s="3" t="s">
        <v>1</v>
      </c>
      <c r="B3" s="4">
        <v>540</v>
      </c>
    </row>
    <row r="4" spans="1:2" ht="16.2" x14ac:dyDescent="0.25">
      <c r="A4" s="3" t="s">
        <v>209</v>
      </c>
      <c r="B4" s="4">
        <v>10000</v>
      </c>
    </row>
    <row r="5" spans="1:2" ht="16.2" x14ac:dyDescent="0.25">
      <c r="A5" s="3" t="s">
        <v>216</v>
      </c>
      <c r="B5" s="4">
        <v>8</v>
      </c>
    </row>
    <row r="6" spans="1:2" ht="16.2" x14ac:dyDescent="0.25">
      <c r="A6" s="3" t="s">
        <v>208</v>
      </c>
      <c r="B6" s="4">
        <v>300000000</v>
      </c>
    </row>
    <row r="7" spans="1:2" ht="16.2" x14ac:dyDescent="0.25">
      <c r="A7" s="3" t="s">
        <v>215</v>
      </c>
      <c r="B7" s="4">
        <v>380000000</v>
      </c>
    </row>
    <row r="8" spans="1:2" ht="16.2" hidden="1" x14ac:dyDescent="0.25">
      <c r="A8" s="3"/>
      <c r="B8" s="4"/>
    </row>
    <row r="9" spans="1:2" ht="16.2" hidden="1" x14ac:dyDescent="0.25">
      <c r="A9" s="3" t="s">
        <v>106</v>
      </c>
      <c r="B9" s="4">
        <f>MAX(INT((B4-14.26)/B12),1)</f>
        <v>2547</v>
      </c>
    </row>
    <row r="10" spans="1:2" ht="16.2" hidden="1" x14ac:dyDescent="0.25">
      <c r="A10" s="3" t="s">
        <v>2</v>
      </c>
      <c r="B10" s="4" t="str">
        <f>IF((B5&lt;=8),"1","2")</f>
        <v>1</v>
      </c>
    </row>
    <row r="11" spans="1:2" ht="16.2" hidden="1" x14ac:dyDescent="0.25">
      <c r="A11" s="3" t="s">
        <v>3</v>
      </c>
      <c r="B11" s="4">
        <f>B2*B3*B10+84</f>
        <v>388884</v>
      </c>
    </row>
    <row r="12" spans="1:2" ht="16.2" hidden="1" x14ac:dyDescent="0.25">
      <c r="A12" s="3" t="s">
        <v>4</v>
      </c>
      <c r="B12" s="4">
        <f>147/37.5</f>
        <v>3.92</v>
      </c>
    </row>
    <row r="13" spans="1:2" ht="16.2" hidden="1" x14ac:dyDescent="0.25">
      <c r="A13" s="3" t="s">
        <v>5</v>
      </c>
      <c r="B13" s="4">
        <f>(B3+42)*B12</f>
        <v>2281.44</v>
      </c>
    </row>
    <row r="14" spans="1:2" ht="16.2" x14ac:dyDescent="0.25">
      <c r="A14" s="3" t="s">
        <v>212</v>
      </c>
      <c r="B14" s="4" t="s">
        <v>47</v>
      </c>
    </row>
    <row r="15" spans="1:2" ht="16.2" x14ac:dyDescent="0.25">
      <c r="A15" s="3" t="s">
        <v>48</v>
      </c>
      <c r="B15" s="4">
        <v>436</v>
      </c>
    </row>
    <row r="16" spans="1:2" ht="16.2" hidden="1" x14ac:dyDescent="0.25">
      <c r="A16" s="3" t="s">
        <v>6</v>
      </c>
      <c r="B16" s="5">
        <f>MAX(B11*1000000/B7,B11*1000000/B6,(B9+18)*B12,B13,B12*IF(B14="off",0,1)*INT(1000*1000/(B12*B15)))</f>
        <v>10054.799999999999</v>
      </c>
    </row>
    <row r="17" spans="1:2" ht="16.2" x14ac:dyDescent="0.25">
      <c r="A17" s="87" t="s">
        <v>8</v>
      </c>
      <c r="B17" s="88"/>
    </row>
    <row r="18" spans="1:2" ht="27" x14ac:dyDescent="0.25">
      <c r="A18" s="6" t="s">
        <v>210</v>
      </c>
      <c r="B18" s="7">
        <f>1000000/B16</f>
        <v>99.454986673031797</v>
      </c>
    </row>
  </sheetData>
  <sheetProtection algorithmName="SHA-512" hashValue="0eLRH9cSzCLuA4SI1Qi/bMN6RUebGIAznd+jwmG5Z5Js7aDUj7rrFi+dNOXCOKrttc+3lJ4jEIO3R7OXMycF6A==" saltValue="hKII7Lj3MsHar+1jCxK8fw==" spinCount="100000" sheet="1" objects="1" scenarios="1"/>
  <mergeCells count="2">
    <mergeCell ref="A1:B1"/>
    <mergeCell ref="A17:B17"/>
  </mergeCells>
  <phoneticPr fontId="5" type="noConversion"/>
  <dataValidations count="7">
    <dataValidation type="custom" allowBlank="1" showInputMessage="1" showErrorMessage="1" errorTitle="Input parameter error" error="Input range from 64 to 720_x000a_,and is an integer multiple of 8" sqref="B2">
      <formula1>AND(MOD(B2,8)=0,B2&gt;=64,B2&lt;=720)</formula1>
    </dataValidation>
    <dataValidation type="custom" allowBlank="1" showInputMessage="1" showErrorMessage="1" errorTitle="Input parameter error" error="Input range from 64 to 540,and is an integer multiple of 2" sqref="B3">
      <formula1>AND(MOD(B3,2)=0,B3&gt;=64,B3&lt;=540)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list" allowBlank="1" showDropDown="1" showInputMessage="1" showErrorMessage="1" errorTitle="Input parameter error" error="Input 8 or 10" sqref="B5">
      <formula1>"8,10"</formula1>
    </dataValidation>
    <dataValidation type="list" allowBlank="1" showInputMessage="1" showErrorMessage="1" errorTitle="Input parameter error" error="Input off or on" sqref="B14">
      <formula1>"off,on"</formula1>
    </dataValidation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C21" sqref="C21"/>
    </sheetView>
  </sheetViews>
  <sheetFormatPr defaultRowHeight="14.4" x14ac:dyDescent="0.25"/>
  <cols>
    <col min="1" max="1" width="36.21875" customWidth="1"/>
    <col min="2" max="2" width="23" customWidth="1"/>
    <col min="3" max="3" width="64.33203125" bestFit="1" customWidth="1"/>
    <col min="7" max="7" width="12.77734375" hidden="1" customWidth="1"/>
    <col min="8" max="9" width="9.44140625" hidden="1" customWidth="1"/>
    <col min="10" max="10" width="73.109375" hidden="1" customWidth="1"/>
    <col min="11" max="11" width="65.44140625" hidden="1" customWidth="1"/>
  </cols>
  <sheetData>
    <row r="1" spans="1:11" ht="16.2" x14ac:dyDescent="0.25">
      <c r="A1" s="85" t="s">
        <v>7</v>
      </c>
      <c r="B1" s="86"/>
    </row>
    <row r="2" spans="1:11" ht="16.2" x14ac:dyDescent="0.25">
      <c r="A2" s="3" t="s">
        <v>9</v>
      </c>
      <c r="B2" s="4">
        <v>800</v>
      </c>
      <c r="C2" s="79" t="str">
        <f>IF(OR(B2&gt;800/B4,B2&lt;64),LOOKUP(B4,G3:G5,J3:J5),"")</f>
        <v/>
      </c>
      <c r="G2" s="9" t="s">
        <v>451</v>
      </c>
      <c r="H2" s="9" t="s">
        <v>452</v>
      </c>
      <c r="I2" s="9" t="s">
        <v>453</v>
      </c>
      <c r="J2" s="9"/>
      <c r="K2" s="9"/>
    </row>
    <row r="3" spans="1:11" ht="16.2" x14ac:dyDescent="0.25">
      <c r="A3" s="3" t="s">
        <v>10</v>
      </c>
      <c r="B3" s="4">
        <v>600</v>
      </c>
      <c r="C3" s="79" t="str">
        <f>IF(OR(B3&gt;600/B5,B3&lt;64),LOOKUP(B5,G3:G5,K3:K5),"")</f>
        <v/>
      </c>
      <c r="G3" s="9">
        <v>1</v>
      </c>
      <c r="H3" s="9">
        <f>16*INT(800/(16*G3))</f>
        <v>800</v>
      </c>
      <c r="I3" s="9">
        <f>2*INT(600/(2*G3))</f>
        <v>600</v>
      </c>
      <c r="J3" s="9" t="s">
        <v>504</v>
      </c>
      <c r="K3" s="9" t="s">
        <v>507</v>
      </c>
    </row>
    <row r="4" spans="1:11" ht="16.2" x14ac:dyDescent="0.25">
      <c r="A4" s="3" t="s">
        <v>502</v>
      </c>
      <c r="B4" s="4">
        <v>1</v>
      </c>
      <c r="G4" s="9">
        <v>2</v>
      </c>
      <c r="H4" s="9">
        <f>16*INT(800/(16*G4))</f>
        <v>400</v>
      </c>
      <c r="I4" s="9">
        <f>2*INT(600/(2*G4))</f>
        <v>300</v>
      </c>
      <c r="J4" s="9" t="s">
        <v>505</v>
      </c>
      <c r="K4" s="9" t="s">
        <v>508</v>
      </c>
    </row>
    <row r="5" spans="1:11" ht="16.2" x14ac:dyDescent="0.25">
      <c r="A5" s="3" t="s">
        <v>503</v>
      </c>
      <c r="B5" s="4">
        <v>1</v>
      </c>
      <c r="G5" s="9">
        <v>4</v>
      </c>
      <c r="H5" s="9">
        <f>16*INT(800/(16*G5))</f>
        <v>192</v>
      </c>
      <c r="I5" s="9">
        <f>2*INT(600/(2*G5))</f>
        <v>150</v>
      </c>
      <c r="J5" s="9" t="s">
        <v>506</v>
      </c>
      <c r="K5" s="9" t="s">
        <v>509</v>
      </c>
    </row>
    <row r="6" spans="1:11" ht="16.2" x14ac:dyDescent="0.25">
      <c r="A6" s="3" t="s">
        <v>209</v>
      </c>
      <c r="B6" s="4">
        <v>10000</v>
      </c>
      <c r="G6" s="9"/>
      <c r="H6" s="9"/>
      <c r="I6" s="9"/>
      <c r="J6" s="9" t="s">
        <v>460</v>
      </c>
      <c r="K6" s="9"/>
    </row>
    <row r="7" spans="1:11" ht="16.2" x14ac:dyDescent="0.25">
      <c r="A7" s="3" t="s">
        <v>218</v>
      </c>
      <c r="B7" s="4">
        <v>8</v>
      </c>
      <c r="G7" s="9"/>
      <c r="H7" s="9">
        <f>800/B4</f>
        <v>800</v>
      </c>
      <c r="I7" s="9">
        <f>600/B5</f>
        <v>600</v>
      </c>
      <c r="J7" s="9"/>
      <c r="K7" s="9"/>
    </row>
    <row r="8" spans="1:11" ht="16.2" x14ac:dyDescent="0.25">
      <c r="A8" s="3" t="s">
        <v>208</v>
      </c>
      <c r="B8" s="4">
        <v>300000000</v>
      </c>
    </row>
    <row r="9" spans="1:11" ht="16.2" x14ac:dyDescent="0.25">
      <c r="A9" s="3" t="s">
        <v>219</v>
      </c>
      <c r="B9" s="4">
        <v>380000000</v>
      </c>
    </row>
    <row r="10" spans="1:11" ht="16.2" hidden="1" x14ac:dyDescent="0.25">
      <c r="A10" s="43" t="s">
        <v>246</v>
      </c>
      <c r="B10" s="4" t="s">
        <v>47</v>
      </c>
    </row>
    <row r="11" spans="1:11" ht="16.2" hidden="1" x14ac:dyDescent="0.25">
      <c r="A11" s="43" t="s">
        <v>245</v>
      </c>
      <c r="B11" s="4">
        <v>560</v>
      </c>
    </row>
    <row r="12" spans="1:11" ht="16.2" hidden="1" x14ac:dyDescent="0.25">
      <c r="A12" s="3"/>
      <c r="B12" s="5"/>
    </row>
    <row r="13" spans="1:11" ht="16.2" hidden="1" x14ac:dyDescent="0.25">
      <c r="A13" s="3" t="s">
        <v>11</v>
      </c>
      <c r="B13" s="5" t="str">
        <f>IF((B7&lt;=8),"1","2")</f>
        <v>1</v>
      </c>
    </row>
    <row r="14" spans="1:11" ht="16.2" hidden="1" x14ac:dyDescent="0.25">
      <c r="A14" s="3" t="s">
        <v>12</v>
      </c>
      <c r="B14" s="5">
        <f>B2*B3*B13+84</f>
        <v>480084</v>
      </c>
    </row>
    <row r="15" spans="1:11" ht="16.2" hidden="1" x14ac:dyDescent="0.25">
      <c r="A15" s="3" t="s">
        <v>13</v>
      </c>
      <c r="B15" s="5">
        <f>MAX((B4*B2/4+4),84)/72</f>
        <v>2.8333333333333335</v>
      </c>
    </row>
    <row r="16" spans="1:11" ht="16.2" hidden="1" x14ac:dyDescent="0.25">
      <c r="A16" s="3" t="s">
        <v>14</v>
      </c>
      <c r="B16" s="5">
        <f>(1428/72+B5*B3*B15+20)+45.3</f>
        <v>1785.1333333333332</v>
      </c>
    </row>
    <row r="17" spans="1:3" ht="16.2" hidden="1" x14ac:dyDescent="0.25">
      <c r="A17" s="3" t="s">
        <v>15</v>
      </c>
      <c r="B17" s="5">
        <f>MAX(B14*1000000/B9,B14*1000000/B8,(B6+45.3),B16,IF(B10="on",1000000/B11,0))</f>
        <v>10045.299999999999</v>
      </c>
    </row>
    <row r="18" spans="1:3" ht="16.2" hidden="1" x14ac:dyDescent="0.25">
      <c r="A18" s="3"/>
      <c r="B18" s="3"/>
    </row>
    <row r="19" spans="1:3" hidden="1" x14ac:dyDescent="0.25">
      <c r="A19" s="8"/>
      <c r="B19" s="8"/>
    </row>
    <row r="20" spans="1:3" ht="16.2" x14ac:dyDescent="0.25">
      <c r="A20" s="87" t="s">
        <v>8</v>
      </c>
      <c r="B20" s="88"/>
    </row>
    <row r="21" spans="1:3" ht="27" x14ac:dyDescent="0.25">
      <c r="A21" s="6" t="s">
        <v>210</v>
      </c>
      <c r="B21" s="7">
        <f>1000000/B17</f>
        <v>99.549042835953145</v>
      </c>
      <c r="C21" s="79" t="str">
        <f>IF(OR(B3&gt;600/B5,B3&lt;64,B2&gt;800/B4,B2&lt;64),J6,"")</f>
        <v/>
      </c>
    </row>
  </sheetData>
  <sheetProtection algorithmName="SHA-512" hashValue="W3JRO0Iq51Tt5Kk9baxs3FaCW/gU7tAMLy9PGqJ1EIvK5lC/Xyy437QnpuzNe2VGwa7vrODXvRadWjY+vGu6Kw==" saltValue="4PmsyZ5QpL/dXLfVFCJnTg==" spinCount="100000" sheet="1" objects="1" scenarios="1"/>
  <mergeCells count="2">
    <mergeCell ref="A1:B1"/>
    <mergeCell ref="A20:B20"/>
  </mergeCells>
  <phoneticPr fontId="5" type="noConversion"/>
  <conditionalFormatting sqref="B2">
    <cfRule type="cellIs" dxfId="10" priority="2" operator="notBetween">
      <formula>64</formula>
      <formula>$H$7</formula>
    </cfRule>
  </conditionalFormatting>
  <conditionalFormatting sqref="B3">
    <cfRule type="cellIs" dxfId="9" priority="1" operator="notBetween">
      <formula>64</formula>
      <formula>$I$7</formula>
    </cfRule>
  </conditionalFormatting>
  <dataValidations count="9">
    <dataValidation type="list" allowBlank="1" showDropDown="1" showInputMessage="1" showErrorMessage="1" errorTitle="Input parameter error" error="Input 8 or 10" sqref="B7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8">
      <formula1>OR(AND(B7=8,B8&gt;=35000000,B8&lt;=400000000,MOD(B8,1000000)=0),AND(B7=10,B8&gt;=70000000,B8&lt;=400000000,MOD(B8,1000000)=0))</formula1>
    </dataValidation>
    <dataValidation type="whole" allowBlank="1" showInputMessage="1" showErrorMessage="1" errorTitle="Input parameter error" error="Input range from 20 to 1000000" sqref="B6">
      <formula1>20</formula1>
      <formula2>1000000</formula2>
    </dataValidation>
    <dataValidation type="custom" allowBlank="1" showInputMessage="1" showErrorMessage="1" errorTitle="Input parameter error" error="Input range from 64 to 600,and is an integer multiple of 2" sqref="B3">
      <formula1>AND(MOD(B3,2)=0,B3&gt;=64,B3&lt;=600)</formula1>
    </dataValidation>
    <dataValidation type="custom" allowBlank="1" showInputMessage="1" showErrorMessage="1" errorTitle="Input parameter error" error="Input range from 64 to 800,and is an integer multiple of 16_x000a_" sqref="B2">
      <formula1>AND(MOD(B2,16)=0,B2&gt;=64,B2&lt;=800)</formula1>
    </dataValidation>
    <dataValidation type="list" allowBlank="1" showInputMessage="1" showErrorMessage="1" errorTitle="Input parameter error" error="input range is 1,2" sqref="B4">
      <formula1>"1,2"</formula1>
    </dataValidation>
    <dataValidation type="list" allowBlank="1" showInputMessage="1" showErrorMessage="1" errorTitle="input parameter error" error="input range is 1,2" sqref="B5">
      <formula1>"1,2"</formula1>
    </dataValidation>
    <dataValidation type="list" allowBlank="1" showInputMessage="1" showErrorMessage="1" errorTitle="Input parameter error" error="Input off or on" sqref="B10">
      <formula1>"on,off"</formula1>
    </dataValidation>
    <dataValidation type="custom" allowBlank="1" showInputMessage="1" showErrorMessage="1" errorTitle="Input parameter error" error="Input renge from 0.8 to 10000,step 0.1" sqref="B11">
      <formula1>AND(MOD(10*B11,1)=0,B11&gt;=0.8,B11&lt;=10000)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Normal="100" workbookViewId="0">
      <selection activeCell="A34" sqref="A34:B34"/>
    </sheetView>
  </sheetViews>
  <sheetFormatPr defaultColWidth="8.88671875" defaultRowHeight="14.4" x14ac:dyDescent="0.25"/>
  <cols>
    <col min="1" max="1" width="40.6640625" style="36" bestFit="1" customWidth="1"/>
    <col min="2" max="2" width="15.44140625" style="36" bestFit="1" customWidth="1"/>
    <col min="3" max="3" width="115.21875" style="36" customWidth="1"/>
    <col min="4" max="5" width="8.88671875" style="36"/>
    <col min="6" max="6" width="63.88671875" style="36" hidden="1" customWidth="1"/>
    <col min="7" max="7" width="9.44140625" style="36" hidden="1" customWidth="1"/>
    <col min="8" max="8" width="10.44140625" style="36" hidden="1" customWidth="1"/>
    <col min="9" max="15" width="8.88671875" style="36" hidden="1" customWidth="1"/>
    <col min="16" max="16384" width="8.88671875" style="36"/>
  </cols>
  <sheetData>
    <row r="1" spans="1:15" ht="16.2" x14ac:dyDescent="0.25">
      <c r="A1" s="85" t="s">
        <v>7</v>
      </c>
      <c r="B1" s="86"/>
      <c r="D1" s="67"/>
      <c r="F1" s="50" t="s">
        <v>299</v>
      </c>
      <c r="G1" s="66" t="s">
        <v>298</v>
      </c>
      <c r="H1" s="66" t="s">
        <v>297</v>
      </c>
      <c r="I1" s="65" t="s">
        <v>296</v>
      </c>
      <c r="J1" s="64" t="s">
        <v>295</v>
      </c>
      <c r="K1" s="89" t="s">
        <v>294</v>
      </c>
      <c r="L1" s="90"/>
      <c r="N1" s="91" t="s">
        <v>293</v>
      </c>
      <c r="O1" s="92"/>
    </row>
    <row r="2" spans="1:15" ht="16.2" hidden="1" x14ac:dyDescent="0.25">
      <c r="A2" s="60" t="s">
        <v>292</v>
      </c>
      <c r="B2" s="59" t="s">
        <v>291</v>
      </c>
      <c r="F2" s="47" t="s">
        <v>290</v>
      </c>
      <c r="G2" s="48">
        <f>B6</f>
        <v>0</v>
      </c>
      <c r="H2" s="48">
        <f>B4+B6</f>
        <v>608</v>
      </c>
      <c r="I2" s="48">
        <f>B5</f>
        <v>0</v>
      </c>
      <c r="J2" s="63">
        <f>B3+B5</f>
        <v>808</v>
      </c>
      <c r="K2" s="50">
        <f>IF(G2&gt;=G3,G2,G3)</f>
        <v>0</v>
      </c>
      <c r="L2" s="49">
        <f>IF(G2&gt;=G3,H2,H3)</f>
        <v>608</v>
      </c>
      <c r="N2" s="47">
        <f>IF(L26&lt;K25,K26,0)</f>
        <v>0</v>
      </c>
      <c r="O2" s="46">
        <f>IF(L26&lt;K25,L26,0)</f>
        <v>0</v>
      </c>
    </row>
    <row r="3" spans="1:15" ht="16.2" x14ac:dyDescent="0.25">
      <c r="A3" s="60" t="s">
        <v>354</v>
      </c>
      <c r="B3" s="59">
        <v>808</v>
      </c>
      <c r="F3" s="47" t="s">
        <v>289</v>
      </c>
      <c r="G3" s="48">
        <f>IF(B7="on",B11,0)</f>
        <v>0</v>
      </c>
      <c r="H3" s="48">
        <f>IF(B7="on",B9+B11,0)</f>
        <v>0</v>
      </c>
      <c r="I3" s="48">
        <f>IF(B7="on",B10,65536)</f>
        <v>65536</v>
      </c>
      <c r="J3" s="63">
        <f>IF(B7="on",(B8+B10),0)</f>
        <v>0</v>
      </c>
      <c r="K3" s="47">
        <f>IF(G2&gt;=G3,G3,G2)</f>
        <v>0</v>
      </c>
      <c r="L3" s="46">
        <f>IF(G2&gt;=G3,H3,H2)</f>
        <v>0</v>
      </c>
      <c r="N3" s="47">
        <f>IF(L26&lt;K25,K25,K26)</f>
        <v>0</v>
      </c>
      <c r="O3" s="46">
        <f>IF(L26&gt;=L25,L26,L25)</f>
        <v>608</v>
      </c>
    </row>
    <row r="4" spans="1:15" ht="16.8" thickBot="1" x14ac:dyDescent="0.3">
      <c r="A4" s="60" t="s">
        <v>355</v>
      </c>
      <c r="B4" s="59">
        <v>608</v>
      </c>
      <c r="F4" s="47" t="s">
        <v>288</v>
      </c>
      <c r="G4" s="48">
        <f>IF(B12="on",B16,0)</f>
        <v>0</v>
      </c>
      <c r="H4" s="48">
        <f>IF(B12="on",B14+B16,0)</f>
        <v>0</v>
      </c>
      <c r="I4" s="48">
        <f>IF(B12="on",B15,65536)</f>
        <v>65536</v>
      </c>
      <c r="J4" s="63">
        <f>IF(B12="on",(B13+B15),0)</f>
        <v>0</v>
      </c>
      <c r="K4" s="47">
        <f>G4</f>
        <v>0</v>
      </c>
      <c r="L4" s="46">
        <f>H4</f>
        <v>0</v>
      </c>
      <c r="N4" s="47">
        <f>K23</f>
        <v>0</v>
      </c>
      <c r="O4" s="46">
        <f>L23</f>
        <v>0</v>
      </c>
    </row>
    <row r="5" spans="1:15" ht="16.8" hidden="1" thickBot="1" x14ac:dyDescent="0.3">
      <c r="A5" s="60" t="s">
        <v>287</v>
      </c>
      <c r="B5" s="59">
        <v>0</v>
      </c>
      <c r="F5" s="45" t="s">
        <v>286</v>
      </c>
      <c r="G5" s="62">
        <f>IF(B17="on",B21,0)</f>
        <v>0</v>
      </c>
      <c r="H5" s="62">
        <f>IF(B17="on",B19+B21,0)</f>
        <v>0</v>
      </c>
      <c r="I5" s="62">
        <f>IF(B17="on",B20,65536)</f>
        <v>65536</v>
      </c>
      <c r="J5" s="61">
        <f>IF(B17="on",(B18+B20),0)</f>
        <v>0</v>
      </c>
      <c r="K5" s="45">
        <f>G5</f>
        <v>0</v>
      </c>
      <c r="L5" s="44">
        <f>H5</f>
        <v>0</v>
      </c>
      <c r="N5" s="45">
        <f>K22</f>
        <v>0</v>
      </c>
      <c r="O5" s="44">
        <f>L22</f>
        <v>0</v>
      </c>
    </row>
    <row r="6" spans="1:15" ht="16.2" hidden="1" x14ac:dyDescent="0.25">
      <c r="A6" s="60" t="s">
        <v>285</v>
      </c>
      <c r="B6" s="59">
        <v>0</v>
      </c>
      <c r="K6" s="50">
        <f>K2</f>
        <v>0</v>
      </c>
      <c r="L6" s="49">
        <f>L2</f>
        <v>608</v>
      </c>
      <c r="N6" s="91" t="s">
        <v>284</v>
      </c>
      <c r="O6" s="92"/>
    </row>
    <row r="7" spans="1:15" ht="16.2" hidden="1" x14ac:dyDescent="0.25">
      <c r="A7" s="56" t="s">
        <v>265</v>
      </c>
      <c r="B7" s="55" t="s">
        <v>47</v>
      </c>
      <c r="F7" s="58" t="s">
        <v>283</v>
      </c>
      <c r="G7" s="58" t="s">
        <v>282</v>
      </c>
      <c r="K7" s="47">
        <f>IF(K3&gt;=K4,K3,K4)</f>
        <v>0</v>
      </c>
      <c r="L7" s="46">
        <f>IF(K3&gt;=K4,L3,L4)</f>
        <v>0</v>
      </c>
      <c r="N7" s="47">
        <f>N2</f>
        <v>0</v>
      </c>
      <c r="O7" s="46">
        <f>O2</f>
        <v>0</v>
      </c>
    </row>
    <row r="8" spans="1:15" ht="16.2" hidden="1" x14ac:dyDescent="0.25">
      <c r="A8" s="56" t="s">
        <v>281</v>
      </c>
      <c r="B8" s="55">
        <v>808</v>
      </c>
      <c r="F8" s="57">
        <f>MIN(I2,I3,I4,I5)</f>
        <v>0</v>
      </c>
      <c r="G8" s="57">
        <f>MAX(J2,J3,J4,J5)</f>
        <v>808</v>
      </c>
      <c r="K8" s="47">
        <f>IF(K3&gt;=K4,K4,K3)</f>
        <v>0</v>
      </c>
      <c r="L8" s="46">
        <f>IF(K3&gt;=K4,L4,L3)</f>
        <v>0</v>
      </c>
      <c r="N8" s="47">
        <f>IF(O3&lt;N4,N3,0)</f>
        <v>0</v>
      </c>
      <c r="O8" s="46">
        <f>IF(O3&lt;N4,O3,0)</f>
        <v>0</v>
      </c>
    </row>
    <row r="9" spans="1:15" ht="16.8" hidden="1" thickBot="1" x14ac:dyDescent="0.3">
      <c r="A9" s="56" t="s">
        <v>280</v>
      </c>
      <c r="B9" s="55">
        <v>608</v>
      </c>
      <c r="F9" s="58" t="s">
        <v>279</v>
      </c>
      <c r="G9" s="57">
        <f>G8-F8</f>
        <v>808</v>
      </c>
      <c r="K9" s="45">
        <f t="shared" ref="K9:L11" si="0">K5</f>
        <v>0</v>
      </c>
      <c r="L9" s="44">
        <f t="shared" si="0"/>
        <v>0</v>
      </c>
      <c r="N9" s="47">
        <f>IF(O3&lt;N4,N4,N3)</f>
        <v>0</v>
      </c>
      <c r="O9" s="46">
        <f>IF(O3&gt;=O4,O3,O4)</f>
        <v>608</v>
      </c>
    </row>
    <row r="10" spans="1:15" ht="16.8" hidden="1" thickBot="1" x14ac:dyDescent="0.3">
      <c r="A10" s="56" t="s">
        <v>278</v>
      </c>
      <c r="B10" s="55">
        <v>0</v>
      </c>
      <c r="F10" s="58" t="s">
        <v>277</v>
      </c>
      <c r="G10" s="57">
        <f>SUM(O12:O15)-SUM(N12:N15)</f>
        <v>608</v>
      </c>
      <c r="K10" s="50">
        <f t="shared" si="0"/>
        <v>0</v>
      </c>
      <c r="L10" s="49">
        <f t="shared" si="0"/>
        <v>608</v>
      </c>
      <c r="N10" s="45">
        <f>N5</f>
        <v>0</v>
      </c>
      <c r="O10" s="44">
        <f>O5</f>
        <v>0</v>
      </c>
    </row>
    <row r="11" spans="1:15" ht="16.2" hidden="1" x14ac:dyDescent="0.25">
      <c r="A11" s="56" t="s">
        <v>276</v>
      </c>
      <c r="B11" s="55">
        <v>0</v>
      </c>
      <c r="K11" s="47">
        <f t="shared" si="0"/>
        <v>0</v>
      </c>
      <c r="L11" s="46">
        <f t="shared" si="0"/>
        <v>0</v>
      </c>
      <c r="N11" s="91" t="s">
        <v>275</v>
      </c>
      <c r="O11" s="92"/>
    </row>
    <row r="12" spans="1:15" ht="16.2" hidden="1" x14ac:dyDescent="0.25">
      <c r="A12" s="54" t="s">
        <v>265</v>
      </c>
      <c r="B12" s="53" t="s">
        <v>47</v>
      </c>
      <c r="F12" s="48" t="s">
        <v>274</v>
      </c>
      <c r="G12" s="48">
        <v>42853</v>
      </c>
      <c r="H12" s="48" t="s">
        <v>266</v>
      </c>
      <c r="K12" s="47">
        <f>IF(K8&gt;K9,K8,K9)</f>
        <v>0</v>
      </c>
      <c r="L12" s="46">
        <f>IF(K8&gt;K9,L8,L9)</f>
        <v>0</v>
      </c>
      <c r="N12" s="47">
        <f>N7</f>
        <v>0</v>
      </c>
      <c r="O12" s="46">
        <f>O7</f>
        <v>0</v>
      </c>
    </row>
    <row r="13" spans="1:15" ht="16.8" hidden="1" thickBot="1" x14ac:dyDescent="0.3">
      <c r="A13" s="54" t="s">
        <v>273</v>
      </c>
      <c r="B13" s="53">
        <v>808</v>
      </c>
      <c r="F13" s="48" t="s">
        <v>272</v>
      </c>
      <c r="G13" s="48">
        <v>3353</v>
      </c>
      <c r="H13" s="48" t="s">
        <v>266</v>
      </c>
      <c r="K13" s="45">
        <f>IF(K8&gt;K9,K9,K8)</f>
        <v>0</v>
      </c>
      <c r="L13" s="44">
        <f>IF(K8&gt;K9,L9,L8)</f>
        <v>0</v>
      </c>
      <c r="N13" s="47">
        <f>N8</f>
        <v>0</v>
      </c>
      <c r="O13" s="46">
        <f>O8</f>
        <v>0</v>
      </c>
    </row>
    <row r="14" spans="1:15" ht="16.2" hidden="1" x14ac:dyDescent="0.25">
      <c r="A14" s="54" t="s">
        <v>271</v>
      </c>
      <c r="B14" s="53">
        <v>608</v>
      </c>
      <c r="F14" s="48" t="s">
        <v>242</v>
      </c>
      <c r="G14" s="48">
        <f>ROUNDUP(1000*(74+G9+4)/68,0)</f>
        <v>13030</v>
      </c>
      <c r="H14" s="48" t="s">
        <v>266</v>
      </c>
      <c r="K14" s="50">
        <f>IF(K10&gt;K11,K10,K11)</f>
        <v>0</v>
      </c>
      <c r="L14" s="49">
        <f>IF(K10&gt;K11,L10,L11)</f>
        <v>0</v>
      </c>
      <c r="N14" s="47">
        <f>IF(O9&lt;N10,N9,0)</f>
        <v>0</v>
      </c>
      <c r="O14" s="46">
        <f>IF(O9&lt;N10,O9,0)</f>
        <v>0</v>
      </c>
    </row>
    <row r="15" spans="1:15" ht="16.8" hidden="1" thickBot="1" x14ac:dyDescent="0.3">
      <c r="A15" s="54" t="s">
        <v>270</v>
      </c>
      <c r="B15" s="53">
        <v>0</v>
      </c>
      <c r="F15" s="48" t="s">
        <v>269</v>
      </c>
      <c r="G15" s="48">
        <v>13030</v>
      </c>
      <c r="H15" s="48" t="s">
        <v>266</v>
      </c>
      <c r="K15" s="47">
        <f>IF(K10&gt;K11,K11,K10)</f>
        <v>0</v>
      </c>
      <c r="L15" s="46">
        <f>IF(K10&gt;K11,L11,L10)</f>
        <v>608</v>
      </c>
      <c r="N15" s="45">
        <f>IF(O9&lt;N10,N10,N9)</f>
        <v>0</v>
      </c>
      <c r="O15" s="44">
        <f>IF(O9&gt;=O10,O9,O10)</f>
        <v>608</v>
      </c>
    </row>
    <row r="16" spans="1:15" ht="16.2" hidden="1" x14ac:dyDescent="0.25">
      <c r="A16" s="54" t="s">
        <v>268</v>
      </c>
      <c r="B16" s="53">
        <v>0</v>
      </c>
      <c r="F16" s="48" t="s">
        <v>267</v>
      </c>
      <c r="G16" s="48">
        <v>12736</v>
      </c>
      <c r="H16" s="48" t="s">
        <v>266</v>
      </c>
      <c r="K16" s="47">
        <f t="shared" ref="K16:L18" si="1">K12</f>
        <v>0</v>
      </c>
      <c r="L16" s="46">
        <f t="shared" si="1"/>
        <v>0</v>
      </c>
    </row>
    <row r="17" spans="1:15" ht="16.8" hidden="1" thickBot="1" x14ac:dyDescent="0.3">
      <c r="A17" s="52" t="s">
        <v>265</v>
      </c>
      <c r="B17" s="51" t="s">
        <v>47</v>
      </c>
      <c r="F17" s="48" t="s">
        <v>264</v>
      </c>
      <c r="G17" s="48">
        <f>ROUNDUP(((1000*74/68+(3+4)*G15+G10*G14+20*G16+G12+G13)+20000)/1000,0)</f>
        <v>8336</v>
      </c>
      <c r="H17" s="48" t="s">
        <v>259</v>
      </c>
      <c r="K17" s="45">
        <f t="shared" si="1"/>
        <v>0</v>
      </c>
      <c r="L17" s="44">
        <f t="shared" si="1"/>
        <v>0</v>
      </c>
    </row>
    <row r="18" spans="1:15" ht="16.2" hidden="1" x14ac:dyDescent="0.25">
      <c r="A18" s="52" t="s">
        <v>263</v>
      </c>
      <c r="B18" s="51">
        <v>808</v>
      </c>
      <c r="F18" s="48" t="s">
        <v>262</v>
      </c>
      <c r="G18" s="48">
        <f>ROUNDUP((G15+G12+G13+1000*B22+20000)/1000,0)</f>
        <v>10080</v>
      </c>
      <c r="H18" s="48" t="s">
        <v>259</v>
      </c>
      <c r="K18" s="50">
        <f t="shared" si="1"/>
        <v>0</v>
      </c>
      <c r="L18" s="49">
        <f t="shared" si="1"/>
        <v>0</v>
      </c>
    </row>
    <row r="19" spans="1:15" ht="16.2" hidden="1" x14ac:dyDescent="0.25">
      <c r="A19" s="52" t="s">
        <v>261</v>
      </c>
      <c r="B19" s="51">
        <v>608</v>
      </c>
      <c r="F19" s="48" t="s">
        <v>260</v>
      </c>
      <c r="G19" s="48">
        <f>MAX(G17,G18)</f>
        <v>10080</v>
      </c>
      <c r="H19" s="48" t="s">
        <v>259</v>
      </c>
      <c r="K19" s="47">
        <f>IF(K15&gt;K16,K15,K16)</f>
        <v>0</v>
      </c>
      <c r="L19" s="46">
        <f>IF(K15&gt;K16,L15,L16)</f>
        <v>0</v>
      </c>
    </row>
    <row r="20" spans="1:15" ht="16.2" hidden="1" x14ac:dyDescent="0.25">
      <c r="A20" s="52" t="s">
        <v>258</v>
      </c>
      <c r="B20" s="51">
        <v>0</v>
      </c>
      <c r="F20" s="48" t="s">
        <v>257</v>
      </c>
      <c r="G20" s="48">
        <f>B29*(84+B3*B4+IF(B7="on",84+B8*B9,0)+IF(B12="on",84+B13*B14,0)+IF(B17="on",84+B18*B19,0))</f>
        <v>491348</v>
      </c>
      <c r="H20" s="48" t="s">
        <v>256</v>
      </c>
      <c r="K20" s="47">
        <f>IF(K15&gt;K16,K16,K15)</f>
        <v>0</v>
      </c>
      <c r="L20" s="46">
        <f>IF(K15&gt;K16,L16,L15)</f>
        <v>608</v>
      </c>
    </row>
    <row r="21" spans="1:15" ht="16.8" hidden="1" thickBot="1" x14ac:dyDescent="0.3">
      <c r="A21" s="52" t="s">
        <v>255</v>
      </c>
      <c r="B21" s="51">
        <v>0</v>
      </c>
      <c r="F21" s="48" t="s">
        <v>254</v>
      </c>
      <c r="G21" s="48">
        <f>ROUNDUP(1000000*G20/B26,0)</f>
        <v>1294</v>
      </c>
      <c r="H21" s="48"/>
      <c r="K21" s="45">
        <f>K17</f>
        <v>0</v>
      </c>
      <c r="L21" s="44">
        <f>L17</f>
        <v>0</v>
      </c>
    </row>
    <row r="22" spans="1:15" ht="16.2" x14ac:dyDescent="0.25">
      <c r="A22" s="43" t="s">
        <v>253</v>
      </c>
      <c r="B22" s="42">
        <v>10000</v>
      </c>
      <c r="F22" s="48" t="s">
        <v>252</v>
      </c>
      <c r="G22" s="48">
        <f>ROUNDUP(1000000*G20/MIN(B25,B26),0)</f>
        <v>1294</v>
      </c>
      <c r="H22" s="48"/>
      <c r="K22" s="50">
        <f>IF(K18&gt;K19,K18,K19)</f>
        <v>0</v>
      </c>
      <c r="L22" s="49">
        <f>IF(K18&gt;K19,L18,L19)</f>
        <v>0</v>
      </c>
    </row>
    <row r="23" spans="1:15" ht="16.2" x14ac:dyDescent="0.25">
      <c r="A23" s="43" t="s">
        <v>251</v>
      </c>
      <c r="B23" s="42">
        <v>8</v>
      </c>
      <c r="F23" s="48" t="s">
        <v>250</v>
      </c>
      <c r="G23" s="48">
        <f>IF(B27="on",1000000/B28,0)</f>
        <v>0</v>
      </c>
      <c r="H23" s="48"/>
      <c r="K23" s="47">
        <f>IF(K18&gt;K19,K19,K18)</f>
        <v>0</v>
      </c>
      <c r="L23" s="46">
        <f>IF(K18&gt;K19,L19,L18)</f>
        <v>0</v>
      </c>
    </row>
    <row r="24" spans="1:15" ht="16.2" x14ac:dyDescent="0.25">
      <c r="A24" s="43" t="s">
        <v>415</v>
      </c>
      <c r="B24" s="4" t="s">
        <v>416</v>
      </c>
      <c r="F24" s="48"/>
      <c r="G24" s="48"/>
      <c r="H24" s="41"/>
      <c r="K24" s="47"/>
      <c r="L24" s="46"/>
    </row>
    <row r="25" spans="1:15" ht="16.2" x14ac:dyDescent="0.25">
      <c r="A25" s="43" t="s">
        <v>249</v>
      </c>
      <c r="B25" s="42">
        <v>400000000</v>
      </c>
      <c r="C25" s="36" t="str">
        <f>IF(OR(B25&gt;H28,B25&lt;I28),F34,"")</f>
        <v/>
      </c>
      <c r="F25" s="48" t="s">
        <v>248</v>
      </c>
      <c r="G25" s="48">
        <f>MAX(G17,G18,G21,G22,G23)</f>
        <v>10080</v>
      </c>
      <c r="K25" s="47">
        <f>K20</f>
        <v>0</v>
      </c>
      <c r="L25" s="46">
        <f>L20</f>
        <v>608</v>
      </c>
    </row>
    <row r="26" spans="1:15" ht="16.8" thickBot="1" x14ac:dyDescent="0.3">
      <c r="A26" s="43" t="s">
        <v>247</v>
      </c>
      <c r="B26" s="42">
        <f>IF(B24="USB2.0",45000000,380000000)</f>
        <v>380000000</v>
      </c>
      <c r="K26" s="45">
        <f>K21</f>
        <v>0</v>
      </c>
      <c r="L26" s="44">
        <f>L21</f>
        <v>0</v>
      </c>
    </row>
    <row r="27" spans="1:15" ht="16.2" x14ac:dyDescent="0.25">
      <c r="A27" s="43" t="s">
        <v>246</v>
      </c>
      <c r="B27" s="42" t="s">
        <v>47</v>
      </c>
      <c r="F27" s="80" t="s">
        <v>525</v>
      </c>
      <c r="G27" s="9" t="s">
        <v>526</v>
      </c>
      <c r="H27" s="9" t="s">
        <v>527</v>
      </c>
      <c r="I27" s="9" t="s">
        <v>528</v>
      </c>
      <c r="J27" s="9" t="s">
        <v>529</v>
      </c>
      <c r="K27" s="33"/>
      <c r="L27" s="33"/>
      <c r="M27" s="9"/>
      <c r="N27" s="9"/>
      <c r="O27" s="9"/>
    </row>
    <row r="28" spans="1:15" ht="16.2" x14ac:dyDescent="0.25">
      <c r="A28" s="43" t="s">
        <v>245</v>
      </c>
      <c r="B28" s="42">
        <v>120</v>
      </c>
      <c r="F28" s="9" t="str">
        <f>B24</f>
        <v>USB3.0</v>
      </c>
      <c r="G28" s="9">
        <f>B23</f>
        <v>8</v>
      </c>
      <c r="H28" s="9">
        <f>IF(F28="USB2.0",50000000,400000000)</f>
        <v>400000000</v>
      </c>
      <c r="I28" s="9">
        <f>IF(G28=8,1,2)*IF(F28="USB2.0",1000000,35000000)</f>
        <v>35000000</v>
      </c>
      <c r="J28" s="9">
        <v>1000000</v>
      </c>
      <c r="K28" s="33"/>
      <c r="L28" s="33"/>
      <c r="M28" s="9"/>
      <c r="N28" s="9"/>
      <c r="O28" s="9"/>
    </row>
    <row r="29" spans="1:15" ht="16.2" hidden="1" x14ac:dyDescent="0.25">
      <c r="A29" s="40" t="s">
        <v>244</v>
      </c>
      <c r="B29" s="39" t="str">
        <f>IF((B23&lt;=8),"1","2")</f>
        <v>1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ht="16.2" hidden="1" x14ac:dyDescent="0.25">
      <c r="A30" s="40" t="s">
        <v>243</v>
      </c>
      <c r="B30" s="39">
        <f>B3*B4*B29+84</f>
        <v>491348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16.2" hidden="1" x14ac:dyDescent="0.25">
      <c r="A31" s="40" t="s">
        <v>241</v>
      </c>
      <c r="B31" s="39">
        <f>ROUNDUP(1000*(74+G9+4)/68,0)</f>
        <v>13030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6.2" hidden="1" x14ac:dyDescent="0.25">
      <c r="A32" s="40" t="s">
        <v>240</v>
      </c>
      <c r="B32" s="39">
        <f>G25</f>
        <v>10080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ht="16.2" hidden="1" x14ac:dyDescent="0.25">
      <c r="A33" s="40" t="s">
        <v>239</v>
      </c>
      <c r="B33" s="39">
        <f>G25</f>
        <v>10080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16.2" x14ac:dyDescent="0.25">
      <c r="A34" s="87" t="s">
        <v>8</v>
      </c>
      <c r="B34" s="88"/>
      <c r="F34" s="93" t="str">
        <f>IF(F28="USB2.0",F41,F42)</f>
        <v>8bit mode range from 35000000 to 400000000,step 1000000;
10bit mode range from 70000000 to 400000000,step 1000000</v>
      </c>
      <c r="G34" s="93"/>
      <c r="H34" s="93"/>
      <c r="I34" s="93"/>
      <c r="J34" s="93"/>
      <c r="K34" s="93"/>
      <c r="L34" s="93"/>
      <c r="M34" s="93"/>
      <c r="N34" s="93"/>
      <c r="O34" s="93"/>
    </row>
    <row r="35" spans="1:15" ht="27" x14ac:dyDescent="0.25">
      <c r="A35" s="38" t="s">
        <v>238</v>
      </c>
      <c r="B35" s="37">
        <f>(1+IF(B7="on",1,0)+IF(B12="on",1,0)+IF(B17="on",1,0))*(1000000/B33)</f>
        <v>99.206349206349202</v>
      </c>
    </row>
    <row r="41" spans="1:15" ht="28.8" hidden="1" x14ac:dyDescent="0.25">
      <c r="E41" s="9" t="s">
        <v>422</v>
      </c>
      <c r="F41" s="81" t="s">
        <v>531</v>
      </c>
    </row>
    <row r="42" spans="1:15" ht="28.8" hidden="1" x14ac:dyDescent="0.25">
      <c r="E42" s="9" t="s">
        <v>423</v>
      </c>
      <c r="F42" s="81" t="s">
        <v>530</v>
      </c>
    </row>
  </sheetData>
  <sheetProtection algorithmName="SHA-512" hashValue="BDL2hUdLY243kc0VhI0pUWeQV88FUzcCwqPmNpal0FvzhWjSmboRVl3SOnpHAEW38GgSDz7x2H4CqnohyHRdEw==" saltValue="uoK/L2tjOiNUsBBRPYYkKA==" spinCount="100000" sheet="1" objects="1" scenarios="1"/>
  <mergeCells count="7">
    <mergeCell ref="A34:B34"/>
    <mergeCell ref="A1:B1"/>
    <mergeCell ref="K1:L1"/>
    <mergeCell ref="N1:O1"/>
    <mergeCell ref="N6:O6"/>
    <mergeCell ref="N11:O11"/>
    <mergeCell ref="F34:O34"/>
  </mergeCells>
  <phoneticPr fontId="5" type="noConversion"/>
  <conditionalFormatting sqref="B25">
    <cfRule type="cellIs" dxfId="8" priority="1" operator="notBetween">
      <formula>$I$28</formula>
      <formula>$H$28</formula>
    </cfRule>
  </conditionalFormatting>
  <dataValidations count="24">
    <dataValidation type="custom" allowBlank="1" showInputMessage="1" showErrorMessage="1" errorTitle="参数输入错误" error="输入范围0到608- Height_Region1，并且为2的整数倍" sqref="B11">
      <formula1>AND(MOD(B11,2)=0,B11&gt;=0,B11&lt;=608-B9)</formula1>
    </dataValidation>
    <dataValidation type="custom" allowBlank="1" showInputMessage="1" showErrorMessage="1" errorTitle="参数输入错误" error="输入范围64到608-OffsetY_Region1，并且为2的整数倍" sqref="B9">
      <formula1>AND(MOD(B9,2)=0,B9&gt;=64,B9&lt;=608-B11)</formula1>
    </dataValidation>
    <dataValidation type="custom" allowBlank="1" showInputMessage="1" showErrorMessage="1" errorTitle="Input parameter error" error="Input renge from 0.1 to 10000,step 0.1" sqref="B28">
      <formula1>AND(MOD(10*B28,1)=0,B28&gt;=0.1,B28&lt;=10000)</formula1>
    </dataValidation>
    <dataValidation type="custom" allowBlank="1" showInputMessage="1" showErrorMessage="1" errorTitle="参数输入错误" error="输入范围0到808-Hieght_Region2，并且为8的整数倍" sqref="B15">
      <formula1>AND(MOD(B15,8)=0,B15&gt;=0,B15&lt;=808-B13)</formula1>
    </dataValidation>
    <dataValidation type="custom" allowBlank="1" showInputMessage="1" showErrorMessage="1" errorTitle="参数输入错误" error="输入范围0到808-Width_Region1，并且为8的整数倍" sqref="B10">
      <formula1>AND(MOD(B10,8)=0,B10&gt;=0,B10&lt;=808-B8)</formula1>
    </dataValidation>
    <dataValidation type="custom" allowBlank="1" showInputMessage="1" showErrorMessage="1" errorTitle="参数输入错误" error="输入范围0到808-Width_Region3，并且为8的整数倍" sqref="B20">
      <formula1>AND(MOD(B20,8)=0,B20&gt;=0,B20&lt;=808-B18)</formula1>
    </dataValidation>
    <dataValidation type="list" allowBlank="1" showInputMessage="1" showErrorMessage="1" errorTitle="参数输入错误" error="仅支持输入on" sqref="B2">
      <formula1>"on"</formula1>
    </dataValidation>
    <dataValidation type="list" allowBlank="1" showInputMessage="1" showErrorMessage="1" errorTitle="参数输入错误" error="请输入on或者off" sqref="B7 B12 B17">
      <formula1>"on,off"</formula1>
    </dataValidation>
    <dataValidation type="custom" allowBlank="1" showInputMessage="1" showErrorMessage="1" errorTitle="参数输入错误" error="输入范围0到608-Height_REgion3，并且为2的整数倍" sqref="B21">
      <formula1>AND(MOD(B21,2)=0,B21&gt;=0,B21&lt;=608-B19)</formula1>
    </dataValidation>
    <dataValidation type="list" allowBlank="1" showInputMessage="1" showErrorMessage="1" errorTitle="Input parameter error" error="Input 8 or 10" sqref="B23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25">
      <formula1>OR(AND(B23=8,B25&gt;=35000000,B25&lt;=400000000,MOD(B25,1000000)=0),AND(B23=10,B25&gt;=70000000,B25&lt;=400000000,MOD(B25,1000000)=0))</formula1>
    </dataValidation>
    <dataValidation type="whole" allowBlank="1" showInputMessage="1" showErrorMessage="1" errorTitle="Input parameter error" error="Input range from 5 to 1000000" sqref="B22">
      <formula1>5</formula1>
      <formula2>1000000</formula2>
    </dataValidation>
    <dataValidation type="custom" allowBlank="1" showInputMessage="1" showErrorMessage="1" errorTitle="参数输入错误" error="输入范围64到608-OffsetY_Region3，并且为2的整数倍" sqref="B19">
      <formula1>AND(MOD(B19,2)=0,B19&gt;=64,B19&lt;=608-B21)</formula1>
    </dataValidation>
    <dataValidation type="custom" allowBlank="1" showInputMessage="1" showErrorMessage="1" errorTitle="参数输入错误" error="输入范围64d到808-OffsetX_Region3，并且为8的整数倍" sqref="B18">
      <formula1>AND(MOD(B18,8)=0,B18&gt;=64,B18&lt;=808-B20)</formula1>
    </dataValidation>
    <dataValidation type="custom" allowBlank="1" showInputMessage="1" showErrorMessage="1" errorTitle="Input parameter error" error="Input range from 64 to 808,and is an integer multiple of 8_x000a_" sqref="B3">
      <formula1>AND(MOD(B3,8)=0,B3&gt;=64,B3&lt;=808-B5)</formula1>
    </dataValidation>
    <dataValidation type="custom" allowBlank="1" showInputMessage="1" showErrorMessage="1" errorTitle="Input parameter error" error="Input range from 64 to 608,and is an integer multiple of 2" sqref="B4">
      <formula1>AND(MOD(B4,2)=0,B4&gt;=64,B4&lt;=608-B6)</formula1>
    </dataValidation>
    <dataValidation type="custom" allowBlank="1" showInputMessage="1" showErrorMessage="1" errorTitle="参数输入错误" error="输入范围0到808-Width_Region0，并且为8的整数倍" sqref="B5">
      <formula1>AND(MOD(B5,8)=0,B5&gt;=0,B5&lt;=808-B3)</formula1>
    </dataValidation>
    <dataValidation type="custom" allowBlank="1" showInputMessage="1" showErrorMessage="1" errorTitle="参数输入错误" error="输入范围0到608-Height_Region0，并且为2的整数倍" sqref="B6">
      <formula1>AND(MOD(B6,2)=0,B6&gt;=0,B6&lt;=608-B4)</formula1>
    </dataValidation>
    <dataValidation type="custom" allowBlank="1" showInputMessage="1" showErrorMessage="1" errorTitle="参数输入错误" error="输入范围64到808-OffsetX_Region1，并且为8的整数倍_x000a_" sqref="B8">
      <formula1>AND(MOD(B8,8)=0,B8&gt;=64,B8&lt;=808-B10)</formula1>
    </dataValidation>
    <dataValidation type="custom" allowBlank="1" showInputMessage="1" showErrorMessage="1" errorTitle="参数输入错误" error="输入范围64到808-OffsetX_Region2，并且为8的整数倍" sqref="B13">
      <formula1>AND(MOD(B13,8)=0,B13&gt;=64,B13&lt;=808-B15)</formula1>
    </dataValidation>
    <dataValidation type="custom" allowBlank="1" showInputMessage="1" showErrorMessage="1" errorTitle="参数输入错误" error="输入范围64到608-OffsetY_Region2，并且为2的整数倍" sqref="B14">
      <formula1>AND(MOD(B14,2)=0,B14&gt;=64,B16&lt;=608-B16)</formula1>
    </dataValidation>
    <dataValidation type="custom" allowBlank="1" showInputMessage="1" showErrorMessage="1" errorTitle="参数输入错误" error="输入范围0到608-Height_Region2，并且为2的整数倍" sqref="B16">
      <formula1>AND(MOD(B16,2)=0,B16&gt;=0,B16&lt;=608-B14)</formula1>
    </dataValidation>
    <dataValidation type="list" allowBlank="1" showInputMessage="1" showErrorMessage="1" errorTitle="Input parameter error" error="Input off or on" sqref="B27">
      <formula1>"on,off"</formula1>
    </dataValidation>
    <dataValidation type="list" allowBlank="1" showInputMessage="1" showErrorMessage="1" errorTitle="参数输入错误" error="USB2.0或者USB3.0" sqref="B24">
      <formula1>"USB2.0,USB3.0"</formula1>
    </dataValidation>
  </dataValidations>
  <pageMargins left="0.7" right="0.7" top="0.75" bottom="0.75" header="0.3" footer="0.3"/>
  <pageSetup paperSize="9" orientation="portrait" r:id="rId1"/>
  <ignoredErrors>
    <ignoredError sqref="B26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4" sqref="B4"/>
    </sheetView>
  </sheetViews>
  <sheetFormatPr defaultRowHeight="14.4" x14ac:dyDescent="0.25"/>
  <cols>
    <col min="1" max="1" width="35.6640625" customWidth="1"/>
    <col min="2" max="2" width="21.33203125" customWidth="1"/>
    <col min="3" max="3" width="43" customWidth="1"/>
    <col min="7" max="9" width="0" hidden="1" customWidth="1"/>
    <col min="10" max="10" width="67.44140625" hidden="1" customWidth="1"/>
    <col min="11" max="11" width="68.33203125" hidden="1" customWidth="1"/>
  </cols>
  <sheetData>
    <row r="1" spans="1:11" ht="16.2" x14ac:dyDescent="0.25">
      <c r="A1" s="85" t="s">
        <v>7</v>
      </c>
      <c r="B1" s="86"/>
    </row>
    <row r="2" spans="1:11" ht="16.2" x14ac:dyDescent="0.25">
      <c r="A2" s="3" t="s">
        <v>9</v>
      </c>
      <c r="B2" s="4">
        <v>1280</v>
      </c>
      <c r="C2" t="str">
        <f>IF(OR(B2&gt;1280/B4,B2&lt;64),LOOKUP(B4,G3:G5,J3:J5),"")</f>
        <v/>
      </c>
      <c r="G2" s="9" t="s">
        <v>451</v>
      </c>
      <c r="H2" s="9" t="s">
        <v>452</v>
      </c>
      <c r="I2" s="9" t="s">
        <v>453</v>
      </c>
      <c r="J2" s="9"/>
      <c r="K2" s="9"/>
    </row>
    <row r="3" spans="1:11" ht="16.2" x14ac:dyDescent="0.25">
      <c r="A3" s="3" t="s">
        <v>10</v>
      </c>
      <c r="B3" s="4">
        <v>1024</v>
      </c>
      <c r="C3" t="str">
        <f>IF(OR(B3&gt;1024/B5,B3&lt;64),LOOKUP(B5,G3:G5,K3:K5),"")</f>
        <v/>
      </c>
      <c r="G3" s="9">
        <v>1</v>
      </c>
      <c r="H3" s="9">
        <f>16*INT(1280/(16*G3))</f>
        <v>1280</v>
      </c>
      <c r="I3" s="9">
        <f>2*INT(1024/(2*G3))</f>
        <v>1024</v>
      </c>
      <c r="J3" s="9" t="s">
        <v>548</v>
      </c>
      <c r="K3" s="9" t="s">
        <v>550</v>
      </c>
    </row>
    <row r="4" spans="1:11" ht="16.2" x14ac:dyDescent="0.25">
      <c r="A4" s="3" t="s">
        <v>502</v>
      </c>
      <c r="B4" s="4">
        <v>1</v>
      </c>
      <c r="G4" s="9">
        <v>2</v>
      </c>
      <c r="H4" s="9">
        <f>16*INT(1280/(16*G4))</f>
        <v>640</v>
      </c>
      <c r="I4" s="9">
        <f>2*INT(1024/(2*G4))</f>
        <v>512</v>
      </c>
      <c r="J4" s="9" t="s">
        <v>542</v>
      </c>
      <c r="K4" s="9" t="s">
        <v>551</v>
      </c>
    </row>
    <row r="5" spans="1:11" ht="16.2" x14ac:dyDescent="0.25">
      <c r="A5" s="3" t="s">
        <v>503</v>
      </c>
      <c r="B5" s="4">
        <v>1</v>
      </c>
      <c r="G5" s="9">
        <v>4</v>
      </c>
      <c r="H5" s="9">
        <f>16*INT(1280/(16*G5))</f>
        <v>320</v>
      </c>
      <c r="I5" s="9">
        <f>2*INT(1024/(2*G5))</f>
        <v>256</v>
      </c>
      <c r="J5" s="9" t="s">
        <v>549</v>
      </c>
      <c r="K5" s="9" t="s">
        <v>552</v>
      </c>
    </row>
    <row r="6" spans="1:11" ht="16.2" x14ac:dyDescent="0.25">
      <c r="A6" s="3" t="s">
        <v>209</v>
      </c>
      <c r="B6" s="4">
        <v>10000</v>
      </c>
      <c r="G6" s="9"/>
      <c r="H6" s="9"/>
      <c r="I6" s="9"/>
      <c r="J6" s="9" t="s">
        <v>460</v>
      </c>
      <c r="K6" s="9"/>
    </row>
    <row r="7" spans="1:11" ht="16.2" x14ac:dyDescent="0.25">
      <c r="A7" s="3" t="s">
        <v>216</v>
      </c>
      <c r="B7" s="4">
        <v>8</v>
      </c>
      <c r="G7" s="9"/>
      <c r="H7" s="9">
        <f>1280/B4</f>
        <v>1280</v>
      </c>
      <c r="I7" s="9">
        <f>1024/B5</f>
        <v>1024</v>
      </c>
      <c r="J7" s="9"/>
      <c r="K7" s="9"/>
    </row>
    <row r="8" spans="1:11" ht="16.2" x14ac:dyDescent="0.25">
      <c r="A8" s="3" t="s">
        <v>208</v>
      </c>
      <c r="B8" s="4">
        <v>300000000</v>
      </c>
    </row>
    <row r="9" spans="1:11" ht="16.2" x14ac:dyDescent="0.25">
      <c r="A9" s="3" t="s">
        <v>215</v>
      </c>
      <c r="B9" s="4">
        <v>380000000</v>
      </c>
    </row>
    <row r="10" spans="1:11" ht="16.2" x14ac:dyDescent="0.25">
      <c r="A10" s="43" t="s">
        <v>246</v>
      </c>
      <c r="B10" s="4" t="s">
        <v>213</v>
      </c>
    </row>
    <row r="11" spans="1:11" ht="16.2" x14ac:dyDescent="0.25">
      <c r="A11" s="43" t="s">
        <v>245</v>
      </c>
      <c r="B11" s="4">
        <v>210</v>
      </c>
    </row>
    <row r="12" spans="1:11" ht="16.2" hidden="1" x14ac:dyDescent="0.25">
      <c r="A12" s="3"/>
      <c r="B12" s="5"/>
    </row>
    <row r="13" spans="1:11" ht="16.2" hidden="1" x14ac:dyDescent="0.25">
      <c r="A13" s="3" t="s">
        <v>16</v>
      </c>
      <c r="B13" s="5" t="str">
        <f>IF((B7&lt;=8),"1","2")</f>
        <v>1</v>
      </c>
    </row>
    <row r="14" spans="1:11" ht="16.2" hidden="1" x14ac:dyDescent="0.25">
      <c r="A14" s="3" t="s">
        <v>12</v>
      </c>
      <c r="B14" s="5">
        <f>B2*B3*B13+84</f>
        <v>1310804</v>
      </c>
    </row>
    <row r="15" spans="1:11" ht="16.2" hidden="1" x14ac:dyDescent="0.25">
      <c r="A15" s="3" t="s">
        <v>13</v>
      </c>
      <c r="B15" s="5">
        <f>MAX((B4*B2/4+4),84)/72</f>
        <v>4.5</v>
      </c>
    </row>
    <row r="16" spans="1:11" ht="16.2" hidden="1" x14ac:dyDescent="0.25">
      <c r="A16" s="3" t="s">
        <v>14</v>
      </c>
      <c r="B16" s="5">
        <f>(6156/72+B3*B5*B15+1)+64</f>
        <v>4758.5</v>
      </c>
    </row>
    <row r="17" spans="1:3" ht="16.2" hidden="1" x14ac:dyDescent="0.25">
      <c r="A17" s="3" t="s">
        <v>15</v>
      </c>
      <c r="B17" s="5">
        <f>MAX(B14*1000000/B9,B14*1000000/B8,B6,B16,IF(B10="on",1000000/B11,0))</f>
        <v>10000</v>
      </c>
    </row>
    <row r="18" spans="1:3" ht="16.2" hidden="1" x14ac:dyDescent="0.25">
      <c r="A18" s="3"/>
      <c r="B18" s="3"/>
    </row>
    <row r="19" spans="1:3" ht="16.2" hidden="1" x14ac:dyDescent="0.25">
      <c r="A19" s="3"/>
      <c r="B19" s="3"/>
    </row>
    <row r="20" spans="1:3" ht="16.2" x14ac:dyDescent="0.25">
      <c r="A20" s="87" t="s">
        <v>8</v>
      </c>
      <c r="B20" s="88"/>
    </row>
    <row r="21" spans="1:3" ht="27" x14ac:dyDescent="0.25">
      <c r="A21" s="6" t="s">
        <v>210</v>
      </c>
      <c r="B21" s="7">
        <f>1000000/B17</f>
        <v>100</v>
      </c>
      <c r="C21" t="str">
        <f>IF(OR(B3&gt;1024/B5,B3&lt;64,B2&gt;1280/B4,B2&lt;64),J6,"")</f>
        <v/>
      </c>
    </row>
  </sheetData>
  <sheetProtection algorithmName="SHA-512" hashValue="IRzS1TYQrhRz8yIouruEnBJvp8YbsGg/63ATSsZ5F1h0Y56eAEyebuJEu7bRew8/l+lMaVTon2kyvwU+djNqEg==" saltValue="d+ILI0veqJQyTj0b39V8gw==" spinCount="100000" sheet="1" objects="1" scenarios="1"/>
  <mergeCells count="2">
    <mergeCell ref="A1:B1"/>
    <mergeCell ref="A20:B20"/>
  </mergeCells>
  <phoneticPr fontId="5" type="noConversion"/>
  <dataValidations count="9">
    <dataValidation type="custom" allowBlank="1" showInputMessage="1" showErrorMessage="1" errorTitle="Input parameter error" error="Input range from 64 to 1280,and is an integer multiple of 16" sqref="B2">
      <formula1>AND(MOD(B2,16)=0,B2&gt;=64,B2&lt;=1280)</formula1>
    </dataValidation>
    <dataValidation type="custom" allowBlank="1" showInputMessage="1" showErrorMessage="1" errorTitle="Input parameter error" error="Input range from 64 to 1024,and is an integer multiple of 2" sqref="B3">
      <formula1>AND(MOD(B3,2)=0,B3&gt;=64,B3&lt;=1024)</formula1>
    </dataValidation>
    <dataValidation type="whole" allowBlank="1" showInputMessage="1" showErrorMessage="1" errorTitle="Input parameter error" error="Input range from 20 to 1000000" sqref="B6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8">
      <formula1>OR(AND(B7=8,B8&gt;=35000000,B8&lt;=400000000,MOD(B8,1000000)=0),AND(B7=10,B8&gt;=70000000,B8&lt;=400000000,MOD(B8,1000000)=0))</formula1>
    </dataValidation>
    <dataValidation type="list" allowBlank="1" showDropDown="1" showInputMessage="1" showErrorMessage="1" errorTitle="Input parameter error" error="Input 8 or 10" sqref="B7">
      <formula1>"8,10"</formula1>
    </dataValidation>
    <dataValidation type="list" allowBlank="1" showInputMessage="1" showErrorMessage="1" errorTitle="input parameter error" error="input range is 1,2" sqref="B5">
      <formula1>"1,2"</formula1>
    </dataValidation>
    <dataValidation type="list" allowBlank="1" showInputMessage="1" showErrorMessage="1" errorTitle="Input parameter error" error="input range is 1,2" sqref="B4">
      <formula1>"1,2"</formula1>
    </dataValidation>
    <dataValidation type="custom" allowBlank="1" showInputMessage="1" showErrorMessage="1" errorTitle="Input parameter error" error="Input renge from 0.8 to 10000,step 0.1" sqref="B11">
      <formula1>AND(MOD(10*B11,1)=0,B11&gt;=0.8,B11&lt;=10000)</formula1>
    </dataValidation>
    <dataValidation type="list" allowBlank="1" showInputMessage="1" showErrorMessage="1" errorTitle="Input parameter error" error="Input off or on" sqref="B10">
      <formula1>"on,off"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85" zoomScaleNormal="85" workbookViewId="0">
      <selection activeCell="E10" sqref="E10"/>
    </sheetView>
  </sheetViews>
  <sheetFormatPr defaultColWidth="9" defaultRowHeight="14.4" x14ac:dyDescent="0.25"/>
  <cols>
    <col min="1" max="1" width="34.77734375" style="9" bestFit="1" customWidth="1"/>
    <col min="2" max="2" width="25.21875" style="9" customWidth="1"/>
    <col min="3" max="4" width="9" style="9"/>
    <col min="5" max="5" width="25.6640625" style="9" customWidth="1"/>
    <col min="6" max="15" width="14.21875" style="9" hidden="1" customWidth="1"/>
    <col min="16" max="16384" width="9" style="9"/>
  </cols>
  <sheetData>
    <row r="1" spans="1:15" ht="16.8" thickBot="1" x14ac:dyDescent="0.3">
      <c r="A1" s="85" t="s">
        <v>7</v>
      </c>
      <c r="B1" s="86"/>
      <c r="F1" s="10" t="s">
        <v>142</v>
      </c>
      <c r="G1" s="11" t="s">
        <v>143</v>
      </c>
      <c r="H1" s="11" t="s">
        <v>144</v>
      </c>
      <c r="I1" s="12" t="s">
        <v>145</v>
      </c>
      <c r="J1" s="13" t="s">
        <v>146</v>
      </c>
      <c r="K1" s="94" t="s">
        <v>147</v>
      </c>
      <c r="L1" s="95"/>
      <c r="N1" s="96" t="s">
        <v>148</v>
      </c>
      <c r="O1" s="97"/>
    </row>
    <row r="2" spans="1:15" ht="16.2" x14ac:dyDescent="0.25">
      <c r="A2" s="14" t="s">
        <v>149</v>
      </c>
      <c r="B2" s="15" t="s">
        <v>150</v>
      </c>
      <c r="F2" s="16" t="s">
        <v>151</v>
      </c>
      <c r="G2" s="17">
        <f>B6</f>
        <v>0</v>
      </c>
      <c r="H2" s="17">
        <f>B4+B6</f>
        <v>1024</v>
      </c>
      <c r="I2" s="17">
        <f>B5</f>
        <v>0</v>
      </c>
      <c r="J2" s="18">
        <f>B3+B5</f>
        <v>1280</v>
      </c>
      <c r="K2" s="10">
        <f>IF(G2&gt;=G3,G2,G3)</f>
        <v>0</v>
      </c>
      <c r="L2" s="19">
        <f>IF(G2&gt;=G3,H2,H3)</f>
        <v>1024</v>
      </c>
      <c r="N2" s="16">
        <f>IF(L25&lt;K24,K25,0)</f>
        <v>0</v>
      </c>
      <c r="O2" s="20">
        <f>IF(L25&lt;K24,L25,0)</f>
        <v>0</v>
      </c>
    </row>
    <row r="3" spans="1:15" ht="16.2" x14ac:dyDescent="0.25">
      <c r="A3" s="14" t="s">
        <v>152</v>
      </c>
      <c r="B3" s="15">
        <v>1280</v>
      </c>
      <c r="F3" s="16" t="s">
        <v>153</v>
      </c>
      <c r="G3" s="17">
        <f>IF(B7="on",B11,0)</f>
        <v>0</v>
      </c>
      <c r="H3" s="17">
        <f>IF(B7="on",B9+B11,0)</f>
        <v>0</v>
      </c>
      <c r="I3" s="17">
        <f>IF(B7="on",B10,65536)</f>
        <v>65536</v>
      </c>
      <c r="J3" s="18">
        <f>IF(B7="on",(B8+B10),0)</f>
        <v>0</v>
      </c>
      <c r="K3" s="16">
        <f>IF(G2&gt;=G3,G3,G2)</f>
        <v>0</v>
      </c>
      <c r="L3" s="20">
        <f>IF(G2&gt;=G3,H3,H2)</f>
        <v>0</v>
      </c>
      <c r="N3" s="16">
        <f>IF(L25&lt;K24,K24,K25)</f>
        <v>0</v>
      </c>
      <c r="O3" s="20">
        <f>IF(L25&gt;=L24,L25,L24)</f>
        <v>1024</v>
      </c>
    </row>
    <row r="4" spans="1:15" ht="16.2" x14ac:dyDescent="0.25">
      <c r="A4" s="14" t="s">
        <v>154</v>
      </c>
      <c r="B4" s="15">
        <v>1024</v>
      </c>
      <c r="F4" s="16" t="s">
        <v>155</v>
      </c>
      <c r="G4" s="17">
        <f>IF(B12="on",B16,0)</f>
        <v>0</v>
      </c>
      <c r="H4" s="17">
        <f>IF(B12="on",B14+B16,0)</f>
        <v>0</v>
      </c>
      <c r="I4" s="17">
        <f>IF(B12="on",B15,65536)</f>
        <v>65536</v>
      </c>
      <c r="J4" s="18">
        <f>IF(B12="on",(B13+B15),0)</f>
        <v>0</v>
      </c>
      <c r="K4" s="16">
        <f>G4</f>
        <v>0</v>
      </c>
      <c r="L4" s="20">
        <f>H4</f>
        <v>0</v>
      </c>
      <c r="N4" s="16">
        <f>K23</f>
        <v>0</v>
      </c>
      <c r="O4" s="20">
        <f>L23</f>
        <v>0</v>
      </c>
    </row>
    <row r="5" spans="1:15" ht="16.8" thickBot="1" x14ac:dyDescent="0.3">
      <c r="A5" s="14" t="s">
        <v>156</v>
      </c>
      <c r="B5" s="15">
        <v>0</v>
      </c>
      <c r="F5" s="21" t="s">
        <v>157</v>
      </c>
      <c r="G5" s="22">
        <f>IF(B17="on",B21,0)</f>
        <v>0</v>
      </c>
      <c r="H5" s="22">
        <f>IF(B17="on",B19+B21,0)</f>
        <v>0</v>
      </c>
      <c r="I5" s="22">
        <f>IF(B17="on",B20,65536)</f>
        <v>65536</v>
      </c>
      <c r="J5" s="23">
        <f>IF(B17="on",(B18+B20),0)</f>
        <v>0</v>
      </c>
      <c r="K5" s="21">
        <f>G5</f>
        <v>0</v>
      </c>
      <c r="L5" s="24">
        <f>H5</f>
        <v>0</v>
      </c>
      <c r="N5" s="21">
        <f>K22</f>
        <v>0</v>
      </c>
      <c r="O5" s="24">
        <f>L22</f>
        <v>0</v>
      </c>
    </row>
    <row r="6" spans="1:15" ht="16.2" x14ac:dyDescent="0.25">
      <c r="A6" s="14" t="s">
        <v>158</v>
      </c>
      <c r="B6" s="15">
        <v>0</v>
      </c>
      <c r="K6" s="10">
        <f>K2</f>
        <v>0</v>
      </c>
      <c r="L6" s="19">
        <f>L2</f>
        <v>1024</v>
      </c>
      <c r="N6" s="96" t="s">
        <v>159</v>
      </c>
      <c r="O6" s="97"/>
    </row>
    <row r="7" spans="1:15" ht="16.2" x14ac:dyDescent="0.25">
      <c r="A7" s="25" t="s">
        <v>160</v>
      </c>
      <c r="B7" s="26" t="s">
        <v>47</v>
      </c>
      <c r="F7" s="27" t="s">
        <v>161</v>
      </c>
      <c r="G7" s="27" t="s">
        <v>162</v>
      </c>
      <c r="K7" s="16">
        <f>IF(K3&gt;=K4,K3,K4)</f>
        <v>0</v>
      </c>
      <c r="L7" s="20">
        <f>IF(K3&gt;=K4,L3,L4)</f>
        <v>0</v>
      </c>
      <c r="N7" s="16">
        <f>N2</f>
        <v>0</v>
      </c>
      <c r="O7" s="20">
        <f>O2</f>
        <v>0</v>
      </c>
    </row>
    <row r="8" spans="1:15" ht="16.2" x14ac:dyDescent="0.25">
      <c r="A8" s="25" t="s">
        <v>163</v>
      </c>
      <c r="B8" s="26">
        <v>1280</v>
      </c>
      <c r="F8" s="28">
        <f>MIN(I2,I3,I4,I5)</f>
        <v>0</v>
      </c>
      <c r="G8" s="28">
        <f>MAX(J2,J3,J4,J5)</f>
        <v>1280</v>
      </c>
      <c r="K8" s="16">
        <f>IF(K3&gt;=K4,K4,K3)</f>
        <v>0</v>
      </c>
      <c r="L8" s="20">
        <f>IF(K3&gt;=K4,L4,L3)</f>
        <v>0</v>
      </c>
      <c r="N8" s="16">
        <f>IF(O3&lt;N4,N3,0)</f>
        <v>0</v>
      </c>
      <c r="O8" s="20">
        <f>IF(O3&lt;N4,O3,0)</f>
        <v>0</v>
      </c>
    </row>
    <row r="9" spans="1:15" ht="16.8" thickBot="1" x14ac:dyDescent="0.3">
      <c r="A9" s="25" t="s">
        <v>164</v>
      </c>
      <c r="B9" s="26">
        <v>1024</v>
      </c>
      <c r="F9" s="27" t="s">
        <v>165</v>
      </c>
      <c r="G9" s="28">
        <f>G8-F8</f>
        <v>1280</v>
      </c>
      <c r="K9" s="21">
        <f t="shared" ref="K9:L11" si="0">K5</f>
        <v>0</v>
      </c>
      <c r="L9" s="24">
        <f t="shared" si="0"/>
        <v>0</v>
      </c>
      <c r="N9" s="16">
        <f>IF(O3&lt;N4,N4,N3)</f>
        <v>0</v>
      </c>
      <c r="O9" s="20">
        <f>IF(O3&gt;=O4,O3,O4)</f>
        <v>1024</v>
      </c>
    </row>
    <row r="10" spans="1:15" ht="16.8" thickBot="1" x14ac:dyDescent="0.3">
      <c r="A10" s="25" t="s">
        <v>166</v>
      </c>
      <c r="B10" s="26">
        <v>0</v>
      </c>
      <c r="F10" s="27" t="s">
        <v>167</v>
      </c>
      <c r="G10" s="28">
        <f>SUM(O12:O15)-SUM(N12:N15)</f>
        <v>1024</v>
      </c>
      <c r="K10" s="10">
        <f t="shared" si="0"/>
        <v>0</v>
      </c>
      <c r="L10" s="19">
        <f t="shared" si="0"/>
        <v>1024</v>
      </c>
      <c r="N10" s="21">
        <f>N5</f>
        <v>0</v>
      </c>
      <c r="O10" s="24">
        <f>O5</f>
        <v>0</v>
      </c>
    </row>
    <row r="11" spans="1:15" ht="16.2" x14ac:dyDescent="0.25">
      <c r="A11" s="25" t="s">
        <v>168</v>
      </c>
      <c r="B11" s="26">
        <v>0</v>
      </c>
      <c r="K11" s="16">
        <f t="shared" si="0"/>
        <v>0</v>
      </c>
      <c r="L11" s="20">
        <f t="shared" si="0"/>
        <v>0</v>
      </c>
      <c r="N11" s="96" t="s">
        <v>169</v>
      </c>
      <c r="O11" s="97"/>
    </row>
    <row r="12" spans="1:15" ht="16.2" x14ac:dyDescent="0.25">
      <c r="A12" s="29" t="s">
        <v>170</v>
      </c>
      <c r="B12" s="30" t="s">
        <v>47</v>
      </c>
      <c r="F12" s="17" t="s">
        <v>171</v>
      </c>
      <c r="G12" s="17">
        <v>2930</v>
      </c>
      <c r="H12" s="17" t="s">
        <v>172</v>
      </c>
      <c r="K12" s="16">
        <f>IF(K8&gt;K9,K8,K9)</f>
        <v>0</v>
      </c>
      <c r="L12" s="20">
        <f>IF(K8&gt;K9,L8,L9)</f>
        <v>0</v>
      </c>
      <c r="N12" s="16">
        <f>N7</f>
        <v>0</v>
      </c>
      <c r="O12" s="20">
        <f>O7</f>
        <v>0</v>
      </c>
    </row>
    <row r="13" spans="1:15" ht="16.8" thickBot="1" x14ac:dyDescent="0.3">
      <c r="A13" s="29" t="s">
        <v>173</v>
      </c>
      <c r="B13" s="30">
        <v>1280</v>
      </c>
      <c r="F13" s="17" t="s">
        <v>174</v>
      </c>
      <c r="G13" s="17">
        <v>228</v>
      </c>
      <c r="H13" s="17" t="s">
        <v>175</v>
      </c>
      <c r="K13" s="21">
        <f>IF(K8&gt;K9,K9,K8)</f>
        <v>0</v>
      </c>
      <c r="L13" s="24">
        <f>IF(K8&gt;K9,L9,L8)</f>
        <v>0</v>
      </c>
      <c r="N13" s="16">
        <f>N8</f>
        <v>0</v>
      </c>
      <c r="O13" s="20">
        <f>O8</f>
        <v>0</v>
      </c>
    </row>
    <row r="14" spans="1:15" ht="16.2" x14ac:dyDescent="0.25">
      <c r="A14" s="29" t="s">
        <v>176</v>
      </c>
      <c r="B14" s="30">
        <v>1024</v>
      </c>
      <c r="F14" s="17" t="s">
        <v>177</v>
      </c>
      <c r="G14" s="17">
        <f>MAX(84,(G9/4+4))</f>
        <v>324</v>
      </c>
      <c r="H14" s="17" t="s">
        <v>175</v>
      </c>
      <c r="K14" s="10">
        <f>IF(K10&gt;K11,K10,K11)</f>
        <v>0</v>
      </c>
      <c r="L14" s="19">
        <f>IF(K10&gt;K11,L10,L11)</f>
        <v>0</v>
      </c>
      <c r="N14" s="16">
        <f>IF(O9&lt;N10,N9,0)</f>
        <v>0</v>
      </c>
      <c r="O14" s="20">
        <f>IF(O9&lt;N10,O9,0)</f>
        <v>0</v>
      </c>
    </row>
    <row r="15" spans="1:15" ht="16.8" thickBot="1" x14ac:dyDescent="0.3">
      <c r="A15" s="29" t="s">
        <v>178</v>
      </c>
      <c r="B15" s="30">
        <v>0</v>
      </c>
      <c r="F15" s="17" t="s">
        <v>179</v>
      </c>
      <c r="G15" s="17">
        <v>324</v>
      </c>
      <c r="H15" s="17" t="s">
        <v>175</v>
      </c>
      <c r="K15" s="16">
        <f>IF(K10&gt;K11,K11,K10)</f>
        <v>0</v>
      </c>
      <c r="L15" s="20">
        <f>IF(K10&gt;K11,L11,L10)</f>
        <v>1024</v>
      </c>
      <c r="N15" s="21">
        <f>IF(O9&lt;N10,N10,N9)</f>
        <v>0</v>
      </c>
      <c r="O15" s="24">
        <f>IF(O9&gt;=O10,O9,O10)</f>
        <v>1024</v>
      </c>
    </row>
    <row r="16" spans="1:15" ht="16.2" x14ac:dyDescent="0.25">
      <c r="A16" s="29" t="s">
        <v>180</v>
      </c>
      <c r="B16" s="30">
        <v>0</v>
      </c>
      <c r="F16" s="17" t="s">
        <v>181</v>
      </c>
      <c r="G16" s="17">
        <f>((6+14-1)*G15+G10*G14)/72+1+64</f>
        <v>4758.5</v>
      </c>
      <c r="H16" s="17" t="s">
        <v>182</v>
      </c>
      <c r="K16" s="16">
        <f t="shared" ref="K16:L18" si="1">K12</f>
        <v>0</v>
      </c>
      <c r="L16" s="20">
        <f t="shared" si="1"/>
        <v>0</v>
      </c>
    </row>
    <row r="17" spans="1:12" ht="16.8" thickBot="1" x14ac:dyDescent="0.3">
      <c r="A17" s="31" t="s">
        <v>160</v>
      </c>
      <c r="B17" s="32" t="s">
        <v>47</v>
      </c>
      <c r="F17" s="17" t="s">
        <v>183</v>
      </c>
      <c r="G17" s="17">
        <f>B22</f>
        <v>10000</v>
      </c>
      <c r="H17" s="17" t="s">
        <v>184</v>
      </c>
      <c r="K17" s="21">
        <f t="shared" si="1"/>
        <v>0</v>
      </c>
      <c r="L17" s="24">
        <f t="shared" si="1"/>
        <v>0</v>
      </c>
    </row>
    <row r="18" spans="1:12" ht="16.2" x14ac:dyDescent="0.25">
      <c r="A18" s="31" t="s">
        <v>185</v>
      </c>
      <c r="B18" s="32">
        <v>1280</v>
      </c>
      <c r="F18" s="17" t="s">
        <v>186</v>
      </c>
      <c r="G18" s="17">
        <v>0</v>
      </c>
      <c r="H18" s="17"/>
      <c r="K18" s="10">
        <f t="shared" si="1"/>
        <v>0</v>
      </c>
      <c r="L18" s="19">
        <f t="shared" si="1"/>
        <v>0</v>
      </c>
    </row>
    <row r="19" spans="1:12" ht="16.2" x14ac:dyDescent="0.25">
      <c r="A19" s="31" t="s">
        <v>187</v>
      </c>
      <c r="B19" s="32">
        <v>1024</v>
      </c>
      <c r="F19" s="17" t="s">
        <v>188</v>
      </c>
      <c r="G19" s="17">
        <v>0</v>
      </c>
      <c r="H19" s="17" t="s">
        <v>182</v>
      </c>
      <c r="K19" s="16">
        <f>IF(K15&gt;K16,K15,K16)</f>
        <v>0</v>
      </c>
      <c r="L19" s="20">
        <f>IF(K15&gt;K16,L15,L16)</f>
        <v>0</v>
      </c>
    </row>
    <row r="20" spans="1:12" ht="16.2" x14ac:dyDescent="0.25">
      <c r="A20" s="31" t="s">
        <v>189</v>
      </c>
      <c r="B20" s="32">
        <v>0</v>
      </c>
      <c r="F20" s="17" t="s">
        <v>190</v>
      </c>
      <c r="G20" s="17">
        <f>MAX(G16,G17)</f>
        <v>10000</v>
      </c>
      <c r="H20" s="17"/>
      <c r="K20" s="16">
        <f>IF(K15&gt;K16,K16,K15)</f>
        <v>0</v>
      </c>
      <c r="L20" s="20">
        <f>IF(K15&gt;K16,L16,L15)</f>
        <v>1024</v>
      </c>
    </row>
    <row r="21" spans="1:12" ht="16.8" thickBot="1" x14ac:dyDescent="0.3">
      <c r="A21" s="31" t="s">
        <v>191</v>
      </c>
      <c r="B21" s="32">
        <v>0</v>
      </c>
      <c r="F21" s="17" t="s">
        <v>192</v>
      </c>
      <c r="G21" s="17">
        <f>B28*(B3*B4+IF(B7="on",B8*B9,0)+IF(B12="on",B13*B14,0)+IF(B17="on",B18*B19,0))</f>
        <v>1310720</v>
      </c>
      <c r="H21" s="17"/>
      <c r="K21" s="21">
        <f>K17</f>
        <v>0</v>
      </c>
      <c r="L21" s="24">
        <f>L17</f>
        <v>0</v>
      </c>
    </row>
    <row r="22" spans="1:12" ht="16.2" x14ac:dyDescent="0.25">
      <c r="A22" s="3" t="s">
        <v>193</v>
      </c>
      <c r="B22" s="4">
        <v>10000</v>
      </c>
      <c r="F22" s="17" t="s">
        <v>194</v>
      </c>
      <c r="G22" s="17">
        <f>1000000*G21/B25</f>
        <v>3449.2631578947367</v>
      </c>
      <c r="H22" s="17"/>
      <c r="K22" s="10">
        <f>IF(K18&gt;K19,K18,K19)</f>
        <v>0</v>
      </c>
      <c r="L22" s="19">
        <f>IF(K18&gt;K19,L18,L19)</f>
        <v>0</v>
      </c>
    </row>
    <row r="23" spans="1:12" ht="16.2" x14ac:dyDescent="0.25">
      <c r="A23" s="3" t="s">
        <v>195</v>
      </c>
      <c r="B23" s="4">
        <v>8</v>
      </c>
      <c r="F23" s="17" t="s">
        <v>196</v>
      </c>
      <c r="G23" s="17">
        <f>1000000*G21/B24</f>
        <v>4369.0666666666666</v>
      </c>
      <c r="H23" s="17"/>
      <c r="K23" s="16">
        <f>IF(K18&gt;K19,K19,K18)</f>
        <v>0</v>
      </c>
      <c r="L23" s="20">
        <f>IF(K18&gt;K19,L19,L18)</f>
        <v>0</v>
      </c>
    </row>
    <row r="24" spans="1:12" ht="16.2" x14ac:dyDescent="0.25">
      <c r="A24" s="3" t="s">
        <v>197</v>
      </c>
      <c r="B24" s="4">
        <v>300000000</v>
      </c>
      <c r="F24" s="17" t="s">
        <v>198</v>
      </c>
      <c r="G24" s="17">
        <f>IF(B26="on",IF(1000000/B27&gt;1249960,1249960,1000000/B27),0)</f>
        <v>0</v>
      </c>
      <c r="H24" s="17"/>
      <c r="K24" s="16">
        <f>K20</f>
        <v>0</v>
      </c>
      <c r="L24" s="20">
        <f>L20</f>
        <v>1024</v>
      </c>
    </row>
    <row r="25" spans="1:12" ht="16.8" thickBot="1" x14ac:dyDescent="0.3">
      <c r="A25" s="3" t="s">
        <v>199</v>
      </c>
      <c r="B25" s="4">
        <v>380000000</v>
      </c>
      <c r="F25" s="17" t="s">
        <v>102</v>
      </c>
      <c r="G25" s="17">
        <f>MAX(G20,G22,G23,G24)</f>
        <v>10000</v>
      </c>
      <c r="K25" s="21">
        <f>K21</f>
        <v>0</v>
      </c>
      <c r="L25" s="24">
        <f>L21</f>
        <v>0</v>
      </c>
    </row>
    <row r="26" spans="1:12" ht="16.2" x14ac:dyDescent="0.25">
      <c r="A26" s="3" t="s">
        <v>200</v>
      </c>
      <c r="B26" s="4" t="s">
        <v>47</v>
      </c>
      <c r="K26" s="33"/>
      <c r="L26" s="33"/>
    </row>
    <row r="27" spans="1:12" ht="16.2" x14ac:dyDescent="0.25">
      <c r="A27" s="3" t="s">
        <v>201</v>
      </c>
      <c r="B27" s="4">
        <v>210</v>
      </c>
      <c r="K27" s="33"/>
      <c r="L27" s="33"/>
    </row>
    <row r="28" spans="1:12" ht="16.2" hidden="1" x14ac:dyDescent="0.25">
      <c r="A28" s="3" t="s">
        <v>11</v>
      </c>
      <c r="B28" s="5" t="str">
        <f>IF((B23&lt;=8),"1","2")</f>
        <v>1</v>
      </c>
    </row>
    <row r="29" spans="1:12" ht="16.2" hidden="1" x14ac:dyDescent="0.25">
      <c r="A29" s="3" t="s">
        <v>202</v>
      </c>
      <c r="B29" s="5">
        <f>B3*B4*B28+84</f>
        <v>1310804</v>
      </c>
    </row>
    <row r="30" spans="1:12" ht="16.2" hidden="1" x14ac:dyDescent="0.25">
      <c r="A30" s="3" t="s">
        <v>203</v>
      </c>
      <c r="B30" s="5">
        <f>MAX((B3/4+4),84)/72</f>
        <v>4.5</v>
      </c>
    </row>
    <row r="31" spans="1:12" ht="16.2" hidden="1" x14ac:dyDescent="0.25">
      <c r="A31" s="3" t="s">
        <v>204</v>
      </c>
      <c r="B31" s="5">
        <f>(6156/72+B4*B30+1)+64</f>
        <v>4758.5</v>
      </c>
    </row>
    <row r="32" spans="1:12" ht="16.2" hidden="1" x14ac:dyDescent="0.25">
      <c r="A32" s="3" t="s">
        <v>205</v>
      </c>
      <c r="B32" s="5">
        <f>G25</f>
        <v>10000</v>
      </c>
    </row>
    <row r="33" spans="1:2" ht="16.2" x14ac:dyDescent="0.25">
      <c r="A33" s="87" t="s">
        <v>8</v>
      </c>
      <c r="B33" s="88"/>
    </row>
    <row r="34" spans="1:2" ht="27" x14ac:dyDescent="0.25">
      <c r="A34" s="6" t="s">
        <v>206</v>
      </c>
      <c r="B34" s="7">
        <f>(1+IF(B7="on",1,0)+IF(B12="on",1,0)+IF(B17="on",1,0))*(1000000/B32)</f>
        <v>100</v>
      </c>
    </row>
  </sheetData>
  <sheetProtection algorithmName="SHA-512" hashValue="R3auhT1b0e9aaoPZCUOWhVFs0GsbS26GEqSMZfAigrPQlIXps8JjgmTKwGQ0UEOPuvtYwUdbI3z7CJalEvOs8Q==" saltValue="eY9eCXzjukTGmVT/Eaekng==" spinCount="100000" sheet="1" objects="1" scenarios="1"/>
  <mergeCells count="6">
    <mergeCell ref="A33:B33"/>
    <mergeCell ref="A1:B1"/>
    <mergeCell ref="K1:L1"/>
    <mergeCell ref="N1:O1"/>
    <mergeCell ref="N6:O6"/>
    <mergeCell ref="N11:O11"/>
  </mergeCells>
  <phoneticPr fontId="5" type="noConversion"/>
  <dataValidations count="15">
    <dataValidation type="custom" allowBlank="1" showInputMessage="1" showErrorMessage="1" errorTitle="参数输入错误" error="输入范围0-960，并且为2的整数倍，图像高度和垂直偏移之和必须小于1024" sqref="B11">
      <formula1>AND(MOD(B11,2)=0,B11&gt;=0,B11&lt;=960,B11+B9&lt;=1024)</formula1>
    </dataValidation>
    <dataValidation type="custom" allowBlank="1" showInputMessage="1" showErrorMessage="1" errorTitle="参数输入错误" error="输入范围64-1024，并且为2的整数倍，图像高度和垂直偏移之和必须小于1024" sqref="B9">
      <formula1>AND(MOD(B9,2)=0,B9&gt;=64,B9&lt;=1024,B9+B11&lt;=1024)</formula1>
    </dataValidation>
    <dataValidation type="custom" allowBlank="1" showInputMessage="1" showErrorMessage="1" errorTitle="参数输入错误" error="输入范围为0.8-10000，步进值为0.1" sqref="B27">
      <formula1>AND(MOD(10*B27,1)=0,B27&gt;=0.8,B27&lt;=10000)</formula1>
    </dataValidation>
    <dataValidation type="custom" allowBlank="1" showInputMessage="1" showErrorMessage="1" errorTitle="参数输入错误" error="输入范围64-1216，并且为2的整数倍，图像宽度和水平偏移之和必须小于等于1280" sqref="B15">
      <formula1>AND(MOD(B15,16)=0,B15&gt;=0,B15&lt;=1216,B15+B13&lt;=1280)</formula1>
    </dataValidation>
    <dataValidation type="custom" allowBlank="1" showInputMessage="1" showErrorMessage="1" errorTitle="参数输入错误" error="输入范围64-1216，并且为16的整数倍，图像宽度和水平偏移之和必须小于等于1280" sqref="B10">
      <formula1>AND(MOD(B10,16)=0,B10&gt;=0,B10&lt;=1216,B10+B8&lt;=1280)</formula1>
    </dataValidation>
    <dataValidation type="custom" allowBlank="1" showInputMessage="1" showErrorMessage="1" errorTitle="参数输入错误" error="输入范围0-1216，并且为16的整数倍，图像宽度和水平偏移之和必须小于等于1280" sqref="B20 B5">
      <formula1>AND(MOD(B5,16)=0,B5&gt;=0,B5&lt;=1216,B5+B3&lt;=1280)</formula1>
    </dataValidation>
    <dataValidation type="list" allowBlank="1" showInputMessage="1" showErrorMessage="1" sqref="B26">
      <formula1>"on,off"</formula1>
    </dataValidation>
    <dataValidation type="list" allowBlank="1" showInputMessage="1" showErrorMessage="1" sqref="B2">
      <formula1>"on"</formula1>
    </dataValidation>
    <dataValidation type="list" allowBlank="1" showInputMessage="1" showErrorMessage="1" errorTitle="参数输入错误" error="请输入on或者off" sqref="B7 B12 B17">
      <formula1>"on,off"</formula1>
    </dataValidation>
    <dataValidation type="custom" allowBlank="1" showInputMessage="1" showErrorMessage="1" errorTitle="参数输入错误" error="输入范围0-960，并且为2的整数倍，图像高度和垂直偏移之和必须小于等于1024" sqref="B6 B21 B16">
      <formula1>AND(MOD(B6,2)=0,B6&gt;=0,B6&lt;=960,B6+B4&lt;=1024)</formula1>
    </dataValidation>
    <dataValidation type="list" allowBlank="1" showInputMessage="1" showErrorMessage="1" errorTitle="参数输入错误" error="请输入8或者10" sqref="B23">
      <formula1>"8,10"</formula1>
    </dataValidation>
    <dataValidation type="custom" allowBlank="1" showInputMessage="1" showErrorMessage="1" errorTitle="参数输入错误" error="8bit模式下范围35000000-400000000，步长1000000：_x000a_10bit模式下范围70000000-400000000，步长1000000" sqref="B24">
      <formula1>OR(AND(B23=8,B24&gt;=35000000,B24&lt;=400000000,MOD(B24,1000000)=0),AND(B23=10,B24&gt;=70000000,B24&lt;=400000000,MOD(B24,1000000)=0))</formula1>
    </dataValidation>
    <dataValidation type="whole" allowBlank="1" showInputMessage="1" showErrorMessage="1" errorTitle="参数输入错误" error="输入范围20-1000000" sqref="B22">
      <formula1>20</formula1>
      <formula2>1000000</formula2>
    </dataValidation>
    <dataValidation type="custom" allowBlank="1" showInputMessage="1" showErrorMessage="1" errorTitle="参数输入错误" error="输入范围64-1024，并且为2的整数倍，图像高度和垂直偏移之和必须小于等于1024" sqref="B4 B14 B19">
      <formula1>AND(MOD(B4,2)=0,B4&gt;=64,B4&lt;=1024,B4+B6&lt;=1024)</formula1>
    </dataValidation>
    <dataValidation type="custom" allowBlank="1" showInputMessage="1" showErrorMessage="1" errorTitle="参数输入错误" error="输入范围64-1280，并且为16的整数倍，图像宽度和水平偏移之和必须小于等于1280" sqref="B18 B3 B8 B13">
      <formula1>AND(MOD(B3,16)=0,B3&gt;=64,B3&lt;=1280,B3+B5&lt;=1280)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K44" sqref="K44"/>
    </sheetView>
  </sheetViews>
  <sheetFormatPr defaultRowHeight="14.4" x14ac:dyDescent="0.25"/>
  <cols>
    <col min="1" max="1" width="36" customWidth="1"/>
    <col min="2" max="2" width="26.44140625" customWidth="1"/>
  </cols>
  <sheetData>
    <row r="1" spans="1:2" ht="16.2" x14ac:dyDescent="0.25">
      <c r="A1" s="85" t="s">
        <v>7</v>
      </c>
      <c r="B1" s="86"/>
    </row>
    <row r="2" spans="1:2" ht="16.2" x14ac:dyDescent="0.25">
      <c r="A2" s="3" t="s">
        <v>17</v>
      </c>
      <c r="B2" s="4">
        <v>1292</v>
      </c>
    </row>
    <row r="3" spans="1:2" ht="16.2" x14ac:dyDescent="0.25">
      <c r="A3" s="3" t="s">
        <v>207</v>
      </c>
      <c r="B3" s="4">
        <v>0</v>
      </c>
    </row>
    <row r="4" spans="1:2" ht="16.2" x14ac:dyDescent="0.25">
      <c r="A4" s="3" t="s">
        <v>18</v>
      </c>
      <c r="B4" s="4">
        <v>964</v>
      </c>
    </row>
    <row r="5" spans="1:2" ht="16.2" x14ac:dyDescent="0.25">
      <c r="A5" s="3" t="s">
        <v>209</v>
      </c>
      <c r="B5" s="4">
        <v>30000</v>
      </c>
    </row>
    <row r="6" spans="1:2" ht="16.2" x14ac:dyDescent="0.25">
      <c r="A6" s="3" t="s">
        <v>217</v>
      </c>
      <c r="B6" s="4">
        <v>8</v>
      </c>
    </row>
    <row r="7" spans="1:2" ht="16.2" x14ac:dyDescent="0.25">
      <c r="A7" s="3" t="s">
        <v>208</v>
      </c>
      <c r="B7" s="4">
        <v>400000000</v>
      </c>
    </row>
    <row r="8" spans="1:2" ht="16.2" x14ac:dyDescent="0.25">
      <c r="A8" s="3" t="s">
        <v>215</v>
      </c>
      <c r="B8" s="4">
        <v>380000000</v>
      </c>
    </row>
    <row r="9" spans="1:2" ht="16.2" hidden="1" x14ac:dyDescent="0.25">
      <c r="A9" s="3"/>
      <c r="B9" s="5"/>
    </row>
    <row r="10" spans="1:2" ht="16.2" hidden="1" x14ac:dyDescent="0.25">
      <c r="A10" s="3" t="s">
        <v>19</v>
      </c>
      <c r="B10" s="5" t="str">
        <f>IF((B6&lt;=8),"1","2")</f>
        <v>1</v>
      </c>
    </row>
    <row r="11" spans="1:2" ht="16.2" hidden="1" x14ac:dyDescent="0.25">
      <c r="A11" s="3" t="s">
        <v>20</v>
      </c>
      <c r="B11" s="5">
        <f>B2*B4*B10+84</f>
        <v>1245572</v>
      </c>
    </row>
    <row r="12" spans="1:2" ht="16.2" hidden="1" x14ac:dyDescent="0.25">
      <c r="A12" s="3" t="s">
        <v>22</v>
      </c>
      <c r="B12" s="5">
        <f>20832*MAX((B2+1)/2+450,487)/1000000</f>
        <v>22.842288</v>
      </c>
    </row>
    <row r="13" spans="1:2" ht="16.2" hidden="1" x14ac:dyDescent="0.25">
      <c r="A13" s="3" t="s">
        <v>23</v>
      </c>
      <c r="B13" s="5">
        <f>(B4+19)*B12</f>
        <v>22453.969104</v>
      </c>
    </row>
    <row r="14" spans="1:2" ht="16.2" hidden="1" x14ac:dyDescent="0.25">
      <c r="A14" s="3"/>
      <c r="B14" s="5"/>
    </row>
    <row r="15" spans="1:2" ht="16.2" hidden="1" x14ac:dyDescent="0.25">
      <c r="A15" s="5" t="s">
        <v>24</v>
      </c>
      <c r="B15" s="5">
        <f>INT((B3+16)/8)-1+2</f>
        <v>3</v>
      </c>
    </row>
    <row r="16" spans="1:2" ht="16.2" hidden="1" x14ac:dyDescent="0.25">
      <c r="A16" s="5" t="s">
        <v>25</v>
      </c>
      <c r="B16" s="5">
        <f>B15+B3+16-(INT((B3+16)/8)-1)*8</f>
        <v>11</v>
      </c>
    </row>
    <row r="17" spans="1:2" ht="16.2" hidden="1" x14ac:dyDescent="0.25">
      <c r="A17" s="5" t="s">
        <v>26</v>
      </c>
      <c r="B17" s="5">
        <f>B16+B4</f>
        <v>975</v>
      </c>
    </row>
    <row r="18" spans="1:2" ht="16.2" hidden="1" x14ac:dyDescent="0.25">
      <c r="A18" s="5" t="s">
        <v>27</v>
      </c>
      <c r="B18" s="5">
        <f>INT((996-(B3+B4+16))/8)-1+B17</f>
        <v>976</v>
      </c>
    </row>
    <row r="19" spans="1:2" ht="16.2" hidden="1" x14ac:dyDescent="0.25">
      <c r="A19" s="5" t="s">
        <v>28</v>
      </c>
      <c r="B19" s="5">
        <f>B18+2</f>
        <v>978</v>
      </c>
    </row>
    <row r="20" spans="1:2" ht="16.2" hidden="1" x14ac:dyDescent="0.25">
      <c r="A20" s="5" t="e">
        <f>45*#REF!+131</f>
        <v>#REF!</v>
      </c>
      <c r="B20" s="5">
        <f>45*B5+131</f>
        <v>1350131</v>
      </c>
    </row>
    <row r="21" spans="1:2" ht="16.2" hidden="1" x14ac:dyDescent="0.25">
      <c r="A21" s="5" t="s">
        <v>29</v>
      </c>
      <c r="B21" s="5">
        <f>INT(B20/1532)</f>
        <v>881</v>
      </c>
    </row>
    <row r="22" spans="1:2" ht="16.2" hidden="1" x14ac:dyDescent="0.25">
      <c r="A22" s="5" t="s">
        <v>30</v>
      </c>
      <c r="B22" s="5">
        <f>IF(B21=0,0,B21-1)</f>
        <v>880</v>
      </c>
    </row>
    <row r="23" spans="1:2" ht="16.2" hidden="1" x14ac:dyDescent="0.25">
      <c r="A23" s="5" t="s">
        <v>31</v>
      </c>
      <c r="B23" s="5">
        <f>MAX(B22+4,B19)</f>
        <v>978</v>
      </c>
    </row>
    <row r="24" spans="1:2" ht="16.2" hidden="1" x14ac:dyDescent="0.25">
      <c r="A24" s="5" t="s">
        <v>32</v>
      </c>
      <c r="B24" s="5">
        <f>B23+1</f>
        <v>979</v>
      </c>
    </row>
    <row r="25" spans="1:2" ht="16.2" hidden="1" x14ac:dyDescent="0.25">
      <c r="A25" s="5" t="s">
        <v>33</v>
      </c>
      <c r="B25" s="5">
        <v>34.043999999999997</v>
      </c>
    </row>
    <row r="26" spans="1:2" ht="16.2" hidden="1" x14ac:dyDescent="0.25">
      <c r="A26" s="5" t="s">
        <v>34</v>
      </c>
      <c r="B26" s="5">
        <f>B25*B24</f>
        <v>33329.075999999994</v>
      </c>
    </row>
    <row r="27" spans="1:2" ht="16.2" hidden="1" x14ac:dyDescent="0.25">
      <c r="A27" s="3"/>
      <c r="B27" s="5"/>
    </row>
    <row r="28" spans="1:2" ht="16.2" hidden="1" x14ac:dyDescent="0.25">
      <c r="A28" s="3" t="s">
        <v>35</v>
      </c>
      <c r="B28" s="5">
        <f>MAX(B11*1000000/B8,B11*1000000/B7,B26)</f>
        <v>33329.075999999994</v>
      </c>
    </row>
    <row r="29" spans="1:2" ht="16.2" hidden="1" x14ac:dyDescent="0.25">
      <c r="A29" s="3"/>
      <c r="B29" s="5"/>
    </row>
    <row r="30" spans="1:2" ht="16.2" hidden="1" x14ac:dyDescent="0.25">
      <c r="A30" s="3"/>
      <c r="B30" s="3"/>
    </row>
    <row r="31" spans="1:2" ht="16.2" x14ac:dyDescent="0.25">
      <c r="A31" s="87" t="s">
        <v>8</v>
      </c>
      <c r="B31" s="88"/>
    </row>
    <row r="32" spans="1:2" ht="27" x14ac:dyDescent="0.25">
      <c r="A32" s="6" t="s">
        <v>210</v>
      </c>
      <c r="B32" s="7">
        <f>1000000/B28</f>
        <v>30.003832089434468</v>
      </c>
    </row>
  </sheetData>
  <sheetProtection algorithmName="SHA-512" hashValue="hBuFVCG8rmaJntxWc6AmNwlNbdM6aT8wa7zRNN7LDTBagmwBWKuESfL+O4VIDyIh++pvJ1/empFLcT5KJ+NVwg==" saltValue="0WH28OkJ5zGPRodVcyoubA==" spinCount="100000" sheet="1" objects="1" scenarios="1"/>
  <dataConsolidate/>
  <mergeCells count="2">
    <mergeCell ref="A1:B1"/>
    <mergeCell ref="A31:B31"/>
  </mergeCells>
  <phoneticPr fontId="5" type="noConversion"/>
  <dataValidations count="6">
    <dataValidation type="custom" allowBlank="1" showInputMessage="1" showErrorMessage="1" errorTitle="Input parameter error" error="Input range from 64 to 1292,and is an integer multiple of 4" sqref="B2">
      <formula1>AND(MOD(B2,4)=0,B2&gt;=64,B2&lt;=1292)</formula1>
    </dataValidation>
    <dataValidation type="custom" allowBlank="1" showInputMessage="1" showErrorMessage="1" errorTitle="Input parameter error" error="Input range from 64 to 964 minus vertical offset,and is an integer multiple of 2" sqref="B4">
      <formula1>AND(MOD(B4,2)=0,B4&gt;=64,B4&lt;=964-B3)</formula1>
    </dataValidation>
    <dataValidation type="whole" allowBlank="1" showInputMessage="1" showErrorMessage="1" errorTitle="Input parameter error" error="Input range from 20 to 1000000" sqref="B5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7">
      <formula1>OR(AND(B6=8,B7&gt;=35000000,B7&lt;=400000000,MOD(B7,1000000)=0),AND(B6=12,B7&gt;=70000000,B7&lt;=400000000,MOD(B7,1000000)=0))</formula1>
    </dataValidation>
    <dataValidation type="list" allowBlank="1" showDropDown="1" showInputMessage="1" showErrorMessage="1" errorTitle="Input parameter error" error="Input 8 or 12" sqref="B6">
      <formula1>"8,12"</formula1>
    </dataValidation>
    <dataValidation type="custom" allowBlank="1" showInputMessage="1" showErrorMessage="1" errorTitle="Input parameter error" error="Input range from 0 to 964 minus image height,and is an integer multiple of 2" sqref="B3">
      <formula1>AND(MOD(B3,2)=0,B3&gt;=0,B3&lt;=(964-B4))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Normal="100" workbookViewId="0">
      <selection activeCell="C48" sqref="C48"/>
    </sheetView>
  </sheetViews>
  <sheetFormatPr defaultRowHeight="14.4" x14ac:dyDescent="0.25"/>
  <cols>
    <col min="1" max="1" width="39.21875" customWidth="1"/>
    <col min="2" max="2" width="20.77734375" customWidth="1"/>
    <col min="3" max="3" width="110.44140625" customWidth="1"/>
    <col min="7" max="8" width="8.88671875" hidden="1" customWidth="1"/>
    <col min="9" max="9" width="15.21875" hidden="1" customWidth="1"/>
    <col min="10" max="20" width="8.88671875" hidden="1" customWidth="1"/>
  </cols>
  <sheetData>
    <row r="1" spans="1:20" ht="16.2" x14ac:dyDescent="0.25">
      <c r="A1" s="85" t="s">
        <v>7</v>
      </c>
      <c r="B1" s="86"/>
      <c r="G1" s="9" t="s">
        <v>417</v>
      </c>
      <c r="H1" s="9" t="s">
        <v>418</v>
      </c>
      <c r="I1" s="9" t="s">
        <v>419</v>
      </c>
      <c r="J1" s="9" t="s">
        <v>420</v>
      </c>
      <c r="K1" s="9" t="s">
        <v>421</v>
      </c>
      <c r="L1" s="9"/>
      <c r="M1" s="9"/>
      <c r="N1" s="9"/>
      <c r="O1" s="9"/>
      <c r="P1" s="9"/>
      <c r="Q1" s="9"/>
      <c r="R1" s="9"/>
    </row>
    <row r="2" spans="1:20" ht="16.2" x14ac:dyDescent="0.25">
      <c r="A2" s="3" t="s">
        <v>36</v>
      </c>
      <c r="B2" s="4">
        <v>1292</v>
      </c>
      <c r="G2" s="9" t="str">
        <f>B7</f>
        <v>USB3.0</v>
      </c>
      <c r="H2" s="9">
        <f>B6</f>
        <v>8</v>
      </c>
      <c r="I2" s="9">
        <f>IF(G2="USB2.0",50000000,400000000)</f>
        <v>400000000</v>
      </c>
      <c r="J2" s="9">
        <f>IF(H2=8,1,2)*IF(G2="USB2.0",2000000,35000000)</f>
        <v>35000000</v>
      </c>
      <c r="K2" s="9">
        <v>1000000</v>
      </c>
      <c r="L2" s="9"/>
      <c r="M2" s="9"/>
      <c r="N2" s="9"/>
      <c r="O2" s="9"/>
      <c r="P2" s="9"/>
      <c r="Q2" s="9"/>
      <c r="R2" s="9"/>
    </row>
    <row r="3" spans="1:20" ht="16.2" hidden="1" x14ac:dyDescent="0.25">
      <c r="A3" s="3" t="s">
        <v>211</v>
      </c>
      <c r="B3" s="4"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20" ht="16.2" x14ac:dyDescent="0.25">
      <c r="A4" s="3" t="s">
        <v>37</v>
      </c>
      <c r="B4" s="4">
        <v>964</v>
      </c>
      <c r="G4" s="9"/>
      <c r="H4" s="99" t="str">
        <f>IF(G2="USB2.0",H7,H8)</f>
        <v>8bit mode range from 35000000 to 400000000,step 1000000;12bit mode range from 70000000 to 400000000,step 1000000</v>
      </c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spans="1:20" ht="16.2" x14ac:dyDescent="0.25">
      <c r="A5" s="3" t="s">
        <v>209</v>
      </c>
      <c r="B5" s="4">
        <v>20000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20" ht="16.2" x14ac:dyDescent="0.25">
      <c r="A6" s="3" t="s">
        <v>217</v>
      </c>
      <c r="B6" s="4">
        <v>8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20" ht="16.2" customHeight="1" x14ac:dyDescent="0.25">
      <c r="A7" s="43" t="s">
        <v>415</v>
      </c>
      <c r="B7" s="4" t="s">
        <v>416</v>
      </c>
      <c r="G7" s="9" t="s">
        <v>422</v>
      </c>
      <c r="H7" s="98" t="s">
        <v>429</v>
      </c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</row>
    <row r="8" spans="1:20" ht="16.2" customHeight="1" x14ac:dyDescent="0.25">
      <c r="A8" s="3" t="s">
        <v>208</v>
      </c>
      <c r="B8" s="4">
        <v>400000000</v>
      </c>
      <c r="C8" t="str">
        <f>IF(OR(B8&gt;I2,B8&lt;J2),H4,"")</f>
        <v/>
      </c>
      <c r="G8" s="9" t="s">
        <v>423</v>
      </c>
      <c r="H8" s="98" t="s">
        <v>430</v>
      </c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</row>
    <row r="9" spans="1:20" ht="16.2" x14ac:dyDescent="0.25">
      <c r="A9" s="3" t="s">
        <v>215</v>
      </c>
      <c r="B9" s="4">
        <f>IF(B7="USB2.0",45000000,380000000)</f>
        <v>380000000</v>
      </c>
    </row>
    <row r="10" spans="1:20" ht="16.2" x14ac:dyDescent="0.25">
      <c r="A10" s="43" t="s">
        <v>246</v>
      </c>
      <c r="B10" s="4" t="s">
        <v>47</v>
      </c>
    </row>
    <row r="11" spans="1:20" ht="16.2" x14ac:dyDescent="0.25">
      <c r="A11" s="43" t="s">
        <v>245</v>
      </c>
      <c r="B11" s="4">
        <v>43</v>
      </c>
    </row>
    <row r="12" spans="1:20" ht="16.2" hidden="1" x14ac:dyDescent="0.25">
      <c r="A12" s="3" t="s">
        <v>16</v>
      </c>
      <c r="B12" s="5" t="str">
        <f>IF((B6&lt;=8),"1","2")</f>
        <v>1</v>
      </c>
    </row>
    <row r="13" spans="1:20" ht="16.2" hidden="1" x14ac:dyDescent="0.25">
      <c r="A13" s="3" t="s">
        <v>38</v>
      </c>
      <c r="B13" s="5">
        <f>B2*B4*B12+84</f>
        <v>1245572</v>
      </c>
    </row>
    <row r="14" spans="1:20" ht="16.2" hidden="1" x14ac:dyDescent="0.25">
      <c r="A14" s="3"/>
      <c r="B14" s="5"/>
    </row>
    <row r="15" spans="1:20" ht="16.2" hidden="1" x14ac:dyDescent="0.25">
      <c r="A15" s="5" t="s">
        <v>39</v>
      </c>
      <c r="B15" s="5">
        <f>INT((B3+16)/8)-1+2</f>
        <v>3</v>
      </c>
    </row>
    <row r="16" spans="1:20" ht="16.2" hidden="1" x14ac:dyDescent="0.25">
      <c r="A16" s="5" t="s">
        <v>40</v>
      </c>
      <c r="B16" s="5">
        <f>B15+B3+16-(INT((B3+16)/8)-1)*8</f>
        <v>11</v>
      </c>
    </row>
    <row r="17" spans="1:2" ht="16.2" hidden="1" x14ac:dyDescent="0.25">
      <c r="A17" s="5" t="s">
        <v>41</v>
      </c>
      <c r="B17" s="5">
        <f>B16+B4</f>
        <v>975</v>
      </c>
    </row>
    <row r="18" spans="1:2" ht="16.2" hidden="1" x14ac:dyDescent="0.25">
      <c r="A18" s="5" t="s">
        <v>27</v>
      </c>
      <c r="B18" s="5">
        <f>INT((996-(B3+B4+16))/8)-1+B17</f>
        <v>976</v>
      </c>
    </row>
    <row r="19" spans="1:2" ht="16.2" hidden="1" x14ac:dyDescent="0.25">
      <c r="A19" s="5" t="s">
        <v>28</v>
      </c>
      <c r="B19" s="5">
        <f>B18+2</f>
        <v>978</v>
      </c>
    </row>
    <row r="20" spans="1:2" ht="16.2" hidden="1" x14ac:dyDescent="0.25">
      <c r="A20" s="5" t="e">
        <f>45*#REF!+131</f>
        <v>#REF!</v>
      </c>
      <c r="B20" s="5">
        <f>65*B5+131</f>
        <v>1300131</v>
      </c>
    </row>
    <row r="21" spans="1:2" ht="16.2" hidden="1" x14ac:dyDescent="0.25">
      <c r="A21" s="5" t="s">
        <v>42</v>
      </c>
      <c r="B21" s="5">
        <f>INT(B20/1532)</f>
        <v>848</v>
      </c>
    </row>
    <row r="22" spans="1:2" ht="16.2" hidden="1" x14ac:dyDescent="0.25">
      <c r="A22" s="5" t="s">
        <v>30</v>
      </c>
      <c r="B22" s="5">
        <f>IF(B21=0,0,B21-1)</f>
        <v>847</v>
      </c>
    </row>
    <row r="23" spans="1:2" ht="16.2" hidden="1" x14ac:dyDescent="0.25">
      <c r="A23" s="5" t="s">
        <v>31</v>
      </c>
      <c r="B23" s="5">
        <f>MAX(B22+4,B19)</f>
        <v>978</v>
      </c>
    </row>
    <row r="24" spans="1:2" ht="16.2" hidden="1" x14ac:dyDescent="0.25">
      <c r="A24" s="5" t="s">
        <v>32</v>
      </c>
      <c r="B24" s="5">
        <f>B23+1</f>
        <v>979</v>
      </c>
    </row>
    <row r="25" spans="1:2" ht="16.2" hidden="1" x14ac:dyDescent="0.25">
      <c r="A25" s="5" t="s">
        <v>43</v>
      </c>
      <c r="B25" s="5">
        <v>23.57</v>
      </c>
    </row>
    <row r="26" spans="1:2" ht="16.2" hidden="1" x14ac:dyDescent="0.25">
      <c r="A26" s="5" t="s">
        <v>44</v>
      </c>
      <c r="B26" s="5">
        <f>B25*B24</f>
        <v>23075.03</v>
      </c>
    </row>
    <row r="27" spans="1:2" ht="16.2" hidden="1" x14ac:dyDescent="0.25">
      <c r="A27" s="3"/>
      <c r="B27" s="5"/>
    </row>
    <row r="28" spans="1:2" ht="16.2" hidden="1" x14ac:dyDescent="0.25">
      <c r="A28" s="3" t="s">
        <v>45</v>
      </c>
      <c r="B28" s="5">
        <f>MIN(MAX(B13*1000000/B9,B13*1000000/B8,IF(B10="off",0,1000000/B11),B26),65535*B25)</f>
        <v>23075.03</v>
      </c>
    </row>
    <row r="29" spans="1:2" ht="16.2" hidden="1" x14ac:dyDescent="0.25">
      <c r="A29" s="3"/>
      <c r="B29" s="5"/>
    </row>
    <row r="30" spans="1:2" ht="16.2" hidden="1" x14ac:dyDescent="0.25">
      <c r="A30" s="3"/>
      <c r="B30" s="3"/>
    </row>
    <row r="31" spans="1:2" ht="16.2" x14ac:dyDescent="0.25">
      <c r="A31" s="87" t="s">
        <v>8</v>
      </c>
      <c r="B31" s="88"/>
    </row>
    <row r="32" spans="1:2" ht="27" x14ac:dyDescent="0.25">
      <c r="A32" s="6" t="s">
        <v>210</v>
      </c>
      <c r="B32" s="7">
        <f>1000000/B28</f>
        <v>43.336888402745309</v>
      </c>
    </row>
  </sheetData>
  <sheetProtection algorithmName="SHA-512" hashValue="e6Nqqmbcj3H30Md9gXYegKvYZh4mXmzE2VjLzP2lXvuKZ/Ch+ULd+RBsmTGO0N4XxJEmBrH2rc4BQZwRiPDXmA==" saltValue="ECZFn95V6qxMqwOkfkU69w==" spinCount="100000" sheet="1" objects="1" scenarios="1"/>
  <mergeCells count="5">
    <mergeCell ref="A1:B1"/>
    <mergeCell ref="A31:B31"/>
    <mergeCell ref="H8:T8"/>
    <mergeCell ref="H7:T7"/>
    <mergeCell ref="H4:T4"/>
  </mergeCells>
  <phoneticPr fontId="5" type="noConversion"/>
  <dataValidations count="9">
    <dataValidation type="custom" allowBlank="1" showInputMessage="1" showErrorMessage="1" errorTitle="Input parameter error" error="Input range from 0 to 964 minus image height,and is an integer multiple of 2" sqref="B3">
      <formula1>AND(MOD(B3,2)=0,B3&gt;=0,B3&lt;=(964-B4))</formula1>
    </dataValidation>
    <dataValidation type="list" allowBlank="1" showDropDown="1" showInputMessage="1" showErrorMessage="1" errorTitle="Input parameter error" error="Input 8 or 12" sqref="B6">
      <formula1>"8,12"</formula1>
    </dataValidation>
    <dataValidation type="custom" allowBlank="1" showInputMessage="1" showErrorMessage="1" errorTitle="Input parameter error" error="Input parameter error" sqref="B8">
      <formula1>OR(AND(B6=H2,B8&gt;=J2,B8&lt;=I2,MOD(B8,1000000)=0))</formula1>
    </dataValidation>
    <dataValidation type="whole" allowBlank="1" showInputMessage="1" showErrorMessage="1" errorTitle="Input parameter error" error="Input range from 20 to 1000000" sqref="B5">
      <formula1>20</formula1>
      <formula2>1000000</formula2>
    </dataValidation>
    <dataValidation type="custom" allowBlank="1" showInputMessage="1" showErrorMessage="1" errorTitle="Input parameter error" error="Input range from 64 to 964 minus vertical offset,and is an integer multiple of 2" sqref="B4">
      <formula1>AND(MOD(B4,2)=0,B4&gt;=64,B4&lt;=964-B3)</formula1>
    </dataValidation>
    <dataValidation type="custom" allowBlank="1" showInputMessage="1" showErrorMessage="1" errorTitle="Input parameter error" error="Input range from 64 to 1292,and is an integer multiple of 4" sqref="B2">
      <formula1>AND(MOD(B2,4)=0,B2&gt;=64,B2&lt;=1292)</formula1>
    </dataValidation>
    <dataValidation type="list" allowBlank="1" showInputMessage="1" showErrorMessage="1" errorTitle="参数输入错误" error="USB2.0或者USB3.0" sqref="B7">
      <formula1>"USB2.0,USB3.0"</formula1>
    </dataValidation>
    <dataValidation type="list" allowBlank="1" showInputMessage="1" showErrorMessage="1" errorTitle="参数输入错误" error="请输入on或off" sqref="B10">
      <formula1>"off,on"</formula1>
    </dataValidation>
    <dataValidation type="custom" allowBlank="1" showInputMessage="1" showErrorMessage="1" errorTitle="Input parameter error" error="range from 0.7 to 10000，step 0.1" sqref="B11">
      <formula1>AND(MOD(10*B11,1)=0,B11&gt;=0.7,B11&lt;=10000)</formula1>
    </dataValidation>
  </dataValidations>
  <pageMargins left="0.7" right="0.7" top="0.75" bottom="0.75" header="0.3" footer="0.3"/>
  <pageSetup paperSize="9" orientation="portrait" r:id="rId1"/>
  <ignoredErrors>
    <ignoredError sqref="B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Revision History</vt:lpstr>
      <vt:lpstr>MER-031-860U3X(NIR)</vt:lpstr>
      <vt:lpstr>MER-041-436U3X</vt:lpstr>
      <vt:lpstr>MER-050-560U3X(NIR)</vt:lpstr>
      <vt:lpstr>MER-051-120U3x</vt:lpstr>
      <vt:lpstr>MER-131-210U3X(NIR)</vt:lpstr>
      <vt:lpstr>MER-131-210U3M(Multi-ROI)</vt:lpstr>
      <vt:lpstr>MER-132-30U3X</vt:lpstr>
      <vt:lpstr>MER-132-43U3X</vt:lpstr>
      <vt:lpstr>MER-133-54U3X</vt:lpstr>
      <vt:lpstr>MER-134-93U3X</vt:lpstr>
      <vt:lpstr>MER-160-227U3X</vt:lpstr>
      <vt:lpstr>MER-230-168U3X</vt:lpstr>
      <vt:lpstr>MER-231-41U3X</vt:lpstr>
      <vt:lpstr>MER-301-125U3X</vt:lpstr>
      <vt:lpstr>MER-302-56U3X</vt:lpstr>
      <vt:lpstr>MER-500-14U3X</vt:lpstr>
      <vt:lpstr>MER-502-79U3X(POL)</vt:lpstr>
      <vt:lpstr>MER-503-36U3X</vt:lpstr>
      <vt:lpstr>MER-630-60U3X</vt:lpstr>
      <vt:lpstr>MER-1070-14U3X</vt:lpstr>
      <vt:lpstr>MER-1220-32U3X</vt:lpstr>
      <vt:lpstr>MER-1520-13U3C</vt:lpstr>
      <vt:lpstr>MER-1810-21U3C</vt:lpstr>
      <vt:lpstr>MER-2000-19U3X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2019-07-27T02:40:21Z</dcterms:modified>
</cp:coreProperties>
</file>