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svn\rd_mer_gige\doc\user_manual\MER2\帧率计算工具\"/>
    </mc:Choice>
  </mc:AlternateContent>
  <bookViews>
    <workbookView xWindow="0" yWindow="0" windowWidth="20925" windowHeight="10440" tabRatio="868"/>
  </bookViews>
  <sheets>
    <sheet name="Revision History" sheetId="15" r:id="rId1"/>
    <sheet name="MER2-041-302GX" sheetId="53" r:id="rId2"/>
    <sheet name="MER2-160-75GX" sheetId="54" r:id="rId3"/>
    <sheet name="MER2-202-60GX" sheetId="47" r:id="rId4"/>
    <sheet name="MER2-231-41GX" sheetId="42" r:id="rId5"/>
    <sheet name="MER2-302-37GX" sheetId="46" r:id="rId6"/>
    <sheet name="MER2-503-23GX" sheetId="51" r:id="rId7"/>
    <sheet name="MER2-630-18GX" sheetId="49" r:id="rId8"/>
    <sheet name="MER2-1220-9GX" sheetId="48" r:id="rId9"/>
    <sheet name="ME2P-1230-9GX-P" sheetId="52" r:id="rId10"/>
    <sheet name="MER2-2000-6GX" sheetId="43" r:id="rId11"/>
  </sheets>
  <definedNames>
    <definedName name="Z_9F73C155_CDDB_4969_BDA6_6B1932D3C988_.wvu.Rows" localSheetId="4" hidden="1">'MER2-231-41GX'!$24:$40</definedName>
  </definedNames>
  <calcPr calcId="152511"/>
  <customWorkbookViews>
    <customWorkbookView name="administrator - 个人视图" guid="{9F73C155-CDDB-4969-BDA6-6B1932D3C988}" personalView="1" maximized="1" windowWidth="1440" windowHeight="631" activeSheetId="0"/>
  </customWorkbookViews>
</workbook>
</file>

<file path=xl/calcChain.xml><?xml version="1.0" encoding="utf-8"?>
<calcChain xmlns="http://schemas.openxmlformats.org/spreadsheetml/2006/main">
  <c r="C57" i="43" l="1"/>
  <c r="C55" i="43" s="1"/>
  <c r="C3" i="43" s="1"/>
  <c r="C56" i="43"/>
  <c r="C54" i="43" s="1"/>
  <c r="C46" i="43"/>
  <c r="C43" i="43"/>
  <c r="C39" i="43"/>
  <c r="C38" i="43"/>
  <c r="C33" i="43"/>
  <c r="C32" i="43"/>
  <c r="C34" i="43" s="1"/>
  <c r="C35" i="43" s="1"/>
  <c r="C37" i="43" s="1"/>
  <c r="C31" i="43"/>
  <c r="C36" i="43" s="1"/>
  <c r="D36" i="43" s="1"/>
  <c r="C27" i="43"/>
  <c r="C28" i="43" s="1"/>
  <c r="C26" i="43"/>
  <c r="C25" i="43"/>
  <c r="C24" i="43"/>
  <c r="D4" i="43"/>
  <c r="O69" i="52"/>
  <c r="O59" i="52"/>
  <c r="O58" i="52"/>
  <c r="O56" i="52"/>
  <c r="O52" i="52"/>
  <c r="O65" i="52" s="1"/>
  <c r="O51" i="52"/>
  <c r="O62" i="52" s="1"/>
  <c r="I40" i="52"/>
  <c r="O39" i="52"/>
  <c r="O38" i="52"/>
  <c r="O37" i="52"/>
  <c r="I35" i="52"/>
  <c r="O33" i="52"/>
  <c r="U32" i="52"/>
  <c r="W29" i="52"/>
  <c r="U28" i="52"/>
  <c r="O28" i="52"/>
  <c r="I22" i="52" s="1"/>
  <c r="U26" i="52"/>
  <c r="W25" i="52"/>
  <c r="U25" i="52"/>
  <c r="C25" i="52"/>
  <c r="W24" i="52"/>
  <c r="U24" i="52"/>
  <c r="O24" i="52"/>
  <c r="C51" i="52" s="1"/>
  <c r="U23" i="52"/>
  <c r="O23" i="52"/>
  <c r="I39" i="52" s="1"/>
  <c r="U22" i="52"/>
  <c r="U21" i="52"/>
  <c r="C60" i="48"/>
  <c r="C62" i="48" s="1"/>
  <c r="C58" i="48" s="1"/>
  <c r="C57" i="48"/>
  <c r="C55" i="48" s="1"/>
  <c r="C3" i="48" s="1"/>
  <c r="C56" i="48"/>
  <c r="C54" i="48"/>
  <c r="C46" i="48"/>
  <c r="C43" i="48"/>
  <c r="C44" i="48" s="1"/>
  <c r="C15" i="48" s="1"/>
  <c r="C39" i="48"/>
  <c r="C38" i="48"/>
  <c r="C34" i="48"/>
  <c r="C48" i="48" s="1"/>
  <c r="C33" i="48"/>
  <c r="C36" i="48" s="1"/>
  <c r="C32" i="48"/>
  <c r="C35" i="48" s="1"/>
  <c r="C37" i="48" s="1"/>
  <c r="C31" i="48"/>
  <c r="C27" i="48"/>
  <c r="C26" i="48"/>
  <c r="C28" i="48" s="1"/>
  <c r="C25" i="48"/>
  <c r="C24" i="48"/>
  <c r="D4" i="48"/>
  <c r="C78" i="49"/>
  <c r="C74" i="49" s="1"/>
  <c r="C76" i="49"/>
  <c r="C72" i="49"/>
  <c r="C71" i="49"/>
  <c r="C69" i="49" s="1"/>
  <c r="C2" i="49" s="1"/>
  <c r="C70" i="49"/>
  <c r="C3" i="49" s="1"/>
  <c r="D5" i="49" s="1"/>
  <c r="C61" i="49"/>
  <c r="C60" i="49"/>
  <c r="C56" i="49"/>
  <c r="C53" i="49"/>
  <c r="C54" i="49" s="1"/>
  <c r="C14" i="49" s="1"/>
  <c r="C49" i="49"/>
  <c r="C47" i="49"/>
  <c r="C43" i="49"/>
  <c r="C41" i="49"/>
  <c r="C42" i="49" s="1"/>
  <c r="C45" i="49" s="1"/>
  <c r="C40" i="49"/>
  <c r="C55" i="49" s="1"/>
  <c r="C57" i="49" s="1"/>
  <c r="C17" i="49" s="1"/>
  <c r="C39" i="49"/>
  <c r="C35" i="49"/>
  <c r="C34" i="49"/>
  <c r="C33" i="49"/>
  <c r="C36" i="49" s="1"/>
  <c r="C24" i="49"/>
  <c r="C62" i="49" s="1"/>
  <c r="A68" i="51"/>
  <c r="C48" i="51"/>
  <c r="C46" i="51" s="1"/>
  <c r="C3" i="51" s="1"/>
  <c r="D5" i="51" s="1"/>
  <c r="C47" i="51"/>
  <c r="C45" i="51" s="1"/>
  <c r="C2" i="51" s="1"/>
  <c r="C43" i="51"/>
  <c r="C42" i="51"/>
  <c r="C26" i="51" s="1"/>
  <c r="C39" i="51"/>
  <c r="C37" i="51"/>
  <c r="C35" i="51"/>
  <c r="C36" i="51" s="1"/>
  <c r="C15" i="51" s="1"/>
  <c r="C30" i="51"/>
  <c r="C38" i="51" s="1"/>
  <c r="C40" i="51" s="1"/>
  <c r="C20" i="51" s="1"/>
  <c r="C29" i="51"/>
  <c r="C25" i="51"/>
  <c r="C27" i="51" s="1"/>
  <c r="C24" i="51"/>
  <c r="C23" i="51"/>
  <c r="C32" i="51" s="1"/>
  <c r="C61" i="46"/>
  <c r="C57" i="46" s="1"/>
  <c r="C24" i="46" s="1"/>
  <c r="C59" i="46"/>
  <c r="C55" i="46"/>
  <c r="C54" i="46"/>
  <c r="C52" i="46" s="1"/>
  <c r="C2" i="46" s="1"/>
  <c r="C53" i="46"/>
  <c r="C44" i="46"/>
  <c r="C41" i="46"/>
  <c r="C38" i="46"/>
  <c r="C37" i="46"/>
  <c r="C32" i="46"/>
  <c r="C31" i="46"/>
  <c r="C30" i="46"/>
  <c r="C35" i="46" s="1"/>
  <c r="C26" i="46"/>
  <c r="C27" i="46" s="1"/>
  <c r="C25" i="46"/>
  <c r="C23" i="46"/>
  <c r="C3" i="46"/>
  <c r="D5" i="46" s="1"/>
  <c r="C49" i="42"/>
  <c r="C51" i="42" s="1"/>
  <c r="C47" i="42" s="1"/>
  <c r="C46" i="42"/>
  <c r="C50" i="42" s="1"/>
  <c r="C52" i="42" s="1"/>
  <c r="C48" i="42" s="1"/>
  <c r="C24" i="42" s="1"/>
  <c r="C45" i="42"/>
  <c r="C2" i="42" s="1"/>
  <c r="C38" i="42"/>
  <c r="C35" i="42"/>
  <c r="C29" i="42"/>
  <c r="C30" i="42" s="1"/>
  <c r="C26" i="42"/>
  <c r="C25" i="42"/>
  <c r="C27" i="42" s="1"/>
  <c r="C23" i="42"/>
  <c r="C32" i="42" s="1"/>
  <c r="C3" i="42"/>
  <c r="D5" i="42" s="1"/>
  <c r="C53" i="47"/>
  <c r="C49" i="47" s="1"/>
  <c r="C24" i="47" s="1"/>
  <c r="C34" i="47" s="1"/>
  <c r="C51" i="47"/>
  <c r="C47" i="47"/>
  <c r="C46" i="47"/>
  <c r="C50" i="47" s="1"/>
  <c r="C52" i="47" s="1"/>
  <c r="C48" i="47" s="1"/>
  <c r="C39" i="47"/>
  <c r="C36" i="47"/>
  <c r="C37" i="47" s="1"/>
  <c r="C15" i="47" s="1"/>
  <c r="C30" i="47"/>
  <c r="C31" i="47" s="1"/>
  <c r="C29" i="47"/>
  <c r="C38" i="47" s="1"/>
  <c r="C40" i="47" s="1"/>
  <c r="C20" i="47" s="1"/>
  <c r="C26" i="47"/>
  <c r="C27" i="47" s="1"/>
  <c r="C25" i="47"/>
  <c r="C23" i="47"/>
  <c r="C32" i="47" s="1"/>
  <c r="C3" i="47"/>
  <c r="A68" i="54"/>
  <c r="C52" i="54"/>
  <c r="C54" i="54" s="1"/>
  <c r="C50" i="54" s="1"/>
  <c r="C48" i="54"/>
  <c r="C46" i="54" s="1"/>
  <c r="C3" i="54" s="1"/>
  <c r="D5" i="54" s="1"/>
  <c r="C47" i="54"/>
  <c r="C51" i="54" s="1"/>
  <c r="C53" i="54" s="1"/>
  <c r="C49" i="54" s="1"/>
  <c r="C43" i="54"/>
  <c r="C42" i="54" s="1"/>
  <c r="C39" i="54"/>
  <c r="C37" i="54"/>
  <c r="C35" i="54"/>
  <c r="C29" i="54"/>
  <c r="C24" i="54"/>
  <c r="C23" i="54"/>
  <c r="A68" i="53"/>
  <c r="C52" i="53"/>
  <c r="C54" i="53" s="1"/>
  <c r="C50" i="53" s="1"/>
  <c r="C48" i="53"/>
  <c r="C46" i="53" s="1"/>
  <c r="C3" i="53" s="1"/>
  <c r="D5" i="53" s="1"/>
  <c r="C47" i="53"/>
  <c r="C51" i="53" s="1"/>
  <c r="C53" i="53" s="1"/>
  <c r="C49" i="53" s="1"/>
  <c r="C43" i="53"/>
  <c r="C42" i="53" s="1"/>
  <c r="C39" i="53"/>
  <c r="C37" i="53"/>
  <c r="C35" i="53"/>
  <c r="C29" i="53"/>
  <c r="C24" i="53"/>
  <c r="C23" i="53"/>
  <c r="C45" i="54" l="1"/>
  <c r="C2" i="54" s="1"/>
  <c r="C32" i="54"/>
  <c r="C45" i="53"/>
  <c r="C2" i="53" s="1"/>
  <c r="C36" i="42"/>
  <c r="C15" i="42" s="1"/>
  <c r="C41" i="48"/>
  <c r="C40" i="48"/>
  <c r="C26" i="54"/>
  <c r="C25" i="54"/>
  <c r="C27" i="54" s="1"/>
  <c r="D4" i="54"/>
  <c r="J68" i="54"/>
  <c r="D57" i="54" s="1"/>
  <c r="J75" i="46"/>
  <c r="D65" i="46" s="1"/>
  <c r="D4" i="46"/>
  <c r="D4" i="49"/>
  <c r="J95" i="49"/>
  <c r="D82" i="49" s="1"/>
  <c r="I33" i="52"/>
  <c r="I30" i="52"/>
  <c r="I36" i="52"/>
  <c r="O40" i="52"/>
  <c r="D4" i="51"/>
  <c r="J68" i="51"/>
  <c r="D57" i="51" s="1"/>
  <c r="C41" i="43"/>
  <c r="C49" i="43" s="1"/>
  <c r="C44" i="43"/>
  <c r="C15" i="43" s="1"/>
  <c r="D5" i="48"/>
  <c r="J80" i="48"/>
  <c r="D67" i="48" s="1"/>
  <c r="C31" i="42"/>
  <c r="C33" i="42" s="1"/>
  <c r="C40" i="42"/>
  <c r="C26" i="53"/>
  <c r="C25" i="53"/>
  <c r="J8" i="42"/>
  <c r="D56" i="42" s="1"/>
  <c r="D4" i="42"/>
  <c r="O71" i="52"/>
  <c r="C35" i="47"/>
  <c r="C57" i="47" s="1"/>
  <c r="C42" i="47"/>
  <c r="C43" i="47" s="1"/>
  <c r="C44" i="47" s="1"/>
  <c r="D4" i="53"/>
  <c r="J68" i="53"/>
  <c r="D57" i="53" s="1"/>
  <c r="C32" i="53"/>
  <c r="J75" i="43"/>
  <c r="D62" i="43" s="1"/>
  <c r="D5" i="43"/>
  <c r="W28" i="52"/>
  <c r="C34" i="52"/>
  <c r="O53" i="52"/>
  <c r="O64" i="52"/>
  <c r="C60" i="43"/>
  <c r="C62" i="43" s="1"/>
  <c r="C58" i="43" s="1"/>
  <c r="C41" i="51"/>
  <c r="O29" i="52"/>
  <c r="O31" i="52"/>
  <c r="C61" i="43"/>
  <c r="C63" i="43" s="1"/>
  <c r="C59" i="43" s="1"/>
  <c r="C51" i="51"/>
  <c r="C53" i="51" s="1"/>
  <c r="C49" i="51" s="1"/>
  <c r="C44" i="49"/>
  <c r="C46" i="49" s="1"/>
  <c r="C48" i="49" s="1"/>
  <c r="C50" i="49" s="1"/>
  <c r="C65" i="49" s="1"/>
  <c r="C61" i="48"/>
  <c r="C63" i="48" s="1"/>
  <c r="C59" i="48" s="1"/>
  <c r="U29" i="52"/>
  <c r="U31" i="52"/>
  <c r="C45" i="43"/>
  <c r="C47" i="43" s="1"/>
  <c r="C20" i="43" s="1"/>
  <c r="C41" i="47"/>
  <c r="C33" i="46"/>
  <c r="C46" i="46" s="1"/>
  <c r="C58" i="46"/>
  <c r="C60" i="46" s="1"/>
  <c r="C56" i="46" s="1"/>
  <c r="C52" i="51"/>
  <c r="C54" i="51" s="1"/>
  <c r="C50" i="51" s="1"/>
  <c r="C75" i="49"/>
  <c r="C77" i="49" s="1"/>
  <c r="C73" i="49" s="1"/>
  <c r="C45" i="48"/>
  <c r="C47" i="48" s="1"/>
  <c r="C20" i="48" s="1"/>
  <c r="I37" i="52"/>
  <c r="C31" i="51"/>
  <c r="C33" i="51" s="1"/>
  <c r="C34" i="51" s="1"/>
  <c r="C57" i="51" s="1"/>
  <c r="C30" i="53"/>
  <c r="C41" i="53" s="1"/>
  <c r="C30" i="54"/>
  <c r="C41" i="54" s="1"/>
  <c r="C37" i="42"/>
  <c r="C39" i="42" s="1"/>
  <c r="C20" i="42" s="1"/>
  <c r="C34" i="46"/>
  <c r="C36" i="46" s="1"/>
  <c r="C39" i="46" s="1"/>
  <c r="C47" i="46" s="1"/>
  <c r="O27" i="52"/>
  <c r="O60" i="52"/>
  <c r="O61" i="52" s="1"/>
  <c r="O63" i="52" s="1"/>
  <c r="O30" i="52"/>
  <c r="I27" i="52" s="1"/>
  <c r="C33" i="52"/>
  <c r="C40" i="43"/>
  <c r="C48" i="43"/>
  <c r="U30" i="52"/>
  <c r="C38" i="54" l="1"/>
  <c r="C40" i="54" s="1"/>
  <c r="C20" i="54" s="1"/>
  <c r="C38" i="53"/>
  <c r="C40" i="53" s="1"/>
  <c r="C20" i="53" s="1"/>
  <c r="C34" i="42"/>
  <c r="C56" i="42" s="1"/>
  <c r="C41" i="42"/>
  <c r="C42" i="42" s="1"/>
  <c r="C43" i="42" s="1"/>
  <c r="C48" i="46"/>
  <c r="C49" i="46" s="1"/>
  <c r="C50" i="46" s="1"/>
  <c r="C40" i="46"/>
  <c r="C65" i="46" s="1"/>
  <c r="C66" i="49"/>
  <c r="C63" i="49"/>
  <c r="C43" i="46"/>
  <c r="C45" i="46" s="1"/>
  <c r="C20" i="46" s="1"/>
  <c r="O67" i="52"/>
  <c r="I28" i="52"/>
  <c r="W30" i="52"/>
  <c r="C42" i="46"/>
  <c r="C15" i="46" s="1"/>
  <c r="C31" i="53"/>
  <c r="C36" i="53"/>
  <c r="C15" i="53" s="1"/>
  <c r="C36" i="54"/>
  <c r="C15" i="54" s="1"/>
  <c r="C31" i="54"/>
  <c r="O66" i="52"/>
  <c r="O68" i="52" s="1"/>
  <c r="O70" i="52" s="1"/>
  <c r="O72" i="52" s="1"/>
  <c r="I31" i="52" s="1"/>
  <c r="I41" i="52"/>
  <c r="B13" i="52" s="1"/>
  <c r="B47" i="52" s="1"/>
  <c r="B8" i="52"/>
  <c r="B45" i="52" s="1"/>
  <c r="C49" i="48"/>
  <c r="D41" i="48"/>
  <c r="C50" i="43"/>
  <c r="C51" i="43" s="1"/>
  <c r="C52" i="43" s="1"/>
  <c r="C42" i="43"/>
  <c r="C67" i="43" s="1"/>
  <c r="W23" i="52"/>
  <c r="W22" i="52"/>
  <c r="C27" i="53"/>
  <c r="C33" i="54" l="1"/>
  <c r="C34" i="54" s="1"/>
  <c r="C57" i="54" s="1"/>
  <c r="C33" i="53"/>
  <c r="C34" i="53" s="1"/>
  <c r="C57" i="53" s="1"/>
  <c r="W31" i="52"/>
  <c r="C50" i="48"/>
  <c r="C51" i="48" s="1"/>
  <c r="C52" i="48" s="1"/>
  <c r="C42" i="48"/>
  <c r="C67" i="48" s="1"/>
  <c r="C67" i="49"/>
  <c r="C82" i="49"/>
  <c r="I23" i="52"/>
  <c r="B17" i="52" l="1"/>
  <c r="B14" i="52"/>
</calcChain>
</file>

<file path=xl/sharedStrings.xml><?xml version="1.0" encoding="utf-8"?>
<sst xmlns="http://schemas.openxmlformats.org/spreadsheetml/2006/main" count="1201" uniqueCount="457">
  <si>
    <t>Version</t>
  </si>
  <si>
    <t>Revision</t>
  </si>
  <si>
    <t>Date</t>
  </si>
  <si>
    <t>1.0.0</t>
  </si>
  <si>
    <t>1、add WidthMax、HeightMax、BinningHorizontal、BinningVertical、DecimationHorizontal、DecimationVertical、ExposureDelay(us) in MER2-231-41GX</t>
  </si>
  <si>
    <t>2018.08.13</t>
  </si>
  <si>
    <t>1.0.1</t>
  </si>
  <si>
    <t>1、modify MER2-231-41GX the GevFramerateABS range to 0.1 - 10000</t>
  </si>
  <si>
    <t>2018.09.21</t>
  </si>
  <si>
    <t>1.0.2</t>
  </si>
  <si>
    <t xml:space="preserve">1、add MER2-2000-5GX </t>
  </si>
  <si>
    <t>2019.10.16</t>
  </si>
  <si>
    <t>1.0.3</t>
  </si>
  <si>
    <t xml:space="preserve">1、add MER2-302-40GX </t>
  </si>
  <si>
    <t>2020.02.11</t>
  </si>
  <si>
    <t>1.0.4</t>
  </si>
  <si>
    <t>1、modify MER2-302-40GX Cameras Names as  MER2-302-37GX</t>
  </si>
  <si>
    <t>2020.02.13</t>
  </si>
  <si>
    <t>1.0.5</t>
  </si>
  <si>
    <t>1、modify MER2-302-40GX binning range and decimation range</t>
  </si>
  <si>
    <t>2020.03.18</t>
  </si>
  <si>
    <t>1.0.6</t>
  </si>
  <si>
    <t xml:space="preserve">1、add MER2-202-60GX </t>
  </si>
  <si>
    <t>2020.03.20</t>
  </si>
  <si>
    <t>1.0.7</t>
  </si>
  <si>
    <t>1、modify MER2-202-60GX Hmax Value</t>
  </si>
  <si>
    <t>2020.03.23</t>
  </si>
  <si>
    <t>1.0.8</t>
  </si>
  <si>
    <t>1、Update MER2-202-60GX trigger parameter text format</t>
  </si>
  <si>
    <t>2020.03.25</t>
  </si>
  <si>
    <t>1.0.9</t>
  </si>
  <si>
    <t xml:space="preserve">1、add MER2-1220-9GX </t>
  </si>
  <si>
    <t>2020.03.27</t>
  </si>
  <si>
    <t>1.0.10</t>
  </si>
  <si>
    <t xml:space="preserve">1、add MER2-630-18GX </t>
  </si>
  <si>
    <t>2020.04.03</t>
  </si>
  <si>
    <t>1.0.11</t>
  </si>
  <si>
    <t>1、modify MER2-2000-5GX Cameras Names as  MER2-2000-6GX</t>
  </si>
  <si>
    <t>2020.04.17</t>
  </si>
  <si>
    <t>1.0.12</t>
  </si>
  <si>
    <t>1. Update the default GevSCPSPacketSize and BandwidthReserve of MER2-2000-6GX/MER2-202-60GX/MER2-302-37GX</t>
  </si>
  <si>
    <t>2020.04.28</t>
  </si>
  <si>
    <t>1.0.13</t>
  </si>
  <si>
    <t xml:space="preserve">1、add MER2-503-23GX </t>
  </si>
  <si>
    <t>2020.05.20</t>
  </si>
  <si>
    <t>1.0.14</t>
  </si>
  <si>
    <t>1、Update MER2-503-23GX Binning and Skipping</t>
  </si>
  <si>
    <t>2020.05.25</t>
  </si>
  <si>
    <t>1.0.15</t>
  </si>
  <si>
    <t>1、add ME2P-1230-9GX-P</t>
  </si>
  <si>
    <t>2020.06.15</t>
  </si>
  <si>
    <t>1.0.16</t>
  </si>
  <si>
    <t>1、add MER2-041-302GX、MER2-160-75GX</t>
  </si>
  <si>
    <t>2020.06.24</t>
  </si>
  <si>
    <t>1.0.17</t>
  </si>
  <si>
    <t>1、Modify the MER2-041-302GX and MER2-160-75GX pixel format to 12 bits</t>
  </si>
  <si>
    <t>2020.07.16</t>
  </si>
  <si>
    <t>1.0.18</t>
  </si>
  <si>
    <t>1、Update the MER2-041-302GX and MER2-160-75GX trigger mode</t>
  </si>
  <si>
    <t>2020.08.18</t>
  </si>
  <si>
    <t>1.0.19</t>
  </si>
  <si>
    <t>1、Update the MER2-041-302GX and MER2-160-75GX trigger mode Max Frame</t>
  </si>
  <si>
    <t>2020.08.24</t>
  </si>
  <si>
    <t>1.0.20</t>
  </si>
  <si>
    <t>2020.09.08</t>
  </si>
  <si>
    <t>参数输入：</t>
  </si>
  <si>
    <t>图像宽度最大值</t>
  </si>
  <si>
    <t>WidthMax</t>
  </si>
  <si>
    <t>图像高度最大值</t>
  </si>
  <si>
    <t>HeightMax</t>
  </si>
  <si>
    <t>图像宽度</t>
  </si>
  <si>
    <t>Width</t>
  </si>
  <si>
    <t>图像高度</t>
  </si>
  <si>
    <t>Height</t>
  </si>
  <si>
    <t>水平像素Binning</t>
  </si>
  <si>
    <t>BinningHorizontal</t>
  </si>
  <si>
    <t>垂直像素Binning</t>
  </si>
  <si>
    <t>BinningVertical</t>
  </si>
  <si>
    <t>水平像素抽样</t>
  </si>
  <si>
    <t>DecimationHorizontal</t>
  </si>
  <si>
    <t>垂直像素抽样</t>
  </si>
  <si>
    <t>DecimationVertical</t>
  </si>
  <si>
    <t>曝光时间</t>
  </si>
  <si>
    <t>ExposureTime(us)</t>
  </si>
  <si>
    <t>曝光延迟</t>
  </si>
  <si>
    <t>ExposureDelay(us)</t>
  </si>
  <si>
    <t>像素格式</t>
  </si>
  <si>
    <t>PixelFormat(8/12)</t>
  </si>
  <si>
    <t>包长</t>
  </si>
  <si>
    <t>GevSCPSPacketSize</t>
  </si>
  <si>
    <t>包间隔</t>
  </si>
  <si>
    <t>GevSCPD</t>
  </si>
  <si>
    <t>包间隔最大值</t>
  </si>
  <si>
    <t>GevSCPDMaxValue</t>
  </si>
  <si>
    <t>采集帧率值</t>
  </si>
  <si>
    <t>GevFramerateABS</t>
  </si>
  <si>
    <t>采集帧率设置使能</t>
  </si>
  <si>
    <t>GevFramerateAbsEn</t>
  </si>
  <si>
    <t>网络连接速度</t>
  </si>
  <si>
    <t>LinkSpeed(Mbps)</t>
  </si>
  <si>
    <t>预留带宽</t>
  </si>
  <si>
    <t>BandwidthReserve</t>
  </si>
  <si>
    <t>预留带宽最大值</t>
  </si>
  <si>
    <t>BandwidthReserveMaxValue</t>
  </si>
  <si>
    <t>TriggerMode</t>
  </si>
  <si>
    <t>采集帧率设置值</t>
  </si>
  <si>
    <t>ROI帧周期</t>
  </si>
  <si>
    <t>曝光寄存器</t>
  </si>
  <si>
    <t>曝光延迟寄存器</t>
  </si>
  <si>
    <t>曝光帧周期</t>
  </si>
  <si>
    <t>帧信息</t>
  </si>
  <si>
    <t>包个数</t>
  </si>
  <si>
    <t>残包大小</t>
  </si>
  <si>
    <t>图像传输周期</t>
  </si>
  <si>
    <t>采集帧率帧周期</t>
  </si>
  <si>
    <t>帧周期</t>
  </si>
  <si>
    <t>帧率</t>
  </si>
  <si>
    <t>传输数据最大值</t>
  </si>
  <si>
    <t>包间隔范围</t>
  </si>
  <si>
    <t>不同网速下包间隔最大值</t>
  </si>
  <si>
    <t>带宽数据最大值</t>
  </si>
  <si>
    <t>预留带宽范围</t>
  </si>
  <si>
    <t>包间隔未限制</t>
  </si>
  <si>
    <t>行周期</t>
  </si>
  <si>
    <t>hmax</t>
  </si>
  <si>
    <t>Binning/Skipping后最大宽度</t>
  </si>
  <si>
    <t>Binning/Skipping后最大高度</t>
  </si>
  <si>
    <t>实际生效的水平系数</t>
  </si>
  <si>
    <t>实际生效的垂直系数</t>
  </si>
  <si>
    <t>Binning/Skipping前宽度(寄存器)</t>
  </si>
  <si>
    <t>Binning/Skipping前高度（寄存器）</t>
  </si>
  <si>
    <t>根据系数还原宽度</t>
  </si>
  <si>
    <t>根据系数还原高度</t>
  </si>
  <si>
    <t>Binning/Skipping后宽度</t>
  </si>
  <si>
    <t>Binning/Skipping后高度</t>
  </si>
  <si>
    <t>计算结果：</t>
  </si>
  <si>
    <t>FPS</t>
  </si>
  <si>
    <t xml:space="preserve">
error message;</t>
  </si>
  <si>
    <t>The current parameter is not within the range:[64,'WidthMax'], please enter again</t>
  </si>
  <si>
    <t>The current parameter is not within the range:[64,'HeightMax'], please enter again</t>
  </si>
  <si>
    <t>The frame rate calculated by the parameters in the current frame rate calculation table may be abnormal, please modify the parameters according to the prompt</t>
  </si>
  <si>
    <t>Frame rate calculation is correct:</t>
  </si>
  <si>
    <t>The current parameter is not within the range:[4,'HeightMax'], please enter again</t>
  </si>
  <si>
    <t>PixelFormat(8/10)</t>
  </si>
  <si>
    <t>触发模式</t>
  </si>
  <si>
    <t>TiggerMode</t>
  </si>
  <si>
    <t>触发帧周期</t>
  </si>
  <si>
    <t>帧周期（时间）</t>
  </si>
  <si>
    <t>图像传输带宽</t>
  </si>
  <si>
    <t>预估带宽</t>
  </si>
  <si>
    <t>Error information：</t>
  </si>
  <si>
    <t>Current parameter is not in the range [64, 'WidthMax'], please input again.</t>
  </si>
  <si>
    <t>Current parameter is not in the range [64, 'HeightMax'], please input again.</t>
  </si>
  <si>
    <t xml:space="preserve">The frame rate calculated by current parameter may be incorrect, please modify paramerters according to prompt. </t>
  </si>
  <si>
    <t>Binning水平系数</t>
  </si>
  <si>
    <t>Binning垂直系数</t>
  </si>
  <si>
    <t>FrameRateCorrect：</t>
  </si>
  <si>
    <t>Skipping水平系数</t>
  </si>
  <si>
    <t>Skipping垂直系数</t>
  </si>
  <si>
    <t>前端带宽最大值</t>
  </si>
  <si>
    <t>图像+Chunk大小</t>
  </si>
  <si>
    <t>leader长度</t>
  </si>
  <si>
    <t>前端最大带宽限制的帧周期</t>
  </si>
  <si>
    <t>带宽限制帧周期</t>
  </si>
  <si>
    <t>以太网有效传输带宽</t>
  </si>
  <si>
    <t>帧周期（时间us）</t>
  </si>
  <si>
    <t>FrameRate</t>
  </si>
  <si>
    <t>F</t>
  </si>
  <si>
    <t>Sensor时钟</t>
  </si>
  <si>
    <t>Finck</t>
  </si>
  <si>
    <t>行周期，单位时钟个数</t>
  </si>
  <si>
    <t>Hmax</t>
  </si>
  <si>
    <t>行周期，单位为ns</t>
  </si>
  <si>
    <t>tRow</t>
  </si>
  <si>
    <t>最小行消音</t>
  </si>
  <si>
    <t>Vbmin</t>
  </si>
  <si>
    <t>从xvs信号下降沿到开始读出一行的间隔时间</t>
  </si>
  <si>
    <t>Txvs2rd</t>
  </si>
  <si>
    <t>从xvs信号下降沿到communication prohibited period结束</t>
  </si>
  <si>
    <t>Txvs2cpp</t>
  </si>
  <si>
    <t>SHS1</t>
  </si>
  <si>
    <t>配置sensor的时间【us】</t>
  </si>
  <si>
    <t>tConfig</t>
  </si>
  <si>
    <t>前段带宽最大值</t>
  </si>
  <si>
    <t>BandWidthMax</t>
  </si>
  <si>
    <t>sensor最小设置高度</t>
  </si>
  <si>
    <t>sensor_height_min</t>
  </si>
  <si>
    <t>tolerance_line</t>
  </si>
  <si>
    <t>帧信息使能</t>
  </si>
  <si>
    <t>完整包个数</t>
  </si>
  <si>
    <t>残包个数</t>
  </si>
  <si>
    <t>以太网传输image和chunk的大小（包含全部协议开销）</t>
  </si>
  <si>
    <t>所有的帧间隔</t>
  </si>
  <si>
    <t>传输图像尺寸</t>
  </si>
  <si>
    <t>后端传输限制的帧周期</t>
  </si>
  <si>
    <t>FPGA行周期</t>
  </si>
  <si>
    <t>0x77601650</t>
  </si>
  <si>
    <t>0x77601658</t>
  </si>
  <si>
    <t>帧周期寄存器</t>
  </si>
  <si>
    <t>0x7760165c</t>
  </si>
  <si>
    <t>帧周期[单位：行]</t>
  </si>
  <si>
    <t>帧周期[单位：us]</t>
  </si>
  <si>
    <t>错误信息：</t>
  </si>
  <si>
    <t>当前参数不在范围64~图像宽度最大值内，请重新输入</t>
  </si>
  <si>
    <t>当前参数不在范围64~图像高度最大值内，请重新输入</t>
  </si>
  <si>
    <t>当前帧率计算表中参数计算出的帧率可能出现异常，请根据提示修改参数</t>
  </si>
  <si>
    <t>帧率计算是否正确：</t>
  </si>
  <si>
    <t xml:space="preserve"> </t>
  </si>
  <si>
    <t>camera_model</t>
  </si>
  <si>
    <t>相机型号</t>
  </si>
  <si>
    <t>mars-1230-9gx</t>
  </si>
  <si>
    <t>计算结果</t>
  </si>
  <si>
    <t>计算过程</t>
  </si>
  <si>
    <t>Sensor寄存器</t>
  </si>
  <si>
    <t>Demo关联项</t>
  </si>
  <si>
    <t>参数</t>
  </si>
  <si>
    <t>描述</t>
  </si>
  <si>
    <t>公式</t>
  </si>
  <si>
    <t>计算值</t>
  </si>
  <si>
    <t>单位</t>
  </si>
  <si>
    <t>固定参数</t>
  </si>
  <si>
    <t>寄存器名</t>
  </si>
  <si>
    <t>地址
dec</t>
  </si>
  <si>
    <t>地址
dec(hex)</t>
  </si>
  <si>
    <t>推算值
hex</t>
  </si>
  <si>
    <t>默认值</t>
  </si>
  <si>
    <t>用户值</t>
  </si>
  <si>
    <t>推算值
dec</t>
  </si>
  <si>
    <t>REGHOLD</t>
  </si>
  <si>
    <t>sensor寄存器保持</t>
  </si>
  <si>
    <t>0: Invalid 1: Valid</t>
  </si>
  <si>
    <t>ROUNDUP(1000000*hmax/Finck),0)</t>
  </si>
  <si>
    <t>ns</t>
  </si>
  <si>
    <t>Sensor输入时钟频率
(手册第一页Features Input frequency)</t>
  </si>
  <si>
    <t>37.125 or 74.25 抖动幅度0.96~1.02</t>
  </si>
  <si>
    <t>KHz</t>
  </si>
  <si>
    <t>ROIPV1_L</t>
  </si>
  <si>
    <t>RO1 1垂直偏移</t>
  </si>
  <si>
    <t>roi_offset_y</t>
  </si>
  <si>
    <t>PixelFormat</t>
  </si>
  <si>
    <t>像素格式(8/12)</t>
  </si>
  <si>
    <t>tFrame</t>
  </si>
  <si>
    <t>frame_lines*tRow</t>
  </si>
  <si>
    <t>us</t>
  </si>
  <si>
    <t>sensor</t>
  </si>
  <si>
    <t>相机对应sensor的型号</t>
  </si>
  <si>
    <t>-</t>
  </si>
  <si>
    <t>ROIPV1_H</t>
  </si>
  <si>
    <t>fFrame</t>
  </si>
  <si>
    <t>1000/tFrame</t>
  </si>
  <si>
    <t>fps</t>
  </si>
  <si>
    <t>port</t>
  </si>
  <si>
    <t>相机对应的后端接口</t>
  </si>
  <si>
    <t>ROIWV1_L</t>
  </si>
  <si>
    <t>RO1 1垂直高度</t>
  </si>
  <si>
    <t>roi_pic_height</t>
  </si>
  <si>
    <t>ExposureTime</t>
  </si>
  <si>
    <t>曝光时间(us)</t>
  </si>
  <si>
    <t>决定帧周期的四个变量</t>
  </si>
  <si>
    <t>margin_x</t>
  </si>
  <si>
    <t>有效像素边界
(手册Pixel Arrangement章节，图示)</t>
  </si>
  <si>
    <t>pixel</t>
  </si>
  <si>
    <t>ROIWV1_H</t>
  </si>
  <si>
    <t>ExposureDelay</t>
  </si>
  <si>
    <t>触发延时</t>
  </si>
  <si>
    <t>readout_period_time</t>
  </si>
  <si>
    <t>读出时间决定的帧周期</t>
  </si>
  <si>
    <t>readout_time+VBmin</t>
  </si>
  <si>
    <t>line</t>
  </si>
  <si>
    <t>margin_y</t>
  </si>
  <si>
    <t>IMX253 IMX304-4
IMX255 IMX267-8</t>
  </si>
  <si>
    <t>FPGA寄存器</t>
  </si>
  <si>
    <t>TriggerDelay</t>
  </si>
  <si>
    <t>触发延迟(us)</t>
  </si>
  <si>
    <t>exp_period_time</t>
  </si>
  <si>
    <t>曝光时间决定的帧周期</t>
  </si>
  <si>
    <t>exp_line_num+ExpIntMin</t>
  </si>
  <si>
    <t>每行宽度(U3平台)
(手册Readout Drive Modes章节，见表格，All pixel模式)</t>
  </si>
  <si>
    <t>GIGE(4ch):  
固定为4通道807
U3(8ch):  
IMX253-417    IMX255-834
IMX255-417    IMX255-834
IMX304-522    IMX304-1044
IMX267-522    IMX267-1044</t>
  </si>
  <si>
    <t>inck</t>
  </si>
  <si>
    <t>slave_hmax</t>
  </si>
  <si>
    <t>dec2hex(hmax)</t>
  </si>
  <si>
    <t>hmax(4ch)</t>
  </si>
  <si>
    <t>每行宽度(GIGE平台)
(手册Readout Drive Modes章节，见表格，All pixel模式)</t>
  </si>
  <si>
    <t xml:space="preserve">IMX304-807    
IMX267-807    </t>
  </si>
  <si>
    <t>slave_exp_delay</t>
  </si>
  <si>
    <t>FPGA曝光延迟寄存器</t>
  </si>
  <si>
    <t>dec2hex(ExpDelayLine)</t>
  </si>
  <si>
    <t>ROI</t>
  </si>
  <si>
    <t>fps_limit_period_time</t>
  </si>
  <si>
    <t>帧率限制帧周期</t>
  </si>
  <si>
    <t>ROUNDUP(((100000000/AcquisitionFrameRate)/tRow)*AcquisitionFrameRateMode,0)</t>
  </si>
  <si>
    <t>VBmin</t>
  </si>
  <si>
    <r>
      <rPr>
        <sz val="11"/>
        <color theme="1"/>
        <rFont val="宋体"/>
        <family val="3"/>
        <charset val="134"/>
        <scheme val="minor"/>
      </rPr>
      <t>最小帧消隐行数
(手册Global Shutter (Sequential Trigger Mode) Operation章节，V</t>
    </r>
    <r>
      <rPr>
        <sz val="9"/>
        <color theme="1"/>
        <rFont val="宋体"/>
        <family val="3"/>
        <charset val="134"/>
        <scheme val="minor"/>
      </rPr>
      <t>TR公式</t>
    </r>
    <r>
      <rPr>
        <sz val="11"/>
        <color theme="1"/>
        <rFont val="宋体"/>
        <family val="3"/>
        <charset val="134"/>
        <scheme val="minor"/>
      </rPr>
      <t>最后一个参数)</t>
    </r>
  </si>
  <si>
    <t>帧消隐最小值:
IMX253 IMX255-54
IMX304 IMX267-34</t>
  </si>
  <si>
    <t>slave_exp_time</t>
  </si>
  <si>
    <t>FPGA曝光寄存器</t>
  </si>
  <si>
    <t>dec2hex(exp_line_num)</t>
  </si>
  <si>
    <t>OffsetX</t>
  </si>
  <si>
    <t>水平偏移</t>
  </si>
  <si>
    <t>tp_limit_period_time</t>
  </si>
  <si>
    <t>U3:
1000/frame_time_u3
GIGE:
1000/frame_time_gige</t>
  </si>
  <si>
    <t>ExpIntMin</t>
  </si>
  <si>
    <t>两次曝光间隔最小值
(手册Global Shutter (Sequential Trigger Mode) Operation章节，表格Parameter List of Global Shutter中的tTGES+1)</t>
  </si>
  <si>
    <t>IMX253 IMX255-24
IMX304 IMX267-12</t>
  </si>
  <si>
    <t>slave_trigger_interval</t>
  </si>
  <si>
    <t>触发间隔寄存器</t>
  </si>
  <si>
    <t>dec2hex(FramePeriod)</t>
  </si>
  <si>
    <t>OffsetY</t>
  </si>
  <si>
    <t>垂直偏移</t>
  </si>
  <si>
    <t>其他</t>
  </si>
  <si>
    <t>tOFFSET</t>
  </si>
  <si>
    <t>曝光时间误差
(手册Global Shutter (Sequential Trigger Mode) Operation章节，Exposuretime[s]公式最后一个参数)</t>
  </si>
  <si>
    <t>param_cfg_done</t>
  </si>
  <si>
    <t>寄存器成组生效标志，自清零
1:成组生效寄存器设置完成</t>
  </si>
  <si>
    <t>exp_line_num</t>
  </si>
  <si>
    <t>实际曝光行数</t>
  </si>
  <si>
    <t>max(ROUNDUP(((exp_time*1000-tOFFSET)/tRow),0),1)</t>
  </si>
  <si>
    <t>bandwidth_max</t>
  </si>
  <si>
    <t>前端带宽最大值
用于限制最大窗口下的帧率</t>
  </si>
  <si>
    <t xml:space="preserve">U3:           GIGE:
3950          IMX304-1106   
              IMX267-1250   </t>
  </si>
  <si>
    <t>MByte/10s</t>
  </si>
  <si>
    <t>trig_to_strobe</t>
  </si>
  <si>
    <t>从触发到闪光灯的时间</t>
  </si>
  <si>
    <t>帧周期参数-U3</t>
  </si>
  <si>
    <t>chunk</t>
  </si>
  <si>
    <t>strobe_time</t>
  </si>
  <si>
    <t>闪光灯维持时间</t>
  </si>
  <si>
    <t>if(exp_time&gt;100us,exp_time,100us)</t>
  </si>
  <si>
    <t>ChunkEnableFrameID</t>
  </si>
  <si>
    <t>待定</t>
  </si>
  <si>
    <t>tTrigFrame</t>
  </si>
  <si>
    <t>从触发信号到得图</t>
  </si>
  <si>
    <t>(exp_time+11*tRow)/1000 + readout_time*tRow/1000</t>
  </si>
  <si>
    <t>leader size</t>
  </si>
  <si>
    <t>byte</t>
  </si>
  <si>
    <t>ChunkEnableTimestamp</t>
  </si>
  <si>
    <t>U3 Transmission bandwidth</t>
  </si>
  <si>
    <t>U3传输带宽</t>
  </si>
  <si>
    <t>frame_freq*frame_size/1000000</t>
  </si>
  <si>
    <t>MByte/s</t>
  </si>
  <si>
    <t>trailer size</t>
  </si>
  <si>
    <t>trailer长度</t>
  </si>
  <si>
    <t>if(chunk_mode_active=1,36,32)</t>
  </si>
  <si>
    <t>ChunkModeActive</t>
  </si>
  <si>
    <t>GIGE estimate bandwidth</t>
  </si>
  <si>
    <t>GIGE预估带宽</t>
  </si>
  <si>
    <t>frame_freq*image_size/1000000</t>
  </si>
  <si>
    <t>Byte/s</t>
  </si>
  <si>
    <t>image_size</t>
  </si>
  <si>
    <t>传输图像大小</t>
  </si>
  <si>
    <t>H*W*n，if pixel format = 8bit，n=1，else n=2</t>
  </si>
  <si>
    <t>带宽控制-U3</t>
  </si>
  <si>
    <t>readout_time</t>
  </si>
  <si>
    <t>实际读出时间
(Sequential Trigger Mode) Operation章节，表格Parameter List of Global Shutter中的tTGDLY)</t>
  </si>
  <si>
    <t>pic_height + tTGDLY</t>
  </si>
  <si>
    <t>frame_size</t>
  </si>
  <si>
    <t>leader_size+trailer_size+image_size size+(8+16*chunkid_en_ts+16*chunkid_en_fid)*chunk_mode_active</t>
  </si>
  <si>
    <t>DeviceLinkThroughputLimitMode</t>
  </si>
  <si>
    <t>带宽限制开关</t>
  </si>
  <si>
    <t>data_MaxValue</t>
  </si>
  <si>
    <t>12500*LinkSpeed*(100-BandwidthReserve)</t>
  </si>
  <si>
    <t>tp_limit_period_time_u3</t>
  </si>
  <si>
    <t>ROUNDUP((max((frame_size*1000000/DeviceLinkThroughputLimit)*DeviceLinkThroughputLimitMode,(10*frame_size*1000000/bandwidth_max),0)</t>
  </si>
  <si>
    <t>DeviceLinkThroughputLimit</t>
  </si>
  <si>
    <t>带宽限制值(Bps)</t>
  </si>
  <si>
    <t>BandwidthData_MaxValue</t>
  </si>
  <si>
    <t>((62+(GevSCPSPacketSize-36))*complete_packet_num+62+incomplete_packet_size+168)+(GevSCPD+12)*(complete_packet_num+3)</t>
  </si>
  <si>
    <t>以太网参数-GIGE</t>
  </si>
  <si>
    <t>带宽控制-GIGE</t>
  </si>
  <si>
    <t>LinkSpeed</t>
  </si>
  <si>
    <t>网络连接速度(Mbit/s)</t>
  </si>
  <si>
    <t>preamble</t>
  </si>
  <si>
    <t>前导符</t>
  </si>
  <si>
    <t>固定为7byte</t>
  </si>
  <si>
    <r>
      <rPr>
        <sz val="11"/>
        <color theme="1"/>
        <rFont val="宋体"/>
        <family val="3"/>
        <charset val="134"/>
        <scheme val="minor"/>
      </rPr>
      <t xml:space="preserve">包长
(指的是以太网的负载包长 范围:512-16384)
</t>
    </r>
    <r>
      <rPr>
        <sz val="11"/>
        <color rgb="FFFF0000"/>
        <rFont val="宋体"/>
        <family val="3"/>
        <charset val="134"/>
        <scheme val="minor"/>
      </rPr>
      <t>该数值包含协议开销综合I，不包II</t>
    </r>
  </si>
  <si>
    <t>sfd</t>
  </si>
  <si>
    <t>起始帧分界符</t>
  </si>
  <si>
    <t>固定为1byte</t>
  </si>
  <si>
    <t>eth_header</t>
  </si>
  <si>
    <t>以太网协议头</t>
  </si>
  <si>
    <t>目的地址6byte+源地址6byte+以太网类型2byte</t>
  </si>
  <si>
    <t>GevSCPD_MaxValue</t>
  </si>
  <si>
    <t>ip_header</t>
  </si>
  <si>
    <t>ip协议头</t>
  </si>
  <si>
    <t>固定为20byte</t>
  </si>
  <si>
    <t>udp_header</t>
  </si>
  <si>
    <t>udp协议头</t>
  </si>
  <si>
    <t>固定为8byte</t>
  </si>
  <si>
    <t>BandwidthReserve_MaxValue</t>
  </si>
  <si>
    <t>gigev_header</t>
  </si>
  <si>
    <t>gige vision协议头</t>
  </si>
  <si>
    <t>帧率控制</t>
  </si>
  <si>
    <t>fcs</t>
  </si>
  <si>
    <t>CRC校验</t>
  </si>
  <si>
    <t>固定为4byte</t>
  </si>
  <si>
    <t>AcquisitionFrameRateMode</t>
  </si>
  <si>
    <t>帧率控制开关</t>
  </si>
  <si>
    <t>ifg_min</t>
  </si>
  <si>
    <t>最小帧间隔</t>
  </si>
  <si>
    <t>固定为12byte</t>
  </si>
  <si>
    <t>AcquisitionFrameRate</t>
  </si>
  <si>
    <t>帧率控制值(fps)</t>
  </si>
  <si>
    <t>header_in_payload</t>
  </si>
  <si>
    <t>协议开销总和I:以太网负载部分的协议开销</t>
  </si>
  <si>
    <t>ip_header+udp_header+gigev_header</t>
  </si>
  <si>
    <t>eth_protocol_byte</t>
  </si>
  <si>
    <t>协议开销总和II:以太网协议开销</t>
  </si>
  <si>
    <t>preamble+sfd+eth_header+fcs</t>
  </si>
  <si>
    <t>data_size_min</t>
  </si>
  <si>
    <t>数据包长最小值</t>
  </si>
  <si>
    <t>64-eth_header-fcs-header_in_payload</t>
  </si>
  <si>
    <t>帧周期参数-GIGE</t>
  </si>
  <si>
    <r>
      <rPr>
        <sz val="11"/>
        <color theme="1"/>
        <rFont val="宋体"/>
        <family val="3"/>
        <charset val="134"/>
        <scheme val="minor"/>
      </rPr>
      <t>leader长度</t>
    </r>
    <r>
      <rPr>
        <sz val="11"/>
        <color rgb="FFFF0000"/>
        <rFont val="宋体"/>
        <family val="3"/>
        <charset val="134"/>
        <scheme val="minor"/>
      </rPr>
      <t>（净长）</t>
    </r>
  </si>
  <si>
    <t>chunk off:36
chunk on:12</t>
  </si>
  <si>
    <r>
      <rPr>
        <sz val="11"/>
        <color theme="1"/>
        <rFont val="宋体"/>
        <family val="3"/>
        <charset val="134"/>
        <scheme val="minor"/>
      </rPr>
      <t>trailer长度</t>
    </r>
    <r>
      <rPr>
        <sz val="11"/>
        <color rgb="FFFF0000"/>
        <rFont val="宋体"/>
        <family val="3"/>
        <charset val="134"/>
        <scheme val="minor"/>
      </rPr>
      <t>（净长）</t>
    </r>
  </si>
  <si>
    <t>实际上trailer大小是8byte，为了和64byte的以太网包对齐，此处写为10byte</t>
  </si>
  <si>
    <r>
      <rPr>
        <sz val="11"/>
        <color theme="1"/>
        <rFont val="宋体"/>
        <family val="3"/>
        <charset val="134"/>
        <scheme val="minor"/>
      </rPr>
      <t>传输图像大小</t>
    </r>
    <r>
      <rPr>
        <sz val="11"/>
        <color rgb="FFFF0000"/>
        <rFont val="宋体"/>
        <family val="3"/>
        <charset val="134"/>
        <scheme val="minor"/>
      </rPr>
      <t>（净长）</t>
    </r>
  </si>
  <si>
    <t>image_chunk_size</t>
  </si>
  <si>
    <r>
      <rPr>
        <sz val="11"/>
        <color theme="1"/>
        <rFont val="宋体"/>
        <family val="3"/>
        <charset val="134"/>
        <scheme val="minor"/>
      </rPr>
      <t>图像+chunk大小</t>
    </r>
    <r>
      <rPr>
        <sz val="11"/>
        <color rgb="FFFF0000"/>
        <rFont val="宋体"/>
        <family val="3"/>
        <charset val="134"/>
        <scheme val="minor"/>
      </rPr>
      <t>（净长）</t>
    </r>
  </si>
  <si>
    <r>
      <rPr>
        <sz val="11"/>
        <color rgb="FFFF0000"/>
        <rFont val="宋体"/>
        <family val="3"/>
        <charset val="134"/>
        <scheme val="minor"/>
      </rPr>
      <t>image_size</t>
    </r>
    <r>
      <rPr>
        <sz val="11"/>
        <color theme="1"/>
        <rFont val="宋体"/>
        <family val="3"/>
        <charset val="134"/>
        <scheme val="minor"/>
      </rPr>
      <t>+32*chunk_mode_active</t>
    </r>
  </si>
  <si>
    <t>complete_packet_num</t>
  </si>
  <si>
    <t>int(image_chunk_size/(GevSCPSPacketSize-header_in_payload))</t>
  </si>
  <si>
    <t>incomplete_packet_size</t>
  </si>
  <si>
    <r>
      <rPr>
        <sz val="11"/>
        <color theme="1"/>
        <rFont val="宋体"/>
        <family val="3"/>
        <charset val="134"/>
        <scheme val="minor"/>
      </rPr>
      <t>残包大小</t>
    </r>
    <r>
      <rPr>
        <sz val="11"/>
        <color rgb="FFFF0000"/>
        <rFont val="宋体"/>
        <family val="3"/>
        <charset val="134"/>
        <scheme val="minor"/>
      </rPr>
      <t>（净长）</t>
    </r>
  </si>
  <si>
    <t>image_chunk_size-(GevSCPSPacketSize-header_in_payload)*complete_packet_num</t>
  </si>
  <si>
    <t>incomplete_packet_num</t>
  </si>
  <si>
    <t>if(incomplete_packet_size==0,0,1)</t>
  </si>
  <si>
    <t>incomplete_packet_size_min</t>
  </si>
  <si>
    <r>
      <rPr>
        <sz val="11"/>
        <color theme="1"/>
        <rFont val="宋体"/>
        <family val="3"/>
        <charset val="134"/>
        <scheme val="minor"/>
      </rPr>
      <t>经过最小包长判断之后的残包大小</t>
    </r>
    <r>
      <rPr>
        <sz val="11"/>
        <color rgb="FFFF0000"/>
        <rFont val="宋体"/>
        <family val="3"/>
        <charset val="134"/>
        <scheme val="minor"/>
      </rPr>
      <t>（净长）</t>
    </r>
  </si>
  <si>
    <t>残包大小最少要是64byte
if(incomplete_packet_size&lt;data_size_min,data_size_min,incomplete_packet_size)</t>
  </si>
  <si>
    <t>leader_packet_size</t>
  </si>
  <si>
    <r>
      <rPr>
        <sz val="11"/>
        <color theme="1"/>
        <rFont val="宋体"/>
        <family val="3"/>
        <charset val="134"/>
        <scheme val="minor"/>
      </rPr>
      <t>以太网传输leader包的大小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</si>
  <si>
    <t>eth_protocol_byte+header_in_payload+leader_size</t>
  </si>
  <si>
    <t>trailer_packet_size</t>
  </si>
  <si>
    <r>
      <rPr>
        <sz val="11"/>
        <color theme="1"/>
        <rFont val="宋体"/>
        <family val="3"/>
        <charset val="134"/>
        <scheme val="minor"/>
      </rPr>
      <t>以太网传输trailer包的大小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</si>
  <si>
    <t>frame_packet_size</t>
  </si>
  <si>
    <r>
      <rPr>
        <sz val="11"/>
        <color theme="1"/>
        <rFont val="宋体"/>
        <family val="3"/>
        <charset val="134"/>
        <scheme val="minor"/>
      </rPr>
      <t>以太网传输image和chunk的大小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</si>
  <si>
    <t>complete_packet_num*(packet_size+eth_protocol_byte)+incomplete_packet_num*(incomplete_packet_size_min+eth_protocol_byte+header_in_payload)</t>
  </si>
  <si>
    <t>all_packet_gap</t>
  </si>
  <si>
    <r>
      <rPr>
        <sz val="11"/>
        <color theme="1"/>
        <rFont val="宋体"/>
        <family val="3"/>
        <charset val="134"/>
        <scheme val="minor"/>
      </rPr>
      <t xml:space="preserve">所有的帧间隔
</t>
    </r>
    <r>
      <rPr>
        <sz val="11"/>
        <color rgb="FFFF0000"/>
        <rFont val="宋体"/>
        <family val="3"/>
        <charset val="134"/>
        <scheme val="minor"/>
      </rPr>
      <t>（前导码和CRC校验已经在计算开销II时加过一次，这里只对最小帧间隔进行计算）</t>
    </r>
  </si>
  <si>
    <t>(leader+trailer+残包个数+完整包个数)*MAX(GevSCPD,ifg_min)</t>
  </si>
  <si>
    <r>
      <rPr>
        <sz val="11"/>
        <color theme="1"/>
        <rFont val="宋体"/>
        <family val="3"/>
        <charset val="134"/>
        <scheme val="minor"/>
      </rPr>
      <t>传输图像尺寸</t>
    </r>
    <r>
      <rPr>
        <sz val="11"/>
        <color rgb="FFFF0000"/>
        <rFont val="宋体"/>
        <family val="3"/>
        <charset val="134"/>
        <scheme val="minor"/>
      </rPr>
      <t>（包含全部协议开销与包间隔）</t>
    </r>
  </si>
  <si>
    <t>leader_packet_size+trailer_packet_size+frame_packet_size+all_packet_gap</t>
  </si>
  <si>
    <t>eth_valid_bandwidth</t>
  </si>
  <si>
    <t>int(link_speed*(100-BandwidthReserve)*10/100/8)</t>
  </si>
  <si>
    <t>Mbyte/10s</t>
  </si>
  <si>
    <t>backend_limit_period_time</t>
  </si>
  <si>
    <t>ROUNDUP(frame_size/eth_valid_bandwidth*10/tRow)</t>
  </si>
  <si>
    <t>frontend_limit_period_time</t>
  </si>
  <si>
    <t>ROUNDUP((image_chunk_size+leader size+trailer)/bandwidth_max)/tRow</t>
  </si>
  <si>
    <t>tp_limit_period_time_gige</t>
  </si>
  <si>
    <t>max(backend_limit_period_time,frontend_limit_period_time)</t>
  </si>
  <si>
    <r>
      <t xml:space="preserve">1、Modify mer2-160-75gx camera minimum height limit value of 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</si>
  <si>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1.0.</t>
    </r>
    <r>
      <rPr>
        <sz val="11"/>
        <color theme="1"/>
        <rFont val="宋体"/>
        <family val="3"/>
        <charset val="134"/>
        <scheme val="minor"/>
      </rPr>
      <t>21</t>
    </r>
    <phoneticPr fontId="10" type="noConversion"/>
  </si>
  <si>
    <r>
      <t>1、</t>
    </r>
    <r>
      <rPr>
        <sz val="11"/>
        <color theme="1"/>
        <rFont val="宋体"/>
        <family val="3"/>
        <charset val="134"/>
        <scheme val="minor"/>
      </rPr>
      <t>Delete MER2-160-75GX and MER2-041-302GX trigger mode</t>
    </r>
    <phoneticPr fontId="10" type="noConversion"/>
  </si>
  <si>
    <r>
      <t>2020.09.</t>
    </r>
    <r>
      <rPr>
        <sz val="11"/>
        <color theme="1"/>
        <rFont val="宋体"/>
        <family val="3"/>
        <charset val="134"/>
        <scheme val="minor"/>
      </rPr>
      <t>10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</si>
</sst>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2">
    <font>
      <sz val="11"/>
      <color theme="1"/>
      <name val="宋体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8CB4E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</cellStyleXfs>
  <cellXfs count="159">
    <xf numFmtId="0" fontId="0" fillId="0" borderId="0" xfId="0">
      <alignment vertical="center"/>
    </xf>
    <xf numFmtId="0" fontId="1" fillId="2" borderId="1" xfId="0" applyFont="1" applyFill="1" applyBorder="1" applyProtection="1">
      <alignment vertical="center"/>
    </xf>
    <xf numFmtId="0" fontId="1" fillId="2" borderId="1" xfId="0" applyFont="1" applyFill="1" applyBorder="1" applyProtection="1">
      <alignment vertical="center"/>
      <protection locked="0"/>
    </xf>
    <xf numFmtId="0" fontId="2" fillId="0" borderId="0" xfId="0" applyFont="1">
      <alignment vertical="center"/>
    </xf>
    <xf numFmtId="0" fontId="0" fillId="2" borderId="1" xfId="0" applyFill="1" applyBorder="1" applyAlignment="1" applyProtection="1">
      <alignment vertical="center" wrapText="1"/>
    </xf>
    <xf numFmtId="0" fontId="0" fillId="2" borderId="1" xfId="0" applyFont="1" applyFill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0" fontId="0" fillId="3" borderId="1" xfId="0" applyFill="1" applyBorder="1" applyProtection="1">
      <alignment vertical="center"/>
    </xf>
    <xf numFmtId="0" fontId="3" fillId="2" borderId="1" xfId="0" applyFont="1" applyFill="1" applyBorder="1" applyProtection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Protection="1">
      <alignment vertical="center"/>
    </xf>
    <xf numFmtId="0" fontId="0" fillId="0" borderId="0" xfId="0" applyAlignment="1">
      <alignment horizontal="left" vertical="center" wrapText="1"/>
    </xf>
    <xf numFmtId="0" fontId="1" fillId="2" borderId="1" xfId="3" applyFont="1" applyFill="1" applyBorder="1" applyAlignment="1" applyProtection="1">
      <alignment horizontal="left" vertical="center" wrapText="1"/>
    </xf>
    <xf numFmtId="0" fontId="1" fillId="2" borderId="1" xfId="3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</xf>
    <xf numFmtId="0" fontId="5" fillId="2" borderId="1" xfId="3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177" fontId="5" fillId="2" borderId="1" xfId="0" applyNumberFormat="1" applyFont="1" applyFill="1" applyBorder="1" applyAlignment="1" applyProtection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Alignment="1"/>
    <xf numFmtId="0" fontId="0" fillId="7" borderId="8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left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1" applyFont="1" applyFill="1" applyBorder="1" applyAlignment="1" applyProtection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14" xfId="1" applyFont="1" applyFill="1" applyBorder="1" applyAlignment="1" applyProtection="1">
      <alignment vertical="center"/>
    </xf>
    <xf numFmtId="0" fontId="2" fillId="0" borderId="14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/>
    </xf>
    <xf numFmtId="0" fontId="0" fillId="9" borderId="9" xfId="0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left" vertical="center" wrapText="1"/>
    </xf>
    <xf numFmtId="176" fontId="0" fillId="10" borderId="1" xfId="0" applyNumberForma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76" fontId="2" fillId="10" borderId="1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10" borderId="14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vertical="center" wrapText="1"/>
    </xf>
    <xf numFmtId="0" fontId="6" fillId="10" borderId="1" xfId="0" applyNumberFormat="1" applyFont="1" applyFill="1" applyBorder="1" applyAlignment="1">
      <alignment horizontal="left" vertical="center" wrapText="1"/>
    </xf>
    <xf numFmtId="0" fontId="2" fillId="10" borderId="14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 wrapText="1"/>
    </xf>
    <xf numFmtId="49" fontId="0" fillId="0" borderId="25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10" borderId="9" xfId="0" applyFill="1" applyBorder="1" applyAlignment="1">
      <alignment horizontal="left" vertical="center" wrapText="1"/>
    </xf>
    <xf numFmtId="0" fontId="2" fillId="10" borderId="9" xfId="0" applyFont="1" applyFill="1" applyBorder="1" applyAlignment="1">
      <alignment horizontal="left" vertical="center" wrapText="1"/>
    </xf>
    <xf numFmtId="0" fontId="2" fillId="10" borderId="9" xfId="0" applyNumberFormat="1" applyFont="1" applyFill="1" applyBorder="1" applyAlignment="1">
      <alignment horizontal="left" vertical="center" wrapText="1"/>
    </xf>
    <xf numFmtId="49" fontId="0" fillId="0" borderId="13" xfId="0" applyNumberFormat="1" applyFill="1" applyBorder="1" applyAlignment="1">
      <alignment horizontal="left" vertical="center" wrapText="1"/>
    </xf>
    <xf numFmtId="0" fontId="0" fillId="10" borderId="15" xfId="0" applyNumberForma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8" fillId="0" borderId="0" xfId="2">
      <alignment vertical="center"/>
    </xf>
    <xf numFmtId="0" fontId="1" fillId="2" borderId="1" xfId="2" applyFont="1" applyFill="1" applyBorder="1" applyProtection="1">
      <alignment vertical="center"/>
    </xf>
    <xf numFmtId="0" fontId="1" fillId="2" borderId="1" xfId="2" applyFont="1" applyFill="1" applyBorder="1" applyProtection="1">
      <alignment vertical="center"/>
      <protection locked="0"/>
    </xf>
    <xf numFmtId="0" fontId="2" fillId="0" borderId="0" xfId="2" applyFont="1">
      <alignment vertical="center"/>
    </xf>
    <xf numFmtId="0" fontId="8" fillId="2" borderId="1" xfId="2" applyFill="1" applyBorder="1" applyAlignment="1" applyProtection="1">
      <alignment vertical="center" wrapText="1"/>
    </xf>
    <xf numFmtId="0" fontId="0" fillId="2" borderId="1" xfId="2" applyFont="1" applyFill="1" applyBorder="1" applyProtection="1">
      <alignment vertical="center"/>
    </xf>
    <xf numFmtId="0" fontId="8" fillId="2" borderId="1" xfId="2" applyFill="1" applyBorder="1" applyProtection="1">
      <alignment vertical="center"/>
    </xf>
    <xf numFmtId="0" fontId="2" fillId="2" borderId="1" xfId="2" applyFont="1" applyFill="1" applyBorder="1" applyProtection="1">
      <alignment vertical="center"/>
    </xf>
    <xf numFmtId="0" fontId="8" fillId="3" borderId="1" xfId="2" applyFill="1" applyBorder="1" applyProtection="1">
      <alignment vertical="center"/>
    </xf>
    <xf numFmtId="0" fontId="3" fillId="2" borderId="1" xfId="2" applyFont="1" applyFill="1" applyBorder="1" applyProtection="1">
      <alignment vertical="center"/>
    </xf>
    <xf numFmtId="0" fontId="5" fillId="2" borderId="1" xfId="2" applyFont="1" applyFill="1" applyBorder="1" applyProtection="1">
      <alignment vertical="center"/>
    </xf>
    <xf numFmtId="0" fontId="4" fillId="0" borderId="0" xfId="2" applyFont="1">
      <alignment vertical="center"/>
    </xf>
    <xf numFmtId="0" fontId="8" fillId="0" borderId="0" xfId="1" applyAlignment="1">
      <alignment vertical="center"/>
    </xf>
    <xf numFmtId="0" fontId="8" fillId="0" borderId="0" xfId="1"/>
    <xf numFmtId="0" fontId="1" fillId="11" borderId="1" xfId="1" applyFont="1" applyFill="1" applyBorder="1" applyAlignment="1" applyProtection="1">
      <alignment vertical="center"/>
    </xf>
    <xf numFmtId="0" fontId="1" fillId="11" borderId="1" xfId="1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vertical="center"/>
    </xf>
    <xf numFmtId="0" fontId="8" fillId="11" borderId="1" xfId="1" applyFill="1" applyBorder="1" applyAlignment="1" applyProtection="1">
      <alignment vertical="center" wrapText="1"/>
    </xf>
    <xf numFmtId="0" fontId="8" fillId="11" borderId="1" xfId="1" applyFill="1" applyBorder="1" applyAlignment="1" applyProtection="1">
      <alignment vertical="center"/>
    </xf>
    <xf numFmtId="0" fontId="7" fillId="11" borderId="1" xfId="1" applyFont="1" applyFill="1" applyBorder="1" applyAlignment="1" applyProtection="1">
      <alignment vertical="center"/>
    </xf>
    <xf numFmtId="0" fontId="0" fillId="11" borderId="1" xfId="1" applyFont="1" applyFill="1" applyBorder="1" applyAlignment="1" applyProtection="1">
      <alignment vertical="center"/>
    </xf>
    <xf numFmtId="0" fontId="8" fillId="11" borderId="1" xfId="1" applyFill="1" applyBorder="1" applyAlignment="1" applyProtection="1">
      <alignment horizontal="right" vertical="center"/>
    </xf>
    <xf numFmtId="0" fontId="5" fillId="11" borderId="1" xfId="1" applyFont="1" applyFill="1" applyBorder="1" applyAlignment="1" applyProtection="1">
      <alignment vertical="center"/>
    </xf>
    <xf numFmtId="0" fontId="0" fillId="12" borderId="1" xfId="0" applyFill="1" applyBorder="1" applyProtection="1">
      <alignment vertical="center"/>
    </xf>
    <xf numFmtId="0" fontId="0" fillId="3" borderId="1" xfId="0" applyFill="1" applyBorder="1" applyAlignment="1" applyProtection="1">
      <alignment vertical="center" wrapText="1"/>
    </xf>
    <xf numFmtId="0" fontId="0" fillId="12" borderId="1" xfId="0" applyFill="1" applyBorder="1" applyAlignment="1" applyProtection="1">
      <alignment vertical="center" wrapText="1"/>
    </xf>
    <xf numFmtId="0" fontId="0" fillId="13" borderId="1" xfId="0" applyFill="1" applyBorder="1">
      <alignment vertical="center"/>
    </xf>
    <xf numFmtId="0" fontId="0" fillId="0" borderId="1" xfId="0" applyFill="1" applyBorder="1">
      <alignment vertical="center"/>
    </xf>
    <xf numFmtId="0" fontId="11" fillId="0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left" vertical="center" wrapText="1"/>
    </xf>
    <xf numFmtId="49" fontId="0" fillId="0" borderId="25" xfId="0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_Sheet1" xfId="3"/>
  </cellStyles>
  <dxfs count="2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2" name="文本框 1"/>
        <xdr:cNvSpPr txBox="1"/>
      </xdr:nvSpPr>
      <xdr:spPr>
        <a:xfrm>
          <a:off x="17054195" y="2933700"/>
          <a:ext cx="6317615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3" name="文本框 2"/>
        <xdr:cNvSpPr txBox="1"/>
      </xdr:nvSpPr>
      <xdr:spPr>
        <a:xfrm>
          <a:off x="17054195" y="2933700"/>
          <a:ext cx="6317615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3" sqref="C23"/>
    </sheetView>
  </sheetViews>
  <sheetFormatPr defaultColWidth="9" defaultRowHeight="13.5"/>
  <cols>
    <col min="1" max="1" width="11.875" customWidth="1"/>
    <col min="2" max="2" width="77.625" customWidth="1"/>
    <col min="3" max="3" width="13.625" customWidth="1"/>
  </cols>
  <sheetData>
    <row r="1" spans="1:3" ht="13.5" customHeight="1">
      <c r="A1" s="130" t="s">
        <v>0</v>
      </c>
      <c r="B1" s="130" t="s">
        <v>1</v>
      </c>
      <c r="C1" s="130" t="s">
        <v>2</v>
      </c>
    </row>
    <row r="2" spans="1:3" ht="27">
      <c r="A2" s="131" t="s">
        <v>3</v>
      </c>
      <c r="B2" s="32" t="s">
        <v>4</v>
      </c>
      <c r="C2" s="131" t="s">
        <v>5</v>
      </c>
    </row>
    <row r="3" spans="1:3">
      <c r="A3" s="131" t="s">
        <v>6</v>
      </c>
      <c r="B3" s="32" t="s">
        <v>7</v>
      </c>
      <c r="C3" s="131" t="s">
        <v>8</v>
      </c>
    </row>
    <row r="4" spans="1:3">
      <c r="A4" s="131" t="s">
        <v>9</v>
      </c>
      <c r="B4" s="32" t="s">
        <v>10</v>
      </c>
      <c r="C4" s="131" t="s">
        <v>11</v>
      </c>
    </row>
    <row r="5" spans="1:3" ht="12.75" customHeight="1">
      <c r="A5" s="131" t="s">
        <v>12</v>
      </c>
      <c r="B5" s="32" t="s">
        <v>13</v>
      </c>
      <c r="C5" s="131" t="s">
        <v>14</v>
      </c>
    </row>
    <row r="6" spans="1:3">
      <c r="A6" s="131" t="s">
        <v>15</v>
      </c>
      <c r="B6" s="32" t="s">
        <v>16</v>
      </c>
      <c r="C6" s="131" t="s">
        <v>17</v>
      </c>
    </row>
    <row r="7" spans="1:3">
      <c r="A7" s="131" t="s">
        <v>18</v>
      </c>
      <c r="B7" s="32" t="s">
        <v>19</v>
      </c>
      <c r="C7" s="131" t="s">
        <v>20</v>
      </c>
    </row>
    <row r="8" spans="1:3">
      <c r="A8" s="131" t="s">
        <v>21</v>
      </c>
      <c r="B8" s="32" t="s">
        <v>22</v>
      </c>
      <c r="C8" s="131" t="s">
        <v>23</v>
      </c>
    </row>
    <row r="9" spans="1:3">
      <c r="A9" s="131" t="s">
        <v>24</v>
      </c>
      <c r="B9" s="32" t="s">
        <v>25</v>
      </c>
      <c r="C9" s="131" t="s">
        <v>26</v>
      </c>
    </row>
    <row r="10" spans="1:3">
      <c r="A10" s="131" t="s">
        <v>27</v>
      </c>
      <c r="B10" s="32" t="s">
        <v>28</v>
      </c>
      <c r="C10" s="131" t="s">
        <v>29</v>
      </c>
    </row>
    <row r="11" spans="1:3">
      <c r="A11" s="131" t="s">
        <v>30</v>
      </c>
      <c r="B11" s="32" t="s">
        <v>31</v>
      </c>
      <c r="C11" s="131" t="s">
        <v>32</v>
      </c>
    </row>
    <row r="12" spans="1:3">
      <c r="A12" s="131" t="s">
        <v>33</v>
      </c>
      <c r="B12" s="32" t="s">
        <v>34</v>
      </c>
      <c r="C12" s="131" t="s">
        <v>35</v>
      </c>
    </row>
    <row r="13" spans="1:3">
      <c r="A13" s="131" t="s">
        <v>36</v>
      </c>
      <c r="B13" s="32" t="s">
        <v>37</v>
      </c>
      <c r="C13" s="131" t="s">
        <v>38</v>
      </c>
    </row>
    <row r="14" spans="1:3" ht="27">
      <c r="A14" s="131" t="s">
        <v>39</v>
      </c>
      <c r="B14" s="32" t="s">
        <v>40</v>
      </c>
      <c r="C14" s="131" t="s">
        <v>41</v>
      </c>
    </row>
    <row r="15" spans="1:3">
      <c r="A15" s="131" t="s">
        <v>42</v>
      </c>
      <c r="B15" s="32" t="s">
        <v>43</v>
      </c>
      <c r="C15" s="131" t="s">
        <v>44</v>
      </c>
    </row>
    <row r="16" spans="1:3">
      <c r="A16" s="131" t="s">
        <v>45</v>
      </c>
      <c r="B16" s="32" t="s">
        <v>46</v>
      </c>
      <c r="C16" s="131" t="s">
        <v>47</v>
      </c>
    </row>
    <row r="17" spans="1:3">
      <c r="A17" s="131" t="s">
        <v>48</v>
      </c>
      <c r="B17" s="32" t="s">
        <v>49</v>
      </c>
      <c r="C17" s="131" t="s">
        <v>50</v>
      </c>
    </row>
    <row r="18" spans="1:3">
      <c r="A18" s="131" t="s">
        <v>51</v>
      </c>
      <c r="B18" s="32" t="s">
        <v>52</v>
      </c>
      <c r="C18" s="131" t="s">
        <v>53</v>
      </c>
    </row>
    <row r="19" spans="1:3">
      <c r="A19" s="131" t="s">
        <v>54</v>
      </c>
      <c r="B19" s="32" t="s">
        <v>55</v>
      </c>
      <c r="C19" s="131" t="s">
        <v>56</v>
      </c>
    </row>
    <row r="20" spans="1:3">
      <c r="A20" s="131" t="s">
        <v>57</v>
      </c>
      <c r="B20" s="32" t="s">
        <v>58</v>
      </c>
      <c r="C20" s="131" t="s">
        <v>59</v>
      </c>
    </row>
    <row r="21" spans="1:3">
      <c r="A21" s="131" t="s">
        <v>60</v>
      </c>
      <c r="B21" s="32" t="s">
        <v>61</v>
      </c>
      <c r="C21" s="131" t="s">
        <v>62</v>
      </c>
    </row>
    <row r="22" spans="1:3">
      <c r="A22" s="131" t="s">
        <v>63</v>
      </c>
      <c r="B22" s="133" t="s">
        <v>453</v>
      </c>
      <c r="C22" s="134" t="s">
        <v>64</v>
      </c>
    </row>
    <row r="23" spans="1:3">
      <c r="A23" s="132" t="s">
        <v>454</v>
      </c>
      <c r="B23" s="135" t="s">
        <v>455</v>
      </c>
      <c r="C23" s="136" t="s">
        <v>456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N94" sqref="N94"/>
    </sheetView>
  </sheetViews>
  <sheetFormatPr defaultColWidth="9" defaultRowHeight="13.5"/>
  <cols>
    <col min="1" max="1" width="29" style="12" customWidth="1"/>
    <col min="2" max="2" width="19" style="12" customWidth="1"/>
    <col min="3" max="3" width="10" style="12" customWidth="1"/>
    <col min="4" max="8" width="6.125" style="12" customWidth="1"/>
    <col min="9" max="9" width="15.125" style="12" customWidth="1"/>
    <col min="10" max="10" width="26" style="12" customWidth="1"/>
    <col min="11" max="11" width="13.25" style="12" customWidth="1"/>
    <col min="12" max="12" width="7.5" style="12" customWidth="1"/>
    <col min="13" max="13" width="4.5" style="12" customWidth="1"/>
    <col min="14" max="14" width="19.625" style="12" customWidth="1"/>
    <col min="15" max="15" width="29" style="12" customWidth="1"/>
    <col min="16" max="16" width="10.125" style="12" customWidth="1"/>
    <col min="17" max="17" width="9.625" style="12" customWidth="1"/>
    <col min="18" max="18" width="4.875" style="12" customWidth="1"/>
    <col min="19" max="19" width="14.5" style="12" customWidth="1"/>
    <col min="20" max="20" width="22.5" style="12" customWidth="1"/>
    <col min="21" max="22" width="9" style="12" customWidth="1"/>
    <col min="23" max="16384" width="9" style="12"/>
  </cols>
  <sheetData>
    <row r="1" spans="1:2">
      <c r="A1" s="13"/>
      <c r="B1" s="14"/>
    </row>
    <row r="2" spans="1:2">
      <c r="A2" s="13" t="s">
        <v>71</v>
      </c>
      <c r="B2" s="15">
        <v>4096</v>
      </c>
    </row>
    <row r="3" spans="1:2">
      <c r="A3" s="13" t="s">
        <v>73</v>
      </c>
      <c r="B3" s="15">
        <v>3000</v>
      </c>
    </row>
    <row r="4" spans="1:2">
      <c r="A4" s="13" t="s">
        <v>83</v>
      </c>
      <c r="B4" s="15">
        <v>60000</v>
      </c>
    </row>
    <row r="5" spans="1:2">
      <c r="A5" s="13" t="s">
        <v>87</v>
      </c>
      <c r="B5" s="15">
        <v>8</v>
      </c>
    </row>
    <row r="6" spans="1:2">
      <c r="A6" s="13" t="s">
        <v>89</v>
      </c>
      <c r="B6" s="15">
        <v>1500</v>
      </c>
    </row>
    <row r="7" spans="1:2">
      <c r="A7" s="13" t="s">
        <v>91</v>
      </c>
      <c r="B7" s="15">
        <v>0</v>
      </c>
    </row>
    <row r="8" spans="1:2">
      <c r="A8" s="13" t="s">
        <v>93</v>
      </c>
      <c r="B8" s="16">
        <f>IF((ROUNDDOWN((I40-(62+B6-36)*O60-62-O61-170)/(O60+3),0)-12)&gt;180000,180000,ROUNDDOWN((I40-(62+B6-36)*O60-62-O61-170)/(O60+3),0)-12)</f>
        <v>132454</v>
      </c>
    </row>
    <row r="9" spans="1:2">
      <c r="A9" s="13" t="s">
        <v>95</v>
      </c>
      <c r="B9" s="15">
        <v>9</v>
      </c>
    </row>
    <row r="10" spans="1:2">
      <c r="A10" s="13" t="s">
        <v>97</v>
      </c>
      <c r="B10" s="15">
        <v>0</v>
      </c>
    </row>
    <row r="11" spans="1:2">
      <c r="A11" s="13" t="s">
        <v>99</v>
      </c>
      <c r="B11" s="15">
        <v>1000</v>
      </c>
    </row>
    <row r="12" spans="1:2">
      <c r="A12" s="13" t="s">
        <v>101</v>
      </c>
      <c r="B12" s="15">
        <v>10</v>
      </c>
    </row>
    <row r="13" spans="1:2">
      <c r="A13" s="13" t="s">
        <v>103</v>
      </c>
      <c r="B13" s="16">
        <f>IF((100-ROUNDDOWN(I41*10/(1250000*B11/10),0)-1)&lt;0,0,(100-ROUNDDOWN(I41*10/(1250000*B11/10),0)-1))</f>
        <v>98</v>
      </c>
    </row>
    <row r="14" spans="1:2" hidden="1">
      <c r="A14" s="13"/>
      <c r="B14" s="16">
        <f>IF(O24="GIGE",INT(INT(INT(INT(B2*INT(1000000000/I23)/10)*IF(B5=8,1,2)/10)*B3/10)*10/(100-B12))*10,"-")</f>
        <v>118961330</v>
      </c>
    </row>
    <row r="15" spans="1:2">
      <c r="A15" s="13"/>
      <c r="B15" s="16"/>
    </row>
    <row r="16" spans="1:2" ht="14.25">
      <c r="A16" s="17"/>
      <c r="B16" s="18"/>
    </row>
    <row r="17" spans="1:23" ht="14.25">
      <c r="A17" s="17" t="s">
        <v>136</v>
      </c>
      <c r="B17" s="19">
        <f>1000000/I23</f>
        <v>8.7133060897296257</v>
      </c>
    </row>
    <row r="19" spans="1:23" ht="40.5" hidden="1">
      <c r="A19" s="20" t="s">
        <v>208</v>
      </c>
      <c r="B19" s="20" t="s">
        <v>209</v>
      </c>
      <c r="C19" s="21" t="s">
        <v>210</v>
      </c>
      <c r="D19" s="22"/>
      <c r="F19" s="153" t="s">
        <v>211</v>
      </c>
      <c r="G19" s="154"/>
      <c r="H19" s="154"/>
      <c r="I19" s="154"/>
      <c r="J19" s="155"/>
      <c r="L19" s="153" t="s">
        <v>212</v>
      </c>
      <c r="M19" s="154"/>
      <c r="N19" s="154"/>
      <c r="O19" s="154"/>
      <c r="P19" s="155"/>
      <c r="R19" s="28" t="s">
        <v>213</v>
      </c>
      <c r="S19" s="29"/>
      <c r="T19" s="29"/>
      <c r="U19" s="29"/>
      <c r="V19" s="62"/>
      <c r="W19" s="89"/>
    </row>
    <row r="20" spans="1:23" ht="27" hidden="1">
      <c r="A20" s="156" t="s">
        <v>214</v>
      </c>
      <c r="B20" s="157"/>
      <c r="C20" s="157"/>
      <c r="D20" s="158"/>
      <c r="F20" s="23" t="s">
        <v>215</v>
      </c>
      <c r="G20" s="24" t="s">
        <v>216</v>
      </c>
      <c r="H20" s="25" t="s">
        <v>217</v>
      </c>
      <c r="I20" s="24" t="s">
        <v>218</v>
      </c>
      <c r="J20" s="61" t="s">
        <v>219</v>
      </c>
      <c r="L20" s="137" t="s">
        <v>220</v>
      </c>
      <c r="M20" s="138"/>
      <c r="N20" s="138"/>
      <c r="O20" s="138"/>
      <c r="P20" s="139"/>
      <c r="R20" s="26" t="s">
        <v>221</v>
      </c>
      <c r="S20" s="24" t="s">
        <v>216</v>
      </c>
      <c r="T20" s="24" t="s">
        <v>222</v>
      </c>
      <c r="U20" s="24" t="s">
        <v>223</v>
      </c>
      <c r="V20" s="24" t="s">
        <v>217</v>
      </c>
      <c r="W20" s="27" t="s">
        <v>224</v>
      </c>
    </row>
    <row r="21" spans="1:23" ht="40.5" hidden="1">
      <c r="A21" s="26" t="s">
        <v>215</v>
      </c>
      <c r="B21" s="24" t="s">
        <v>216</v>
      </c>
      <c r="C21" s="24" t="s">
        <v>225</v>
      </c>
      <c r="D21" s="27" t="s">
        <v>226</v>
      </c>
      <c r="F21" s="137" t="s">
        <v>116</v>
      </c>
      <c r="G21" s="138"/>
      <c r="H21" s="138"/>
      <c r="I21" s="138"/>
      <c r="J21" s="139"/>
      <c r="L21" s="26" t="s">
        <v>215</v>
      </c>
      <c r="M21" s="24" t="s">
        <v>216</v>
      </c>
      <c r="N21" s="24" t="s">
        <v>217</v>
      </c>
      <c r="O21" s="24" t="s">
        <v>227</v>
      </c>
      <c r="P21" s="63" t="s">
        <v>219</v>
      </c>
      <c r="R21" s="33" t="s">
        <v>228</v>
      </c>
      <c r="S21" s="90" t="s">
        <v>229</v>
      </c>
      <c r="T21" s="87">
        <v>520</v>
      </c>
      <c r="U21" s="91" t="str">
        <f>"R"&amp;T21&amp;"(R0x"&amp;DEC2HEX(T21)&amp;")"</f>
        <v>R520(R0x208)</v>
      </c>
      <c r="V21" s="31" t="s">
        <v>230</v>
      </c>
      <c r="W21" s="92">
        <v>1</v>
      </c>
    </row>
    <row r="22" spans="1:23" ht="229.5" hidden="1">
      <c r="A22" s="140" t="s">
        <v>86</v>
      </c>
      <c r="B22" s="141"/>
      <c r="C22" s="141"/>
      <c r="D22" s="142"/>
      <c r="F22" s="30" t="s">
        <v>173</v>
      </c>
      <c r="G22" s="31" t="s">
        <v>123</v>
      </c>
      <c r="H22" s="32" t="s">
        <v>231</v>
      </c>
      <c r="I22" s="64">
        <f>ROUNDUP(1000000*O28/O22,0)</f>
        <v>21520</v>
      </c>
      <c r="J22" s="65" t="s">
        <v>232</v>
      </c>
      <c r="L22" s="45"/>
      <c r="M22" s="45" t="s">
        <v>233</v>
      </c>
      <c r="N22" s="45" t="s">
        <v>234</v>
      </c>
      <c r="O22" s="66">
        <v>37500</v>
      </c>
      <c r="P22" s="65" t="s">
        <v>235</v>
      </c>
      <c r="R22" s="33" t="s">
        <v>236</v>
      </c>
      <c r="S22" s="146" t="s">
        <v>237</v>
      </c>
      <c r="T22" s="87">
        <v>1298</v>
      </c>
      <c r="U22" s="91" t="str">
        <f>"R"&amp;T22&amp;"(R0x"&amp;DEC2HEX(T22)&amp;")"</f>
        <v>R1298(R0x512)</v>
      </c>
      <c r="V22" s="151" t="s">
        <v>238</v>
      </c>
      <c r="W22" s="92" t="str">
        <f>DEC2HEX(D32+O27-(HEX2DEC(W23)*256))</f>
        <v>4</v>
      </c>
    </row>
    <row r="23" spans="1:23" ht="81" hidden="1">
      <c r="A23" s="33" t="s">
        <v>239</v>
      </c>
      <c r="B23" s="31" t="s">
        <v>240</v>
      </c>
      <c r="C23" s="31">
        <v>8</v>
      </c>
      <c r="F23" s="30" t="s">
        <v>241</v>
      </c>
      <c r="G23" s="31" t="s">
        <v>115</v>
      </c>
      <c r="H23" s="32" t="s">
        <v>242</v>
      </c>
      <c r="I23" s="67">
        <f>ROUNDUP(MAX(I27,I28,I30,I31)*I22/1000,0)</f>
        <v>114767</v>
      </c>
      <c r="J23" s="65" t="s">
        <v>243</v>
      </c>
      <c r="L23" s="45" t="s">
        <v>244</v>
      </c>
      <c r="M23" s="45" t="s">
        <v>245</v>
      </c>
      <c r="N23" s="45" t="s">
        <v>246</v>
      </c>
      <c r="O23" s="66" t="str">
        <f>IF(C19="mars-1231-32u3x","IMX253",IF(OR(C19="mars-1230-9gx",C19="mars-1230-23u3x"),"IMX304",IF(C19="mars-881-44u3x","IMX255",IF(OR(C19="mars-880-13gx",C19="mars-880-32u3x"),"IMX267","-"))))</f>
        <v>IMX304</v>
      </c>
      <c r="P23" s="45" t="s">
        <v>246</v>
      </c>
      <c r="R23" s="33" t="s">
        <v>247</v>
      </c>
      <c r="S23" s="147"/>
      <c r="T23" s="87">
        <v>1299</v>
      </c>
      <c r="U23" s="91" t="str">
        <f>"R"&amp;T23&amp;"(R0x"&amp;DEC2HEX(T23)&amp;")"</f>
        <v>R1299(R0x513)</v>
      </c>
      <c r="V23" s="152"/>
      <c r="W23" s="92" t="str">
        <f>DEC2HEX(INT((D32+O27)/256))</f>
        <v>0</v>
      </c>
    </row>
    <row r="24" spans="1:23" ht="67.5" hidden="1">
      <c r="A24" s="140" t="s">
        <v>82</v>
      </c>
      <c r="B24" s="141"/>
      <c r="C24" s="141"/>
      <c r="D24" s="142"/>
      <c r="F24" s="30" t="s">
        <v>248</v>
      </c>
      <c r="G24" s="31" t="s">
        <v>116</v>
      </c>
      <c r="H24" s="32" t="s">
        <v>249</v>
      </c>
      <c r="J24" s="65" t="s">
        <v>250</v>
      </c>
      <c r="L24" s="45" t="s">
        <v>251</v>
      </c>
      <c r="M24" s="45" t="s">
        <v>252</v>
      </c>
      <c r="N24" s="45" t="s">
        <v>246</v>
      </c>
      <c r="O24" s="66" t="str">
        <f>IF(OR(C19="mars-1230-9gx",C19="mars-880-13gx"),"GIGE",IF(OR(C19="mars-1231-32u3x",C19="mars-1230-23u3x",C19="mars-881-44u3x",C19="mars-880-32u3x"),"U3","-"))</f>
        <v>GIGE</v>
      </c>
      <c r="P24" s="45" t="s">
        <v>246</v>
      </c>
      <c r="R24" s="33" t="s">
        <v>253</v>
      </c>
      <c r="S24" s="146" t="s">
        <v>254</v>
      </c>
      <c r="T24" s="87">
        <v>1302</v>
      </c>
      <c r="U24" s="91" t="str">
        <f t="shared" ref="U24:U26" si="0">"R"&amp;T24&amp;"(R0x"&amp;DEC2HEX(T24)&amp;")"</f>
        <v>R1302(R0x516)</v>
      </c>
      <c r="V24" s="151" t="s">
        <v>255</v>
      </c>
      <c r="W24" s="92" t="str">
        <f>DEC2HEX(B3-HEX2DEC(W25)*256)</f>
        <v>B8</v>
      </c>
    </row>
    <row r="25" spans="1:23" ht="189" hidden="1">
      <c r="A25" s="33" t="s">
        <v>256</v>
      </c>
      <c r="B25" s="31" t="s">
        <v>257</v>
      </c>
      <c r="C25" s="31" t="str">
        <f>IF(C19="mars-1230-23u3x","40000",IF(OR(C19="mars-1230-9gx",C19="mars-880-13gx"),"60000",IF(OR(C19="mars-1231-32u3x",C19="mars-880-32u3x"),"30000",IF(C19="mars-881-44u3x","20000","-"))))</f>
        <v>60000</v>
      </c>
      <c r="F25" s="137" t="s">
        <v>258</v>
      </c>
      <c r="G25" s="138"/>
      <c r="H25" s="138"/>
      <c r="I25" s="138"/>
      <c r="J25" s="139"/>
      <c r="L25" s="33" t="s">
        <v>259</v>
      </c>
      <c r="M25" s="31" t="s">
        <v>260</v>
      </c>
      <c r="N25" s="42" t="s">
        <v>246</v>
      </c>
      <c r="O25" s="66">
        <v>8</v>
      </c>
      <c r="P25" s="65" t="s">
        <v>261</v>
      </c>
      <c r="R25" s="33" t="s">
        <v>262</v>
      </c>
      <c r="S25" s="147"/>
      <c r="T25" s="87">
        <v>1303</v>
      </c>
      <c r="U25" s="91" t="str">
        <f t="shared" si="0"/>
        <v>R1303(R0x517)</v>
      </c>
      <c r="V25" s="152"/>
      <c r="W25" s="92" t="str">
        <f>DEC2HEX(INT(B3/256))</f>
        <v>B</v>
      </c>
    </row>
    <row r="26" spans="1:23" ht="40.5" hidden="1">
      <c r="A26" s="33" t="s">
        <v>263</v>
      </c>
      <c r="B26" s="31" t="s">
        <v>84</v>
      </c>
      <c r="C26" s="31">
        <v>0</v>
      </c>
      <c r="D26" s="34">
        <v>0</v>
      </c>
      <c r="F26" s="30"/>
      <c r="G26" s="31"/>
      <c r="H26" s="35"/>
      <c r="I26" s="68"/>
      <c r="J26" s="69"/>
      <c r="L26" s="33"/>
      <c r="M26" s="31"/>
      <c r="N26" s="42"/>
      <c r="O26" s="66"/>
      <c r="P26" s="65"/>
      <c r="R26" s="33" t="s">
        <v>228</v>
      </c>
      <c r="S26" s="90" t="s">
        <v>229</v>
      </c>
      <c r="T26" s="87">
        <v>520</v>
      </c>
      <c r="U26" s="91" t="str">
        <f t="shared" si="0"/>
        <v>R520(R0x208)</v>
      </c>
      <c r="V26" s="31" t="s">
        <v>230</v>
      </c>
      <c r="W26" s="92">
        <v>0</v>
      </c>
    </row>
    <row r="27" spans="1:23" ht="189" hidden="1">
      <c r="A27" s="140" t="s">
        <v>264</v>
      </c>
      <c r="B27" s="141"/>
      <c r="C27" s="141"/>
      <c r="D27" s="142"/>
      <c r="F27" s="30" t="s">
        <v>265</v>
      </c>
      <c r="G27" s="31" t="s">
        <v>266</v>
      </c>
      <c r="H27" s="35" t="s">
        <v>267</v>
      </c>
      <c r="I27" s="68">
        <f>I39+O30</f>
        <v>3055</v>
      </c>
      <c r="J27" s="69" t="s">
        <v>268</v>
      </c>
      <c r="L27" s="33" t="s">
        <v>269</v>
      </c>
      <c r="M27" s="31" t="s">
        <v>260</v>
      </c>
      <c r="N27" s="42" t="s">
        <v>270</v>
      </c>
      <c r="O27" s="66">
        <f>IF(OR(O23="IMX253",O23="IMX304"),4,IF(OR(O23="IMX255",O23="IMX267"),8,"-"))</f>
        <v>4</v>
      </c>
      <c r="P27" s="65" t="s">
        <v>261</v>
      </c>
      <c r="R27" s="137" t="s">
        <v>271</v>
      </c>
      <c r="S27" s="138"/>
      <c r="T27" s="138"/>
      <c r="U27" s="138"/>
      <c r="V27" s="139"/>
      <c r="W27" s="89"/>
    </row>
    <row r="28" spans="1:23" ht="283.5" hidden="1">
      <c r="A28" s="33" t="s">
        <v>272</v>
      </c>
      <c r="B28" s="31" t="s">
        <v>273</v>
      </c>
      <c r="C28" s="31">
        <v>0</v>
      </c>
      <c r="D28" s="34">
        <v>0</v>
      </c>
      <c r="F28" s="36" t="s">
        <v>274</v>
      </c>
      <c r="G28" s="37" t="s">
        <v>275</v>
      </c>
      <c r="H28" s="37" t="s">
        <v>276</v>
      </c>
      <c r="I28" s="70">
        <f>I33+O31</f>
        <v>2800</v>
      </c>
      <c r="J28" s="71" t="s">
        <v>268</v>
      </c>
      <c r="L28" s="33" t="s">
        <v>124</v>
      </c>
      <c r="M28" s="31" t="s">
        <v>277</v>
      </c>
      <c r="N28" s="31" t="s">
        <v>278</v>
      </c>
      <c r="O28" s="66">
        <f>IF(O24="GIGE",807,IF(O24="U3",IF(B5=8,IF(O23="IMX253",417,IF(O23="IMX255",417,IF(O23="IMX304",522,IF(O23="IMX267",522,"-")))),IF(O23="IMX253",834,IF(O23="IMX255",834,IF(O23="IMX304",1044,IF(O23="IMX267",1044,"-")))))))</f>
        <v>807</v>
      </c>
      <c r="P28" s="65" t="s">
        <v>279</v>
      </c>
      <c r="R28" s="33" t="s">
        <v>280</v>
      </c>
      <c r="S28" s="31" t="s">
        <v>195</v>
      </c>
      <c r="T28" s="31"/>
      <c r="U28" s="31" t="str">
        <f>IF(O24="U3","0x1b0",IF(O24="GIGE","0x94","-"))</f>
        <v>0x94</v>
      </c>
      <c r="V28" s="31" t="s">
        <v>281</v>
      </c>
      <c r="W28" s="93" t="str">
        <f>IF(O24="U3",DEC2HEX(O28),IF(O24="GIGE",DEC2HEX(O28),"-"))</f>
        <v>327</v>
      </c>
    </row>
    <row r="29" spans="1:23" ht="283.5" hidden="1">
      <c r="A29" s="38"/>
      <c r="B29" s="39"/>
      <c r="C29" s="39"/>
      <c r="D29" s="40"/>
      <c r="F29" s="41"/>
      <c r="G29" s="42"/>
      <c r="H29" s="35"/>
      <c r="I29" s="68"/>
      <c r="J29" s="69"/>
      <c r="L29" s="33" t="s">
        <v>282</v>
      </c>
      <c r="M29" s="31" t="s">
        <v>283</v>
      </c>
      <c r="N29" s="31" t="s">
        <v>284</v>
      </c>
      <c r="O29" s="66">
        <f>IF(O24="GIGE",IF(O23="IMX253",678,IF(O23="IMX255",678,IF(O23="IMX304",807,IF(O23="IMX267",807,"-")))),"-")</f>
        <v>807</v>
      </c>
      <c r="P29" s="65" t="s">
        <v>279</v>
      </c>
      <c r="R29" s="33" t="s">
        <v>285</v>
      </c>
      <c r="S29" s="31" t="s">
        <v>286</v>
      </c>
      <c r="T29" s="31"/>
      <c r="U29" s="31" t="str">
        <f>IF(O23="U3","0x1b1",IF(O23="GIGE","0x95","-"))</f>
        <v>-</v>
      </c>
      <c r="V29" s="31" t="s">
        <v>287</v>
      </c>
      <c r="W29" s="92" t="e">
        <f>DEC2HEX(INT(#REF!/I21))</f>
        <v>#REF!</v>
      </c>
    </row>
    <row r="30" spans="1:23" ht="409.5" hidden="1">
      <c r="A30" s="140" t="s">
        <v>288</v>
      </c>
      <c r="B30" s="141"/>
      <c r="C30" s="141"/>
      <c r="D30" s="142"/>
      <c r="F30" s="30" t="s">
        <v>289</v>
      </c>
      <c r="G30" s="31" t="s">
        <v>290</v>
      </c>
      <c r="H30" s="31" t="s">
        <v>291</v>
      </c>
      <c r="I30" s="66">
        <f>ROUNDUP(((1000000000/B9)/I22)*B10,0)</f>
        <v>0</v>
      </c>
      <c r="J30" s="69" t="s">
        <v>268</v>
      </c>
      <c r="L30" s="33" t="s">
        <v>292</v>
      </c>
      <c r="M30" s="31" t="s">
        <v>293</v>
      </c>
      <c r="N30" s="42" t="s">
        <v>294</v>
      </c>
      <c r="O30" s="66">
        <f>IF(OR(O23="IMX253",O23="IMX255"),54,IF(OR(O23="IMX304",O23="IMX267"),34,"-"))</f>
        <v>34</v>
      </c>
      <c r="P30" s="72" t="s">
        <v>268</v>
      </c>
      <c r="R30" s="73" t="s">
        <v>295</v>
      </c>
      <c r="S30" s="37" t="s">
        <v>296</v>
      </c>
      <c r="T30" s="44"/>
      <c r="U30" s="44" t="str">
        <f>IF(O23="U3","0x1b4-0x1b5",IF(O24="GIGE","0x96","-"))</f>
        <v>0x96</v>
      </c>
      <c r="V30" s="44" t="s">
        <v>297</v>
      </c>
      <c r="W30" s="94" t="str">
        <f>DEC2HEX(I33)</f>
        <v>AE4</v>
      </c>
    </row>
    <row r="31" spans="1:23" ht="409.5" hidden="1">
      <c r="A31" s="33" t="s">
        <v>298</v>
      </c>
      <c r="B31" s="31" t="s">
        <v>299</v>
      </c>
      <c r="C31" s="31">
        <v>0</v>
      </c>
      <c r="D31" s="34">
        <v>0</v>
      </c>
      <c r="F31" s="30" t="s">
        <v>300</v>
      </c>
      <c r="G31" s="31" t="s">
        <v>163</v>
      </c>
      <c r="H31" s="42" t="s">
        <v>301</v>
      </c>
      <c r="I31" s="66">
        <f>IF(O24="U3",O40,IF(O24="GIGE",O72,"-"))</f>
        <v>5333</v>
      </c>
      <c r="J31" s="69" t="s">
        <v>268</v>
      </c>
      <c r="L31" s="45" t="s">
        <v>302</v>
      </c>
      <c r="M31" s="42" t="s">
        <v>303</v>
      </c>
      <c r="N31" s="42" t="s">
        <v>304</v>
      </c>
      <c r="O31" s="66">
        <f>IF(OR(O23="IMX253",O23="IMX255"),24,IF(OR(O23="IMX304",O23="IMX267"),12,"-"))</f>
        <v>12</v>
      </c>
      <c r="P31" s="72" t="s">
        <v>268</v>
      </c>
      <c r="R31" s="95" t="s">
        <v>305</v>
      </c>
      <c r="S31" s="47" t="s">
        <v>306</v>
      </c>
      <c r="T31" s="47"/>
      <c r="U31" s="47" t="str">
        <f>IF(O23="U3","0x1b6-0x1b7",IF(O24="GIGE","0x97","-"))</f>
        <v>0x97</v>
      </c>
      <c r="V31" s="47" t="s">
        <v>307</v>
      </c>
      <c r="W31" s="96" t="str">
        <f>DEC2HEX(MAX(I27,I28,I30,I31))</f>
        <v>14D5</v>
      </c>
    </row>
    <row r="32" spans="1:23" ht="409.5" hidden="1">
      <c r="A32" s="33" t="s">
        <v>308</v>
      </c>
      <c r="B32" s="31" t="s">
        <v>309</v>
      </c>
      <c r="C32" s="31">
        <v>0</v>
      </c>
      <c r="D32" s="34">
        <v>0</v>
      </c>
      <c r="F32" s="137" t="s">
        <v>310</v>
      </c>
      <c r="G32" s="138"/>
      <c r="H32" s="138"/>
      <c r="I32" s="138"/>
      <c r="J32" s="139"/>
      <c r="L32" s="73" t="s">
        <v>311</v>
      </c>
      <c r="M32" s="44" t="s">
        <v>312</v>
      </c>
      <c r="N32" s="37" t="s">
        <v>246</v>
      </c>
      <c r="O32" s="74">
        <v>14260</v>
      </c>
      <c r="P32" s="75" t="s">
        <v>232</v>
      </c>
      <c r="R32" s="95" t="s">
        <v>313</v>
      </c>
      <c r="S32" s="47">
        <v>32</v>
      </c>
      <c r="T32" s="47"/>
      <c r="U32" s="47" t="str">
        <f>"0x"&amp;DEC2HEX(S32)</f>
        <v>0x20</v>
      </c>
      <c r="V32" s="47" t="s">
        <v>314</v>
      </c>
      <c r="W32" s="96">
        <v>1</v>
      </c>
    </row>
    <row r="33" spans="1:26" ht="135" hidden="1">
      <c r="A33" s="33" t="s">
        <v>71</v>
      </c>
      <c r="B33" s="31" t="s">
        <v>70</v>
      </c>
      <c r="C33" s="31">
        <f>IF(OR(O23="IMX253",O23="IMX304",O23="IMX255",O23="IMX267"),4096,"-")</f>
        <v>4096</v>
      </c>
      <c r="F33" s="43" t="s">
        <v>315</v>
      </c>
      <c r="G33" s="44" t="s">
        <v>316</v>
      </c>
      <c r="H33" s="44" t="s">
        <v>317</v>
      </c>
      <c r="I33" s="70">
        <f>MAX(ROUNDUP(((1000*B4-O32)/I22),0),1)</f>
        <v>2788</v>
      </c>
      <c r="J33" s="71" t="s">
        <v>268</v>
      </c>
      <c r="L33" s="76" t="s">
        <v>318</v>
      </c>
      <c r="M33" s="35" t="s">
        <v>319</v>
      </c>
      <c r="N33" s="35" t="s">
        <v>320</v>
      </c>
      <c r="O33" s="77">
        <f>IF(O24="U3",3950,IF(O24="GIGE",IF(O23="IMX304",1106,IF(O23="IMX267",1250,"-")),"-"))</f>
        <v>1106</v>
      </c>
      <c r="P33" s="78" t="s">
        <v>321</v>
      </c>
    </row>
    <row r="34" spans="1:26" ht="67.5" hidden="1">
      <c r="A34" s="33" t="s">
        <v>73</v>
      </c>
      <c r="B34" s="31" t="s">
        <v>72</v>
      </c>
      <c r="C34" s="31">
        <f>IF(OR(O23="IMX253",O23="IMX304"),3000,IF(OR(O23="IMX255",O23="IMX267"),2160,"-"))</f>
        <v>3000</v>
      </c>
      <c r="F34" s="30" t="s">
        <v>322</v>
      </c>
      <c r="G34" s="31" t="s">
        <v>323</v>
      </c>
      <c r="H34" s="31">
        <v>0</v>
      </c>
      <c r="I34" s="66">
        <v>0</v>
      </c>
      <c r="J34" s="65" t="s">
        <v>243</v>
      </c>
      <c r="L34" s="137" t="s">
        <v>324</v>
      </c>
      <c r="M34" s="138"/>
      <c r="N34" s="138"/>
      <c r="O34" s="138"/>
      <c r="P34" s="139"/>
    </row>
    <row r="35" spans="1:26" ht="94.5" hidden="1">
      <c r="A35" s="140" t="s">
        <v>325</v>
      </c>
      <c r="B35" s="141"/>
      <c r="C35" s="141"/>
      <c r="D35" s="142"/>
      <c r="F35" s="30" t="s">
        <v>326</v>
      </c>
      <c r="G35" s="31" t="s">
        <v>327</v>
      </c>
      <c r="H35" s="31" t="s">
        <v>328</v>
      </c>
      <c r="I35" s="66">
        <f>IF(B4&gt;100,B4,100)</f>
        <v>60000</v>
      </c>
      <c r="J35" s="65" t="s">
        <v>243</v>
      </c>
      <c r="L35" s="26" t="s">
        <v>215</v>
      </c>
      <c r="M35" s="24" t="s">
        <v>216</v>
      </c>
      <c r="N35" s="24" t="s">
        <v>217</v>
      </c>
      <c r="O35" s="24" t="s">
        <v>227</v>
      </c>
      <c r="P35" s="63" t="s">
        <v>219</v>
      </c>
    </row>
    <row r="36" spans="1:26" ht="135" hidden="1">
      <c r="A36" s="45" t="s">
        <v>329</v>
      </c>
      <c r="B36" s="31" t="s">
        <v>330</v>
      </c>
      <c r="C36" s="31">
        <v>0</v>
      </c>
      <c r="D36" s="34">
        <v>0</v>
      </c>
      <c r="F36" s="30" t="s">
        <v>331</v>
      </c>
      <c r="G36" s="31" t="s">
        <v>332</v>
      </c>
      <c r="H36" s="32" t="s">
        <v>333</v>
      </c>
      <c r="I36" s="66">
        <f>(B4+11*I22)/1000+I39*I22/1000</f>
        <v>65308.639999999999</v>
      </c>
      <c r="J36" s="65" t="s">
        <v>243</v>
      </c>
      <c r="L36" s="33" t="s">
        <v>334</v>
      </c>
      <c r="M36" s="31" t="s">
        <v>161</v>
      </c>
      <c r="N36" s="31">
        <v>52</v>
      </c>
      <c r="O36" s="66">
        <v>52</v>
      </c>
      <c r="P36" s="65" t="s">
        <v>335</v>
      </c>
    </row>
    <row r="37" spans="1:26" ht="81" hidden="1">
      <c r="A37" s="45" t="s">
        <v>336</v>
      </c>
      <c r="B37" s="31" t="s">
        <v>330</v>
      </c>
      <c r="C37" s="31">
        <v>0</v>
      </c>
      <c r="D37" s="34">
        <v>0</v>
      </c>
      <c r="F37" s="30" t="s">
        <v>337</v>
      </c>
      <c r="G37" s="31" t="s">
        <v>338</v>
      </c>
      <c r="H37" s="31" t="s">
        <v>339</v>
      </c>
      <c r="I37" s="79" t="str">
        <f>IF(O24="U3",B17*O39/1000000,"-")</f>
        <v>-</v>
      </c>
      <c r="J37" s="65" t="s">
        <v>340</v>
      </c>
      <c r="L37" s="33" t="s">
        <v>341</v>
      </c>
      <c r="M37" s="31" t="s">
        <v>342</v>
      </c>
      <c r="N37" s="31" t="s">
        <v>343</v>
      </c>
      <c r="O37" s="66">
        <f>IF(B5=1,36,32)</f>
        <v>32</v>
      </c>
      <c r="P37" s="65" t="s">
        <v>335</v>
      </c>
      <c r="T37" s="97"/>
    </row>
    <row r="38" spans="1:26" ht="81" hidden="1">
      <c r="A38" s="46" t="s">
        <v>344</v>
      </c>
      <c r="B38" s="47" t="s">
        <v>330</v>
      </c>
      <c r="C38" s="47">
        <v>0</v>
      </c>
      <c r="D38" s="48">
        <v>0</v>
      </c>
      <c r="F38" s="43" t="s">
        <v>345</v>
      </c>
      <c r="G38" s="44" t="s">
        <v>346</v>
      </c>
      <c r="H38" s="44" t="s">
        <v>347</v>
      </c>
      <c r="J38" s="75" t="s">
        <v>348</v>
      </c>
      <c r="L38" s="33" t="s">
        <v>349</v>
      </c>
      <c r="M38" s="31" t="s">
        <v>350</v>
      </c>
      <c r="N38" s="31" t="s">
        <v>351</v>
      </c>
      <c r="O38" s="79">
        <f>B2*B3*IF(B5=8,1,2)</f>
        <v>12288000</v>
      </c>
      <c r="P38" s="65" t="s">
        <v>335</v>
      </c>
      <c r="T38" s="97"/>
    </row>
    <row r="39" spans="1:26" ht="337.5" hidden="1">
      <c r="A39" s="148" t="s">
        <v>352</v>
      </c>
      <c r="B39" s="149"/>
      <c r="C39" s="149"/>
      <c r="D39" s="150"/>
      <c r="F39" s="49" t="s">
        <v>353</v>
      </c>
      <c r="G39" s="50" t="s">
        <v>354</v>
      </c>
      <c r="H39" s="50" t="s">
        <v>355</v>
      </c>
      <c r="I39" s="80">
        <f>IF(OR(O23="IMX253",O23="IMX255"),41,IF(OR(O23="IMX304",O23="IMX267"),21,"-"))+B3</f>
        <v>3021</v>
      </c>
      <c r="J39" s="69" t="s">
        <v>268</v>
      </c>
      <c r="L39" s="33" t="s">
        <v>356</v>
      </c>
      <c r="M39" s="31" t="s">
        <v>193</v>
      </c>
      <c r="N39" s="31" t="s">
        <v>357</v>
      </c>
      <c r="O39" s="79">
        <f>O36+O37+O38+(8+16*D36+16*D37)*D38</f>
        <v>12288084</v>
      </c>
      <c r="P39" s="65" t="s">
        <v>335</v>
      </c>
      <c r="T39" s="97"/>
    </row>
    <row r="40" spans="1:26" ht="121.5" hidden="1">
      <c r="A40" s="33" t="s">
        <v>358</v>
      </c>
      <c r="B40" s="31" t="s">
        <v>359</v>
      </c>
      <c r="C40" s="31">
        <v>0</v>
      </c>
      <c r="D40" s="34">
        <v>0</v>
      </c>
      <c r="F40" s="43" t="s">
        <v>360</v>
      </c>
      <c r="G40" s="51" t="s">
        <v>117</v>
      </c>
      <c r="H40" s="44" t="s">
        <v>361</v>
      </c>
      <c r="I40" s="70">
        <f>12500*B11*(100-B12)</f>
        <v>1125000000</v>
      </c>
      <c r="J40" s="75"/>
      <c r="L40" s="33" t="s">
        <v>362</v>
      </c>
      <c r="M40" s="31" t="s">
        <v>163</v>
      </c>
      <c r="N40" s="42" t="s">
        <v>363</v>
      </c>
      <c r="O40" s="66">
        <f>ROUNDUP((MAX((O39*1000000/D41)*D40,O39*10/O33)*1000/I22),0)</f>
        <v>5163</v>
      </c>
      <c r="P40" s="65" t="s">
        <v>268</v>
      </c>
      <c r="R40" s="98"/>
      <c r="S40" s="97"/>
      <c r="T40" s="97"/>
      <c r="U40" s="97"/>
      <c r="V40" s="97"/>
      <c r="Y40" s="97"/>
      <c r="Z40" s="97"/>
    </row>
    <row r="41" spans="1:26" ht="324" hidden="1">
      <c r="A41" s="33" t="s">
        <v>364</v>
      </c>
      <c r="B41" s="31" t="s">
        <v>365</v>
      </c>
      <c r="C41" s="31">
        <v>300000000</v>
      </c>
      <c r="D41" s="34">
        <v>350000000</v>
      </c>
      <c r="F41" s="52" t="s">
        <v>366</v>
      </c>
      <c r="G41" s="53" t="s">
        <v>120</v>
      </c>
      <c r="H41" s="54" t="s">
        <v>367</v>
      </c>
      <c r="I41" s="81">
        <f>((62+(B6-36))*O60+62+O61+168)+(B7+12)*(O60+3)</f>
        <v>12909348</v>
      </c>
      <c r="J41" s="82"/>
      <c r="L41" s="137" t="s">
        <v>368</v>
      </c>
      <c r="M41" s="138"/>
      <c r="N41" s="138"/>
      <c r="O41" s="138"/>
      <c r="P41" s="139"/>
      <c r="R41" s="98"/>
      <c r="S41" s="97"/>
      <c r="T41" s="97"/>
      <c r="U41" s="97"/>
      <c r="V41" s="97"/>
      <c r="Y41" s="97"/>
      <c r="Z41" s="97"/>
    </row>
    <row r="42" spans="1:26" ht="27" hidden="1">
      <c r="A42" s="140" t="s">
        <v>369</v>
      </c>
      <c r="B42" s="141"/>
      <c r="C42" s="141"/>
      <c r="D42" s="142"/>
      <c r="F42" s="55"/>
      <c r="L42" s="26" t="s">
        <v>215</v>
      </c>
      <c r="M42" s="24" t="s">
        <v>216</v>
      </c>
      <c r="N42" s="24" t="s">
        <v>217</v>
      </c>
      <c r="O42" s="24" t="s">
        <v>227</v>
      </c>
      <c r="P42" s="63" t="s">
        <v>219</v>
      </c>
      <c r="R42" s="98"/>
      <c r="S42" s="97"/>
      <c r="T42" s="97"/>
      <c r="U42" s="97"/>
      <c r="V42" s="97"/>
      <c r="Y42" s="97"/>
      <c r="Z42" s="97"/>
    </row>
    <row r="43" spans="1:26" ht="27" hidden="1">
      <c r="A43" s="33" t="s">
        <v>370</v>
      </c>
      <c r="B43" s="31" t="s">
        <v>371</v>
      </c>
      <c r="C43" s="56" t="s">
        <v>246</v>
      </c>
      <c r="F43" s="55"/>
      <c r="L43" s="33" t="s">
        <v>372</v>
      </c>
      <c r="M43" s="31" t="s">
        <v>373</v>
      </c>
      <c r="N43" s="31" t="s">
        <v>374</v>
      </c>
      <c r="O43" s="66">
        <v>7</v>
      </c>
      <c r="P43" s="65" t="s">
        <v>335</v>
      </c>
      <c r="R43" s="98"/>
      <c r="S43" s="97"/>
      <c r="T43" s="97"/>
      <c r="U43" s="97"/>
      <c r="V43" s="97"/>
      <c r="Y43" s="97"/>
      <c r="Z43" s="97"/>
    </row>
    <row r="44" spans="1:26" ht="81" hidden="1">
      <c r="A44" s="33" t="s">
        <v>89</v>
      </c>
      <c r="B44" s="31" t="s">
        <v>375</v>
      </c>
      <c r="C44" s="56">
        <v>1500</v>
      </c>
      <c r="F44" s="55"/>
      <c r="L44" s="33" t="s">
        <v>376</v>
      </c>
      <c r="M44" s="31" t="s">
        <v>377</v>
      </c>
      <c r="N44" s="31" t="s">
        <v>378</v>
      </c>
      <c r="O44" s="66">
        <v>1</v>
      </c>
      <c r="P44" s="65" t="s">
        <v>335</v>
      </c>
      <c r="R44" s="98"/>
      <c r="S44" s="97"/>
      <c r="T44" s="97"/>
      <c r="U44" s="97"/>
      <c r="V44" s="97"/>
      <c r="Y44" s="97"/>
      <c r="Z44" s="97"/>
    </row>
    <row r="45" spans="1:26" ht="40.5" hidden="1">
      <c r="A45" s="33" t="s">
        <v>91</v>
      </c>
      <c r="B45" s="31" t="str">
        <f>"包间隔(不包括12B最小值的部分 范围:0-"&amp;B8</f>
        <v>包间隔(不包括12B最小值的部分 范围:0-132454</v>
      </c>
      <c r="C45" s="56">
        <v>0</v>
      </c>
      <c r="F45" s="55"/>
      <c r="L45" s="33" t="s">
        <v>379</v>
      </c>
      <c r="M45" s="31" t="s">
        <v>380</v>
      </c>
      <c r="N45" s="31" t="s">
        <v>381</v>
      </c>
      <c r="O45" s="66">
        <v>14</v>
      </c>
      <c r="P45" s="65" t="s">
        <v>335</v>
      </c>
      <c r="R45" s="98"/>
      <c r="S45" s="97"/>
      <c r="T45" s="97"/>
      <c r="U45" s="97"/>
      <c r="V45" s="97"/>
      <c r="Y45" s="97"/>
      <c r="Z45" s="97"/>
    </row>
    <row r="46" spans="1:26" ht="27" hidden="1">
      <c r="A46" s="57" t="s">
        <v>382</v>
      </c>
      <c r="B46" s="51" t="s">
        <v>92</v>
      </c>
      <c r="C46" s="58">
        <v>180000</v>
      </c>
      <c r="F46" s="55"/>
      <c r="L46" s="33" t="s">
        <v>383</v>
      </c>
      <c r="M46" s="31" t="s">
        <v>384</v>
      </c>
      <c r="N46" s="31" t="s">
        <v>385</v>
      </c>
      <c r="O46" s="66">
        <v>20</v>
      </c>
      <c r="P46" s="65" t="s">
        <v>335</v>
      </c>
      <c r="R46" s="98"/>
      <c r="S46" s="97"/>
      <c r="T46" s="97"/>
      <c r="U46" s="97"/>
      <c r="V46" s="97"/>
      <c r="Y46" s="97"/>
      <c r="Z46" s="97"/>
    </row>
    <row r="47" spans="1:26" ht="40.5" hidden="1">
      <c r="A47" s="33" t="s">
        <v>101</v>
      </c>
      <c r="B47" s="31" t="str">
        <f>"预留带宽 范围:0-"&amp;B13</f>
        <v>预留带宽 范围:0-98</v>
      </c>
      <c r="C47" s="56">
        <v>10</v>
      </c>
      <c r="F47" s="55"/>
      <c r="L47" s="33" t="s">
        <v>386</v>
      </c>
      <c r="M47" s="31" t="s">
        <v>387</v>
      </c>
      <c r="N47" s="31" t="s">
        <v>388</v>
      </c>
      <c r="O47" s="66">
        <v>8</v>
      </c>
      <c r="P47" s="65" t="s">
        <v>335</v>
      </c>
      <c r="R47" s="98"/>
      <c r="S47" s="97"/>
      <c r="T47" s="97"/>
      <c r="U47" s="97"/>
      <c r="V47" s="97"/>
      <c r="Y47" s="97"/>
      <c r="Z47" s="97"/>
    </row>
    <row r="48" spans="1:26" ht="81" hidden="1">
      <c r="A48" s="59" t="s">
        <v>389</v>
      </c>
      <c r="B48" s="53" t="s">
        <v>102</v>
      </c>
      <c r="C48" s="60">
        <v>99</v>
      </c>
      <c r="F48" s="55"/>
      <c r="L48" s="33" t="s">
        <v>390</v>
      </c>
      <c r="M48" s="31" t="s">
        <v>391</v>
      </c>
      <c r="N48" s="31" t="s">
        <v>388</v>
      </c>
      <c r="O48" s="66">
        <v>8</v>
      </c>
      <c r="P48" s="65" t="s">
        <v>335</v>
      </c>
      <c r="R48" s="98"/>
      <c r="S48" s="97"/>
      <c r="T48" s="97"/>
      <c r="U48" s="97"/>
      <c r="V48" s="97"/>
      <c r="Y48" s="97"/>
      <c r="Z48" s="97"/>
    </row>
    <row r="49" spans="1:26" ht="27" hidden="1">
      <c r="A49" s="143" t="s">
        <v>392</v>
      </c>
      <c r="B49" s="144"/>
      <c r="C49" s="144"/>
      <c r="D49" s="145"/>
      <c r="F49" s="55"/>
      <c r="L49" s="33" t="s">
        <v>393</v>
      </c>
      <c r="M49" s="31" t="s">
        <v>394</v>
      </c>
      <c r="N49" s="31" t="s">
        <v>395</v>
      </c>
      <c r="O49" s="66">
        <v>4</v>
      </c>
      <c r="P49" s="65" t="s">
        <v>335</v>
      </c>
      <c r="R49" s="98"/>
      <c r="S49" s="97"/>
      <c r="T49" s="97"/>
      <c r="U49" s="97"/>
      <c r="V49" s="97"/>
      <c r="Y49" s="97"/>
      <c r="Z49" s="97"/>
    </row>
    <row r="50" spans="1:26" ht="40.5" hidden="1">
      <c r="A50" s="33" t="s">
        <v>396</v>
      </c>
      <c r="B50" s="31" t="s">
        <v>397</v>
      </c>
      <c r="C50" s="31">
        <v>0</v>
      </c>
      <c r="F50" s="55"/>
      <c r="L50" s="33" t="s">
        <v>398</v>
      </c>
      <c r="M50" s="31" t="s">
        <v>399</v>
      </c>
      <c r="N50" s="31" t="s">
        <v>400</v>
      </c>
      <c r="O50" s="66">
        <v>12</v>
      </c>
      <c r="P50" s="65" t="s">
        <v>335</v>
      </c>
      <c r="R50" s="98"/>
      <c r="S50" s="97"/>
      <c r="T50" s="97"/>
      <c r="U50" s="97"/>
      <c r="V50" s="97"/>
      <c r="Y50" s="97"/>
      <c r="Z50" s="97"/>
    </row>
    <row r="51" spans="1:26" ht="135" hidden="1">
      <c r="A51" s="33" t="s">
        <v>401</v>
      </c>
      <c r="B51" s="31" t="s">
        <v>402</v>
      </c>
      <c r="C51" s="31">
        <f>IF(O24="U3",IF(B5=8,IF(O23="IMX253",32,IF(O23="IMX255",44,IF(O23="IMX304",23,IF(O23="IMX267",32,"-")))),IF(O23="IMX253",16,IF(O23="IMX255",22,IF(O23="IMX304",12,IF(O23="IMX267",16,"-"))))),IF(O24="GIGE",IF(B5=8,IF(O23="IMX253",9,IF(O23="IMX255",12,IF(O23="IMX304",9,IF(O23="IMX267",12,"-")))),IF(O23="IMX253",4.5,IF(O23="IMX255",6,IF(O23="IMX304",4.5,IF(O23="IMX267",6,"-")))))))</f>
        <v>9</v>
      </c>
      <c r="F51" s="55"/>
      <c r="L51" s="33" t="s">
        <v>403</v>
      </c>
      <c r="M51" s="44" t="s">
        <v>404</v>
      </c>
      <c r="N51" s="31" t="s">
        <v>405</v>
      </c>
      <c r="O51" s="66">
        <f>O46+O47+O48</f>
        <v>36</v>
      </c>
      <c r="P51" s="65" t="s">
        <v>335</v>
      </c>
      <c r="R51" s="98"/>
      <c r="S51" s="97"/>
      <c r="T51" s="97"/>
      <c r="U51" s="97"/>
      <c r="V51" s="97"/>
      <c r="Y51" s="97"/>
      <c r="Z51" s="97"/>
    </row>
    <row r="52" spans="1:26" ht="108" hidden="1">
      <c r="F52" s="55"/>
      <c r="L52" s="33" t="s">
        <v>406</v>
      </c>
      <c r="M52" s="44" t="s">
        <v>407</v>
      </c>
      <c r="N52" s="31" t="s">
        <v>408</v>
      </c>
      <c r="O52" s="66">
        <f>O43+O44+O45+O49</f>
        <v>26</v>
      </c>
      <c r="P52" s="65" t="s">
        <v>335</v>
      </c>
      <c r="R52" s="98"/>
      <c r="S52" s="97"/>
      <c r="T52" s="97"/>
      <c r="U52" s="97"/>
      <c r="V52" s="97"/>
      <c r="Y52" s="97"/>
      <c r="Z52" s="97"/>
    </row>
    <row r="53" spans="1:26" ht="54" hidden="1">
      <c r="F53" s="55"/>
      <c r="L53" s="83" t="s">
        <v>409</v>
      </c>
      <c r="M53" s="84" t="s">
        <v>410</v>
      </c>
      <c r="N53" s="84" t="s">
        <v>411</v>
      </c>
      <c r="O53" s="85">
        <f>64-O45-O49-O51</f>
        <v>10</v>
      </c>
      <c r="P53" s="86" t="s">
        <v>335</v>
      </c>
      <c r="R53" s="98"/>
      <c r="S53" s="97"/>
      <c r="T53" s="97"/>
      <c r="U53" s="97"/>
      <c r="V53" s="97"/>
      <c r="Y53" s="97"/>
      <c r="Z53" s="97"/>
    </row>
    <row r="54" spans="1:26" ht="13.5" hidden="1" customHeight="1">
      <c r="A54" s="22"/>
      <c r="B54" s="22"/>
      <c r="C54" s="22"/>
      <c r="D54" s="22"/>
      <c r="F54" s="55"/>
      <c r="L54" s="137" t="s">
        <v>412</v>
      </c>
      <c r="M54" s="138"/>
      <c r="N54" s="138"/>
      <c r="O54" s="138"/>
      <c r="P54" s="139"/>
      <c r="R54" s="98"/>
      <c r="S54" s="97"/>
      <c r="T54" s="97"/>
      <c r="U54" s="97"/>
      <c r="V54" s="97"/>
      <c r="Y54" s="97"/>
      <c r="Z54" s="97"/>
    </row>
    <row r="55" spans="1:26" ht="27" hidden="1">
      <c r="A55" s="22"/>
      <c r="B55" s="22"/>
      <c r="C55" s="22"/>
      <c r="D55" s="22"/>
      <c r="F55" s="55"/>
      <c r="L55" s="26" t="s">
        <v>215</v>
      </c>
      <c r="M55" s="24" t="s">
        <v>216</v>
      </c>
      <c r="N55" s="24" t="s">
        <v>217</v>
      </c>
      <c r="O55" s="24" t="s">
        <v>227</v>
      </c>
      <c r="P55" s="63" t="s">
        <v>219</v>
      </c>
    </row>
    <row r="56" spans="1:26" ht="67.5" hidden="1">
      <c r="A56" s="22"/>
      <c r="B56" s="22"/>
      <c r="C56" s="22"/>
      <c r="D56" s="22"/>
      <c r="F56" s="55"/>
      <c r="L56" s="33" t="s">
        <v>334</v>
      </c>
      <c r="M56" s="31" t="s">
        <v>413</v>
      </c>
      <c r="N56" s="31" t="s">
        <v>414</v>
      </c>
      <c r="O56" s="66">
        <f>IF(D38=0,36,12)</f>
        <v>36</v>
      </c>
      <c r="P56" s="65" t="s">
        <v>335</v>
      </c>
    </row>
    <row r="57" spans="1:26" ht="81" hidden="1">
      <c r="A57" s="22"/>
      <c r="B57" s="22"/>
      <c r="C57" s="22"/>
      <c r="D57" s="22"/>
      <c r="F57" s="55"/>
      <c r="L57" s="33" t="s">
        <v>341</v>
      </c>
      <c r="M57" s="31" t="s">
        <v>415</v>
      </c>
      <c r="N57" s="31" t="s">
        <v>416</v>
      </c>
      <c r="O57" s="66">
        <v>10</v>
      </c>
      <c r="P57" s="65" t="s">
        <v>335</v>
      </c>
    </row>
    <row r="58" spans="1:26" ht="67.5" hidden="1">
      <c r="F58" s="55"/>
      <c r="L58" s="33" t="s">
        <v>349</v>
      </c>
      <c r="M58" s="31" t="s">
        <v>417</v>
      </c>
      <c r="N58" s="31" t="s">
        <v>351</v>
      </c>
      <c r="O58" s="79">
        <f>B2*B3*IF(B5=8,1,2)</f>
        <v>12288000</v>
      </c>
      <c r="P58" s="65" t="s">
        <v>335</v>
      </c>
    </row>
    <row r="59" spans="1:26" ht="81" hidden="1">
      <c r="F59" s="55"/>
      <c r="L59" s="33" t="s">
        <v>418</v>
      </c>
      <c r="M59" s="31" t="s">
        <v>419</v>
      </c>
      <c r="N59" s="87" t="s">
        <v>420</v>
      </c>
      <c r="O59" s="79">
        <f>O58+32*D38</f>
        <v>12288000</v>
      </c>
      <c r="P59" s="65" t="s">
        <v>335</v>
      </c>
    </row>
    <row r="60" spans="1:26" ht="54" hidden="1">
      <c r="F60" s="55"/>
      <c r="L60" s="33" t="s">
        <v>421</v>
      </c>
      <c r="M60" s="31" t="s">
        <v>189</v>
      </c>
      <c r="N60" s="31" t="s">
        <v>422</v>
      </c>
      <c r="O60" s="88">
        <f>INT(O59/(B6-O51))</f>
        <v>8393</v>
      </c>
      <c r="P60" s="65"/>
    </row>
    <row r="61" spans="1:26" ht="54" hidden="1">
      <c r="F61" s="55"/>
      <c r="L61" s="33" t="s">
        <v>423</v>
      </c>
      <c r="M61" s="31" t="s">
        <v>424</v>
      </c>
      <c r="N61" s="31" t="s">
        <v>425</v>
      </c>
      <c r="O61" s="88">
        <f>O59-(B6-O51)*O60</f>
        <v>648</v>
      </c>
      <c r="P61" s="65" t="s">
        <v>335</v>
      </c>
    </row>
    <row r="62" spans="1:26" ht="54" hidden="1">
      <c r="F62" s="55"/>
      <c r="L62" s="45" t="s">
        <v>426</v>
      </c>
      <c r="M62" s="42" t="s">
        <v>190</v>
      </c>
      <c r="N62" s="42" t="s">
        <v>427</v>
      </c>
      <c r="O62" s="66">
        <f>IF(MOD(O58,(B6-O51))=0,0,1)</f>
        <v>1</v>
      </c>
      <c r="P62" s="65"/>
    </row>
    <row r="63" spans="1:26" ht="135" hidden="1">
      <c r="F63" s="55"/>
      <c r="L63" s="33" t="s">
        <v>428</v>
      </c>
      <c r="M63" s="31" t="s">
        <v>429</v>
      </c>
      <c r="N63" s="42" t="s">
        <v>430</v>
      </c>
      <c r="O63" s="88">
        <f>IF(O61&lt;O53,O53,O61)</f>
        <v>648</v>
      </c>
      <c r="P63" s="65" t="s">
        <v>335</v>
      </c>
    </row>
    <row r="64" spans="1:26" ht="162" hidden="1">
      <c r="F64" s="55"/>
      <c r="L64" s="45" t="s">
        <v>431</v>
      </c>
      <c r="M64" s="42" t="s">
        <v>432</v>
      </c>
      <c r="N64" s="42" t="s">
        <v>433</v>
      </c>
      <c r="O64" s="88">
        <f>O52+O51+O56</f>
        <v>98</v>
      </c>
      <c r="P64" s="65" t="s">
        <v>335</v>
      </c>
    </row>
    <row r="65" spans="6:16" ht="175.5" hidden="1">
      <c r="F65" s="55"/>
      <c r="L65" s="45" t="s">
        <v>434</v>
      </c>
      <c r="M65" s="42" t="s">
        <v>435</v>
      </c>
      <c r="N65" s="42" t="s">
        <v>433</v>
      </c>
      <c r="O65" s="88">
        <f>O52+O51+O57</f>
        <v>72</v>
      </c>
      <c r="P65" s="65" t="s">
        <v>335</v>
      </c>
    </row>
    <row r="66" spans="6:16" ht="175.5" hidden="1">
      <c r="F66" s="55"/>
      <c r="L66" s="45" t="s">
        <v>436</v>
      </c>
      <c r="M66" s="42" t="s">
        <v>437</v>
      </c>
      <c r="N66" s="42" t="s">
        <v>438</v>
      </c>
      <c r="O66" s="88">
        <f>O60*(B6+O52)+O62*(O63+O52+O51)</f>
        <v>12808428</v>
      </c>
      <c r="P66" s="65" t="s">
        <v>335</v>
      </c>
    </row>
    <row r="67" spans="6:16" ht="297" hidden="1">
      <c r="F67" s="55"/>
      <c r="L67" s="45" t="s">
        <v>439</v>
      </c>
      <c r="M67" s="42" t="s">
        <v>440</v>
      </c>
      <c r="N67" s="42" t="s">
        <v>441</v>
      </c>
      <c r="O67" s="88">
        <f>(2+O62+O60)*(B7+O50)</f>
        <v>100752</v>
      </c>
      <c r="P67" s="65" t="s">
        <v>335</v>
      </c>
    </row>
    <row r="68" spans="6:16" ht="135" hidden="1">
      <c r="F68" s="55"/>
      <c r="L68" s="33" t="s">
        <v>356</v>
      </c>
      <c r="M68" s="31" t="s">
        <v>442</v>
      </c>
      <c r="N68" s="50" t="s">
        <v>443</v>
      </c>
      <c r="O68" s="79">
        <f>O64+O65+O66+O67</f>
        <v>12909350</v>
      </c>
      <c r="P68" s="65" t="s">
        <v>335</v>
      </c>
    </row>
    <row r="69" spans="6:16" ht="67.5" hidden="1">
      <c r="F69" s="55"/>
      <c r="L69" s="76" t="s">
        <v>444</v>
      </c>
      <c r="M69" s="35" t="s">
        <v>164</v>
      </c>
      <c r="N69" s="35" t="s">
        <v>445</v>
      </c>
      <c r="O69" s="68">
        <f>INT(B11*(100-B12)/80)</f>
        <v>1125</v>
      </c>
      <c r="P69" s="78" t="s">
        <v>446</v>
      </c>
    </row>
    <row r="70" spans="6:16" ht="67.5" hidden="1">
      <c r="F70" s="55"/>
      <c r="L70" s="76" t="s">
        <v>447</v>
      </c>
      <c r="M70" s="50" t="s">
        <v>194</v>
      </c>
      <c r="N70" s="35" t="s">
        <v>448</v>
      </c>
      <c r="O70" s="68">
        <f>ROUNDUP(ROUNDUP(O68*1000/O69,0)*10/I22,0)</f>
        <v>5333</v>
      </c>
      <c r="P70" s="99" t="s">
        <v>268</v>
      </c>
    </row>
    <row r="71" spans="6:16" ht="81" hidden="1">
      <c r="F71" s="55"/>
      <c r="L71" s="76" t="s">
        <v>449</v>
      </c>
      <c r="M71" s="50" t="s">
        <v>162</v>
      </c>
      <c r="N71" s="35" t="s">
        <v>450</v>
      </c>
      <c r="O71" s="68">
        <f>ROUNDUP((O59+O56+O57)*10*1000/O33/I22,0)</f>
        <v>5163</v>
      </c>
      <c r="P71" s="99" t="s">
        <v>268</v>
      </c>
    </row>
    <row r="72" spans="6:16" ht="67.5" hidden="1">
      <c r="F72" s="55"/>
      <c r="L72" s="100" t="s">
        <v>451</v>
      </c>
      <c r="M72" s="101" t="s">
        <v>163</v>
      </c>
      <c r="N72" s="102" t="s">
        <v>452</v>
      </c>
      <c r="O72" s="77">
        <f>MAX(O70,O71)</f>
        <v>5333</v>
      </c>
      <c r="P72" s="103" t="s">
        <v>268</v>
      </c>
    </row>
    <row r="73" spans="6:16" hidden="1">
      <c r="F73" s="55"/>
    </row>
    <row r="74" spans="6:16" hidden="1">
      <c r="F74" s="55"/>
    </row>
    <row r="75" spans="6:16" hidden="1"/>
    <row r="76" spans="6:16" hidden="1"/>
  </sheetData>
  <sheetProtection algorithmName="SHA-512" hashValue="31cOMBcJvBaJqznqBsh4YtaOBFEtV5FRC+x/23tNCqnayJToT4g/oN/WkW1qRi0hhT76SfwwjVZVFwjRpBkyRQ==" saltValue="Sz57lhfb1Xvkaghy1lZwwg==" spinCount="100000" sheet="1" objects="1" scenarios="1"/>
  <mergeCells count="23">
    <mergeCell ref="V22:V23"/>
    <mergeCell ref="V24:V25"/>
    <mergeCell ref="F19:J19"/>
    <mergeCell ref="L19:P19"/>
    <mergeCell ref="A20:D20"/>
    <mergeCell ref="L20:P20"/>
    <mergeCell ref="F21:J21"/>
    <mergeCell ref="L41:P41"/>
    <mergeCell ref="A42:D42"/>
    <mergeCell ref="A49:D49"/>
    <mergeCell ref="L54:P54"/>
    <mergeCell ref="S22:S23"/>
    <mergeCell ref="S24:S25"/>
    <mergeCell ref="A30:D30"/>
    <mergeCell ref="F32:J32"/>
    <mergeCell ref="L34:P34"/>
    <mergeCell ref="A35:D35"/>
    <mergeCell ref="A39:D39"/>
    <mergeCell ref="A22:D22"/>
    <mergeCell ref="A24:D24"/>
    <mergeCell ref="F25:J25"/>
    <mergeCell ref="A27:D27"/>
    <mergeCell ref="R27:V27"/>
  </mergeCells>
  <phoneticPr fontId="10" type="noConversion"/>
  <dataValidations count="17">
    <dataValidation allowBlank="1" showInputMessage="1" showErrorMessage="1" error="输入范围是64~1024，步长为2" sqref="A1:B1"/>
    <dataValidation type="custom" allowBlank="1" showInputMessage="1" showErrorMessage="1" error="input range is 512~8192,step is 4" sqref="B6">
      <formula1>AND((B6&lt;=8192),(B6&gt;=512),(MOD(B6,4)=0))</formula1>
    </dataValidation>
    <dataValidation type="custom" allowBlank="1" showInputMessage="1" showErrorMessage="1" errorTitle="Invalid input value" error="minimum value  is 64,maximum value is 4096,step is 4" sqref="B2">
      <formula1>AND((B2&lt;=4096),(B2&gt;=64),(MOD(B2,4)=0))</formula1>
    </dataValidation>
    <dataValidation type="custom" allowBlank="1" showInputMessage="1" showErrorMessage="1" error="input range is 0.1~10000.0,accurate to one decimal" sqref="B9">
      <formula1>AND(TRUNC(B9,1)=B9,(B9&gt;=0.1),(B9&lt;=10000))</formula1>
    </dataValidation>
    <dataValidation type="custom" allowBlank="1" showInputMessage="1" showErrorMessage="1" errorTitle="Invalid input value" error="input range is 64~3000,step is 2" sqref="B3">
      <formula1>AND((B3&lt;=3000),(B3&gt;=64),(MOD(B3,2)=0))</formula1>
    </dataValidation>
    <dataValidation type="list" allowBlank="1" showInputMessage="1" showErrorMessage="1" errorTitle="out of range " error="please input 0 or 1" sqref="B10">
      <formula1>"0,1"</formula1>
    </dataValidation>
    <dataValidation type="whole" allowBlank="1" showInputMessage="1" showErrorMessage="1" errorTitle="out of range " error="input range is 36us-1s" sqref="B4">
      <formula1>36</formula1>
      <formula2>1000000</formula2>
    </dataValidation>
    <dataValidation type="custom" allowBlank="1" showInputMessage="1" showErrorMessage="1" error="please input 8 or 12" sqref="B5">
      <formula1>OR((B5=8),(B5=12))</formula1>
    </dataValidation>
    <dataValidation type="whole" allowBlank="1" showInputMessage="1" showErrorMessage="1" error="input range is 0~GevSCPDMaxValue" sqref="B7">
      <formula1>0</formula1>
      <formula2>B8</formula2>
    </dataValidation>
    <dataValidation type="custom" allowBlank="1" showInputMessage="1" showErrorMessage="1" error="please input 1000 or 100" sqref="B11">
      <formula1>OR((B11=1000),(B11=100))</formula1>
    </dataValidation>
    <dataValidation type="whole" allowBlank="1" showInputMessage="1" showErrorMessage="1" sqref="B12">
      <formula1>0</formula1>
      <formula2>B13</formula2>
    </dataValidation>
    <dataValidation type="list" allowBlank="1" showInputMessage="1" showErrorMessage="1" sqref="C19">
      <formula1>"mars-1230-9gx,mars-880-13gx,mars-1230-23u3x,mars-1231-32u3x,mars-880-32u3x,mars-881-44u3x"</formula1>
    </dataValidation>
    <dataValidation type="whole" allowBlank="1" showInputMessage="1" showErrorMessage="1" errorTitle="超出范围" error="曝光延迟的范围是0-5000us" sqref="D26">
      <formula1>0</formula1>
      <formula2>5000</formula2>
    </dataValidation>
    <dataValidation type="whole" allowBlank="1" showInputMessage="1" showErrorMessage="1" sqref="D41">
      <formula1>35000000</formula1>
      <formula2>400000000</formula2>
    </dataValidation>
    <dataValidation type="list" allowBlank="1" showInputMessage="1" showErrorMessage="1" errorTitle="超出范围" error="0:关闭_x000a_1:打开" sqref="D40">
      <formula1>"0,1"</formula1>
    </dataValidation>
    <dataValidation type="whole" allowBlank="1" showInputMessage="1" showErrorMessage="1" errorTitle="超出范围" error="触发延时的范围是0-3000000us" sqref="D28:D29">
      <formula1>0</formula1>
      <formula2>3000000</formula2>
    </dataValidation>
    <dataValidation type="list" allowBlank="1" showInputMessage="1" showErrorMessage="1" sqref="D36:D38">
      <formula1>"0,1"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B1" workbookViewId="0">
      <selection activeCell="E74" sqref="E74"/>
    </sheetView>
  </sheetViews>
  <sheetFormatPr defaultColWidth="9" defaultRowHeight="13.5"/>
  <cols>
    <col min="1" max="1" width="35" hidden="1" customWidth="1"/>
    <col min="2" max="2" width="30.875" customWidth="1"/>
    <col min="3" max="3" width="18.625" customWidth="1"/>
    <col min="4" max="4" width="10.5" customWidth="1"/>
    <col min="9" max="9" width="9" customWidth="1"/>
    <col min="10" max="10" width="9" hidden="1" customWidth="1"/>
    <col min="11" max="15" width="9" customWidth="1"/>
  </cols>
  <sheetData>
    <row r="1" spans="1:4">
      <c r="A1" s="1" t="s">
        <v>65</v>
      </c>
      <c r="B1" s="1"/>
      <c r="C1" s="2"/>
    </row>
    <row r="2" spans="1:4">
      <c r="A2" s="1" t="s">
        <v>66</v>
      </c>
      <c r="B2" s="1" t="s">
        <v>67</v>
      </c>
      <c r="C2" s="1">
        <v>5496</v>
      </c>
    </row>
    <row r="3" spans="1:4">
      <c r="A3" s="1" t="s">
        <v>68</v>
      </c>
      <c r="B3" s="1" t="s">
        <v>69</v>
      </c>
      <c r="C3" s="1">
        <f>C55</f>
        <v>3672</v>
      </c>
    </row>
    <row r="4" spans="1:4">
      <c r="A4" s="1" t="s">
        <v>70</v>
      </c>
      <c r="B4" s="1" t="s">
        <v>71</v>
      </c>
      <c r="C4" s="2">
        <v>5496</v>
      </c>
      <c r="D4" s="3" t="str">
        <f>IF(OR(C4&gt;C2,C4&lt;64),J69,"")</f>
        <v/>
      </c>
    </row>
    <row r="5" spans="1:4">
      <c r="A5" s="1" t="s">
        <v>72</v>
      </c>
      <c r="B5" s="1" t="s">
        <v>73</v>
      </c>
      <c r="C5" s="2">
        <v>3672</v>
      </c>
      <c r="D5" s="3" t="str">
        <f>IF(OR(C5&gt;C3,C5&lt;64),J70,"")</f>
        <v/>
      </c>
    </row>
    <row r="6" spans="1:4" hidden="1">
      <c r="A6" s="1" t="s">
        <v>74</v>
      </c>
      <c r="B6" s="1" t="s">
        <v>75</v>
      </c>
      <c r="C6" s="2">
        <v>1</v>
      </c>
    </row>
    <row r="7" spans="1:4" hidden="1">
      <c r="A7" s="1" t="s">
        <v>76</v>
      </c>
      <c r="B7" s="1" t="s">
        <v>77</v>
      </c>
      <c r="C7" s="2">
        <v>1</v>
      </c>
    </row>
    <row r="8" spans="1:4" hidden="1">
      <c r="A8" s="1" t="s">
        <v>78</v>
      </c>
      <c r="B8" s="1" t="s">
        <v>79</v>
      </c>
      <c r="C8" s="2">
        <v>1</v>
      </c>
    </row>
    <row r="9" spans="1:4" hidden="1">
      <c r="A9" s="1" t="s">
        <v>80</v>
      </c>
      <c r="B9" s="1" t="s">
        <v>81</v>
      </c>
      <c r="C9" s="2">
        <v>1</v>
      </c>
    </row>
    <row r="10" spans="1:4">
      <c r="A10" s="1" t="s">
        <v>82</v>
      </c>
      <c r="B10" s="1" t="s">
        <v>83</v>
      </c>
      <c r="C10" s="2">
        <v>60000</v>
      </c>
    </row>
    <row r="11" spans="1:4" hidden="1">
      <c r="A11" s="1" t="s">
        <v>84</v>
      </c>
      <c r="B11" s="1" t="s">
        <v>85</v>
      </c>
      <c r="C11" s="2">
        <v>0</v>
      </c>
    </row>
    <row r="12" spans="1:4">
      <c r="A12" s="1" t="s">
        <v>86</v>
      </c>
      <c r="B12" s="1" t="s">
        <v>87</v>
      </c>
      <c r="C12" s="2">
        <v>8</v>
      </c>
    </row>
    <row r="13" spans="1:4">
      <c r="A13" s="1" t="s">
        <v>88</v>
      </c>
      <c r="B13" s="1" t="s">
        <v>89</v>
      </c>
      <c r="C13" s="2">
        <v>1500</v>
      </c>
    </row>
    <row r="14" spans="1:4">
      <c r="A14" s="1" t="s">
        <v>90</v>
      </c>
      <c r="B14" s="1" t="s">
        <v>91</v>
      </c>
      <c r="C14" s="2">
        <v>0</v>
      </c>
    </row>
    <row r="15" spans="1:4">
      <c r="A15" s="1" t="s">
        <v>92</v>
      </c>
      <c r="B15" s="1" t="s">
        <v>93</v>
      </c>
      <c r="C15" s="1">
        <f>C44</f>
        <v>80054</v>
      </c>
    </row>
    <row r="16" spans="1:4">
      <c r="A16" s="1" t="s">
        <v>94</v>
      </c>
      <c r="B16" s="1" t="s">
        <v>95</v>
      </c>
      <c r="C16" s="2">
        <v>5.3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10</v>
      </c>
    </row>
    <row r="20" spans="1:3">
      <c r="A20" s="1" t="s">
        <v>102</v>
      </c>
      <c r="B20" s="1" t="s">
        <v>103</v>
      </c>
      <c r="C20" s="1">
        <f>C47</f>
        <v>98</v>
      </c>
    </row>
    <row r="21" spans="1:3">
      <c r="A21" s="1" t="s">
        <v>144</v>
      </c>
      <c r="B21" s="1" t="s">
        <v>145</v>
      </c>
      <c r="C21" s="2">
        <v>0</v>
      </c>
    </row>
    <row r="22" spans="1:3">
      <c r="A22" s="4"/>
      <c r="B22" s="1"/>
      <c r="C22" s="1"/>
    </row>
    <row r="23" spans="1:3" hidden="1">
      <c r="A23" s="4" t="s">
        <v>123</v>
      </c>
      <c r="B23" s="1"/>
      <c r="C23" s="5">
        <v>31000</v>
      </c>
    </row>
    <row r="24" spans="1:3" hidden="1">
      <c r="A24" s="4" t="s">
        <v>105</v>
      </c>
      <c r="B24" s="1"/>
      <c r="C24" s="6">
        <f>C16*10</f>
        <v>53</v>
      </c>
    </row>
    <row r="25" spans="1:3" hidden="1">
      <c r="A25" s="4" t="s">
        <v>106</v>
      </c>
      <c r="B25" s="6"/>
      <c r="C25" s="6">
        <f>33+MAX(MAX(C5,1848)+38-33,2+17)</f>
        <v>3710</v>
      </c>
    </row>
    <row r="26" spans="1:3" hidden="1">
      <c r="A26" s="4" t="s">
        <v>107</v>
      </c>
      <c r="B26" s="6"/>
      <c r="C26" s="6">
        <f>MAX(ROUNDUP(((1000*C10)/C23),0),1)</f>
        <v>1936</v>
      </c>
    </row>
    <row r="27" spans="1:3" hidden="1">
      <c r="A27" s="4" t="s">
        <v>108</v>
      </c>
      <c r="B27" s="6"/>
      <c r="C27" s="6">
        <f>ROUNDDOWN(C11*1000/C23,0)</f>
        <v>0</v>
      </c>
    </row>
    <row r="28" spans="1:3" hidden="1">
      <c r="A28" s="4" t="s">
        <v>109</v>
      </c>
      <c r="B28" s="6"/>
      <c r="C28" s="6">
        <f>C26+C27+8</f>
        <v>1944</v>
      </c>
    </row>
    <row r="29" spans="1:3" hidden="1">
      <c r="A29" s="4" t="s">
        <v>159</v>
      </c>
      <c r="B29" s="6"/>
      <c r="C29" s="6">
        <v>1200</v>
      </c>
    </row>
    <row r="30" spans="1:3" hidden="1">
      <c r="A30" s="4" t="s">
        <v>110</v>
      </c>
      <c r="B30" s="6"/>
      <c r="C30" s="6">
        <v>0</v>
      </c>
    </row>
    <row r="31" spans="1:3" hidden="1">
      <c r="A31" s="4" t="s">
        <v>160</v>
      </c>
      <c r="B31" s="6"/>
      <c r="C31" s="7">
        <f>C4*C5*IF(C12=8,1,2)+C30*32</f>
        <v>20181312</v>
      </c>
    </row>
    <row r="32" spans="1:3" hidden="1">
      <c r="A32" s="4" t="s">
        <v>111</v>
      </c>
      <c r="B32" s="6"/>
      <c r="C32" s="6">
        <f>ROUNDDOWN((C4*C5*ROUNDUP(C12/8,0)+C30*36)/(C13-36),0)</f>
        <v>13785</v>
      </c>
    </row>
    <row r="33" spans="1:4" hidden="1">
      <c r="A33" s="4" t="s">
        <v>161</v>
      </c>
      <c r="B33" s="6"/>
      <c r="C33" s="6">
        <f>IF(C30=0,36,12)</f>
        <v>36</v>
      </c>
    </row>
    <row r="34" spans="1:4" hidden="1">
      <c r="A34" s="4" t="s">
        <v>112</v>
      </c>
      <c r="B34" s="6"/>
      <c r="C34" s="6">
        <f>C4*C5*ROUNDUP(C12/8,0)+C30*32-(C13-36)*C32</f>
        <v>72</v>
      </c>
    </row>
    <row r="35" spans="1:4" hidden="1">
      <c r="A35" s="6" t="s">
        <v>113</v>
      </c>
      <c r="B35" s="6"/>
      <c r="C35" s="6">
        <f>ROUNDUP((ROUNDDOWN((((62+(C13-36))*C32+62+C34+(168-C30*24))+(C14+12)*(C32+3)),0)*1000/C38)*10/C23,0)</f>
        <v>6080</v>
      </c>
    </row>
    <row r="36" spans="1:4" hidden="1">
      <c r="A36" s="8" t="s">
        <v>162</v>
      </c>
      <c r="B36" s="8"/>
      <c r="C36" s="8">
        <f>ROUNDUP((C31+C33+10)*10*1000/C29/C23,0)</f>
        <v>5426</v>
      </c>
      <c r="D36" t="str">
        <f>DEC2HEX(C36)</f>
        <v>1532</v>
      </c>
    </row>
    <row r="37" spans="1:4" hidden="1">
      <c r="A37" s="8" t="s">
        <v>163</v>
      </c>
      <c r="B37" s="8"/>
      <c r="C37" s="8">
        <f>MAX(C35,C36)</f>
        <v>6080</v>
      </c>
    </row>
    <row r="38" spans="1:4" hidden="1">
      <c r="A38" s="6" t="s">
        <v>164</v>
      </c>
      <c r="B38" s="6"/>
      <c r="C38" s="6">
        <f>INT(C18*(100-C19)/80)</f>
        <v>1125</v>
      </c>
    </row>
    <row r="39" spans="1:4" hidden="1">
      <c r="A39" s="6" t="s">
        <v>114</v>
      </c>
      <c r="B39" s="6"/>
      <c r="C39" s="6">
        <f>ROUNDUP((1000000000/C16)/C23,0)</f>
        <v>6087</v>
      </c>
    </row>
    <row r="40" spans="1:4" hidden="1">
      <c r="A40" s="6" t="s">
        <v>146</v>
      </c>
      <c r="B40" s="6"/>
      <c r="C40" s="6">
        <f>C25+C28+16</f>
        <v>5670</v>
      </c>
    </row>
    <row r="41" spans="1:4" hidden="1">
      <c r="A41" s="6" t="s">
        <v>115</v>
      </c>
      <c r="B41" s="6"/>
      <c r="C41" s="9">
        <f>IF(C17=1,(IF(C21=1,MAX(C40,C25,C28,C37,C39),MAX(C25,C28,C37,C39))),(IF(C21=1,MAX(C40,C25,C28,C37),MAX(C25,C28,C37))))</f>
        <v>6080</v>
      </c>
    </row>
    <row r="42" spans="1:4" hidden="1">
      <c r="A42" s="6" t="s">
        <v>116</v>
      </c>
      <c r="B42" s="6"/>
      <c r="C42" s="6">
        <f>1000000/C49</f>
        <v>5.3056027164685906</v>
      </c>
    </row>
    <row r="43" spans="1:4" hidden="1">
      <c r="A43" s="6" t="s">
        <v>117</v>
      </c>
      <c r="B43" s="6"/>
      <c r="C43" s="6">
        <f>12500*C18*(100-C19)</f>
        <v>1125000000</v>
      </c>
    </row>
    <row r="44" spans="1:4" hidden="1">
      <c r="A44" s="6" t="s">
        <v>118</v>
      </c>
      <c r="B44" s="6"/>
      <c r="C44" s="6">
        <f>IF((ROUNDDOWN((C43-(62+C13-36)*C32-62-C34-168+C30*24)/(C32+3),0)-12)&gt;180000,180000,ROUNDDOWN((C43-(62+C13-36)*C32-62-C34-168+C30*24)/(C32+3),0)-12)</f>
        <v>80054</v>
      </c>
    </row>
    <row r="45" spans="1:4" hidden="1">
      <c r="A45" s="6" t="s">
        <v>120</v>
      </c>
      <c r="B45" s="6"/>
      <c r="C45" s="6">
        <f>((62+(C13-36))*C32+62+C34+168)+(C14+12)*(C32+3)</f>
        <v>21201668</v>
      </c>
    </row>
    <row r="46" spans="1:4" hidden="1">
      <c r="A46" s="6" t="s">
        <v>117</v>
      </c>
      <c r="B46" s="6"/>
      <c r="C46" s="6">
        <f>125000*C18</f>
        <v>125000000</v>
      </c>
    </row>
    <row r="47" spans="1:4" hidden="1">
      <c r="A47" s="6" t="s">
        <v>121</v>
      </c>
      <c r="B47" s="6"/>
      <c r="C47" s="6">
        <f>IF((100-ROUNDDOWN(C45*10/(1250000*C18/10),0)-1)&lt;0,0,(100-ROUNDDOWN(C45*10/(1250000*C18/10),0)-1))</f>
        <v>98</v>
      </c>
    </row>
    <row r="48" spans="1:4" hidden="1">
      <c r="A48" s="6" t="s">
        <v>122</v>
      </c>
      <c r="B48" s="6"/>
      <c r="C48" s="6">
        <f>ROUNDDOWN((C43-(62+C13-36)*C32-62-C34-168+C30*24)/(C32+3),0)-12</f>
        <v>80054</v>
      </c>
    </row>
    <row r="49" spans="1:4" hidden="1">
      <c r="A49" s="6" t="s">
        <v>165</v>
      </c>
      <c r="B49" s="6"/>
      <c r="C49" s="5">
        <f>ROUNDUP(C41*C23/1000,0)</f>
        <v>188480</v>
      </c>
    </row>
    <row r="50" spans="1:4" hidden="1">
      <c r="A50" s="6" t="s">
        <v>166</v>
      </c>
      <c r="B50" s="6"/>
      <c r="C50" s="6">
        <f>ROUNDDOWN(1000000000/C49,0)</f>
        <v>5305</v>
      </c>
    </row>
    <row r="51" spans="1:4" hidden="1">
      <c r="A51" s="6" t="s">
        <v>148</v>
      </c>
      <c r="B51" s="6"/>
      <c r="C51" s="6">
        <f>ROUNDDOWN(C4*C50/10*IF(C12=8,1,2)/10*C5/10,0)</f>
        <v>107061860</v>
      </c>
    </row>
    <row r="52" spans="1:4" hidden="1">
      <c r="A52" s="6" t="s">
        <v>149</v>
      </c>
      <c r="B52" s="6"/>
      <c r="C52" s="6">
        <f>ROUNDDOWN((C51*10/(100-C19)*10),)</f>
        <v>118957622</v>
      </c>
    </row>
    <row r="53" spans="1:4" hidden="1">
      <c r="A53" s="6"/>
      <c r="B53" s="6"/>
      <c r="C53" s="6"/>
    </row>
    <row r="54" spans="1:4" hidden="1">
      <c r="A54" s="6" t="s">
        <v>125</v>
      </c>
      <c r="B54" s="6"/>
      <c r="C54" s="6">
        <f>ROUNDDOWN(5496/(4*C56),0)*4</f>
        <v>5496</v>
      </c>
    </row>
    <row r="55" spans="1:4" hidden="1">
      <c r="A55" s="6" t="s">
        <v>126</v>
      </c>
      <c r="B55" s="6"/>
      <c r="C55" s="6">
        <f>ROUNDDOWN(3672/(2*C57),0)*2</f>
        <v>3672</v>
      </c>
    </row>
    <row r="56" spans="1:4" hidden="1">
      <c r="A56" s="6" t="s">
        <v>127</v>
      </c>
      <c r="B56" s="6"/>
      <c r="C56" s="6">
        <f>IF(C6=1,C8,C6)</f>
        <v>1</v>
      </c>
    </row>
    <row r="57" spans="1:4" hidden="1">
      <c r="A57" s="6" t="s">
        <v>128</v>
      </c>
      <c r="B57" s="6"/>
      <c r="C57" s="6">
        <f>IF(C7=1,C9,C7)</f>
        <v>1</v>
      </c>
    </row>
    <row r="58" spans="1:4" hidden="1">
      <c r="A58" s="6" t="s">
        <v>129</v>
      </c>
      <c r="B58" s="6"/>
      <c r="C58" s="6">
        <f>ROUNDDOWN(C62/4,0)*4*C56</f>
        <v>5496</v>
      </c>
    </row>
    <row r="59" spans="1:4" hidden="1">
      <c r="A59" s="6" t="s">
        <v>130</v>
      </c>
      <c r="B59" s="6"/>
      <c r="C59" s="6">
        <f>ROUNDDOWN(C63/2,0)*2*C57</f>
        <v>3672</v>
      </c>
    </row>
    <row r="60" spans="1:4" hidden="1">
      <c r="A60" s="6" t="s">
        <v>131</v>
      </c>
      <c r="B60" s="6"/>
      <c r="C60" s="6">
        <f>ROUNDDOWN(C4/4,0)*4*C56</f>
        <v>5496</v>
      </c>
    </row>
    <row r="61" spans="1:4" hidden="1">
      <c r="A61" s="6" t="s">
        <v>132</v>
      </c>
      <c r="B61" s="6"/>
      <c r="C61" s="6">
        <f>ROUNDDOWN(C5/2,0)*2*C57</f>
        <v>3672</v>
      </c>
    </row>
    <row r="62" spans="1:4" hidden="1">
      <c r="A62" s="6" t="s">
        <v>133</v>
      </c>
      <c r="B62" s="6"/>
      <c r="C62" s="6">
        <f>ROUNDDOWN(C60/(4*C56),0)*4</f>
        <v>5496</v>
      </c>
      <c r="D62" s="10" t="str">
        <f>IF(J75=1,J71,"")</f>
        <v/>
      </c>
    </row>
    <row r="63" spans="1:4" hidden="1">
      <c r="A63" s="6" t="s">
        <v>134</v>
      </c>
      <c r="B63" s="6"/>
      <c r="C63" s="6">
        <f>ROUNDDOWN(C61/(2*C57),0)*2</f>
        <v>3672</v>
      </c>
    </row>
    <row r="64" spans="1:4" hidden="1">
      <c r="A64" s="6"/>
      <c r="B64" s="6"/>
      <c r="C64" s="6"/>
    </row>
    <row r="65" spans="1:10" hidden="1">
      <c r="A65" s="6"/>
      <c r="B65" s="6"/>
      <c r="C65" s="6"/>
    </row>
    <row r="66" spans="1:10" ht="14.25">
      <c r="A66" s="11" t="s">
        <v>135</v>
      </c>
      <c r="B66" s="11"/>
      <c r="C66" s="11"/>
    </row>
    <row r="67" spans="1:10" ht="14.25">
      <c r="A67" s="11" t="s">
        <v>116</v>
      </c>
      <c r="B67" s="11" t="s">
        <v>136</v>
      </c>
      <c r="C67" s="11">
        <f>ROUND(C42,2)</f>
        <v>5.31</v>
      </c>
    </row>
    <row r="68" spans="1:10">
      <c r="J68" t="s">
        <v>150</v>
      </c>
    </row>
    <row r="69" spans="1:10">
      <c r="J69" t="s">
        <v>151</v>
      </c>
    </row>
    <row r="70" spans="1:10">
      <c r="J70" t="s">
        <v>152</v>
      </c>
    </row>
    <row r="71" spans="1:10">
      <c r="J71" t="s">
        <v>153</v>
      </c>
    </row>
    <row r="74" spans="1:10">
      <c r="J74" t="s">
        <v>156</v>
      </c>
    </row>
    <row r="75" spans="1:10">
      <c r="J75">
        <f>IF(OR(OR(C4&gt;C2,C4&lt;64),OR(C5&gt;C3,C5&lt;64)),1,0)</f>
        <v>0</v>
      </c>
    </row>
  </sheetData>
  <sheetProtection algorithmName="SHA-512" hashValue="sd93GOFZ/yG2T7Nnq0aqIRKypzHdqzYCsStTf2IfJZaBFXFsbA6EpzaZAbMvrKjaF40Fj5c57wRADPj42C1NJw==" saltValue="+tx6vsm5mvF7eOd62qP+dQ==" spinCount="100000" sheet="1" objects="1" scenarios="1"/>
  <phoneticPr fontId="10" type="noConversion"/>
  <conditionalFormatting sqref="C4">
    <cfRule type="cellIs" dxfId="4" priority="3" operator="lessThan">
      <formula>64</formula>
    </cfRule>
    <cfRule type="cellIs" dxfId="3" priority="4" operator="greaterThan">
      <formula>$C$2</formula>
    </cfRule>
  </conditionalFormatting>
  <conditionalFormatting sqref="C5">
    <cfRule type="cellIs" dxfId="2" priority="5" stopIfTrue="1" operator="lessThan">
      <formula>64</formula>
    </cfRule>
    <cfRule type="cellIs" dxfId="1" priority="6" stopIfTrue="1" operator="greaterThan">
      <formula>$C$3</formula>
    </cfRule>
  </conditionalFormatting>
  <conditionalFormatting sqref="C67">
    <cfRule type="expression" dxfId="0" priority="1" stopIfTrue="1">
      <formula>$J$8=1</formula>
    </cfRule>
  </conditionalFormatting>
  <dataValidations count="20">
    <dataValidation type="custom" allowBlank="1" showInputMessage="1" showErrorMessage="1" errorTitle="Input parameter error" error="Input 1000 or 100" sqref="C18">
      <formula1>OR((C18=1000),(C18=100))</formula1>
    </dataValidation>
    <dataValidation type="whole" allowBlank="1" showInputMessage="1" showErrorMessage="1" errorTitle="Input parameter error" error="Input range:[31, 1000000]" sqref="C10">
      <formula1>31</formula1>
      <formula2>1000000</formula2>
    </dataValidation>
    <dataValidation type="custom" allowBlank="1" showInputMessage="1" showErrorMessage="1" error="输入范围是64~图像高度最大值，步长为2" sqref="C5">
      <formula1>AND((C5&lt;=C3),(C5&gt;=64),(MOD(C5,2)=0))</formula1>
    </dataValidation>
    <dataValidation allowBlank="1" showErrorMessage="1" promptTitle="参数变化" prompt="该参数会根据当前生效的水平像素Binning、水平像素抽样变化" sqref="C2"/>
    <dataValidation type="whole" allowBlank="1" showInputMessage="1" showErrorMessage="1" errorTitle="Input parameter error" error="Input range:[0, 5000]" sqref="C11">
      <formula1>0</formula1>
      <formula2>5000</formula2>
    </dataValidation>
    <dataValidation type="custom" allowBlank="1" showInputMessage="1" showErrorMessage="1" error="输入参数值为1、2或者4，并且当垂直像素Binning不为1时不能输入" sqref="C9">
      <formula1>AND(OR((C9=1),(C9=2),(C9=4)),C7=1)</formula1>
    </dataValidation>
    <dataValidation type="custom" allowBlank="1" showInputMessage="1" showErrorMessage="1" errorTitle="Input parameter error" error="Input range:[64, 'WidthMax'],and is an integer multiple of 4" sqref="C4">
      <formula1>AND((C4&lt;=C2),(C4&gt;=64),(MOD(C4,4)=0))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输入参数值为1、2或者4，并且当水平像素Binning不为1时不能输入" sqref="C8">
      <formula1>AND(OR((C8=1),(C8=2),(C8=4)),C6=1)</formula1>
    </dataValidation>
    <dataValidation type="custom" allowBlank="1" showInputMessage="1" showErrorMessage="1" error="输入参数值为1、2或者4，并且当水平像素抽样不为1时不能输入" sqref="C6">
      <formula1>AND(OR((C6=1),(C6=2),(C6=4)),C8=1)</formula1>
    </dataValidation>
    <dataValidation type="custom" allowBlank="1" showInputMessage="1" showErrorMessage="1" error="输入参数值为1、2或者4，并且当垂直像素抽样不为1时不能输入" sqref="C7">
      <formula1>AND(OR((C7=1),(C7=2),(C7=4)),C9=1)</formula1>
    </dataValidation>
    <dataValidation type="custom" allowBlank="1" showInputMessage="1" showErrorMessage="1" error="Input 8 or 10" sqref="C12">
      <formula1>OR((C12=8),(C12=12))</formula1>
    </dataValidation>
    <dataValidation type="custom" allowBlank="1" showInputMessage="1" showErrorMessage="1" error="Input range:[512, 8192],and is an integer multiple of 4" sqref="C13">
      <formula1>AND((C13&lt;=8192),(C13&gt;=512),(MOD(C13,4)=0))</formula1>
    </dataValidation>
    <dataValidation type="whole" allowBlank="1" showInputMessage="1" showErrorMessage="1" error="Input range:[0, 'GevSCPDMaxValue'], and is an integer multiple of 1" sqref="C14">
      <formula1>0</formula1>
      <formula2>C15</formula2>
    </dataValidation>
    <dataValidation type="whole" allowBlank="1" showErrorMessage="1" error="设置值超过最大值" prompt="应在包间隔范围内" sqref="C15">
      <formula1>0</formula1>
      <formula2>C44</formula2>
    </dataValidation>
    <dataValidation type="custom" allowBlank="1" showErrorMessage="1" errorTitle=" Input parameter error" error="Input range:[0.1, 10000]" prompt="应在包间隔范围内" sqref="C16">
      <formula1>AND(TRUNC(C16,1)=C16,(C16&gt;=0.1),(C16&lt;=10000))</formula1>
    </dataValidation>
    <dataValidation type="custom" allowBlank="1" showErrorMessage="1" errorTitle="Input parameter error" error="Input 0 or 1" prompt="应在包间隔范围内" sqref="C17">
      <formula1>OR((C17=0),(C17=1))</formula1>
    </dataValidation>
    <dataValidation type="whole" allowBlank="1" showInputMessage="1" showErrorMessage="1" errorTitle="Input parameter error" error="Input range:[0, 'BandwidthReserveMaxValue'], and is an integer multiple of 1" sqref="C19">
      <formula1>0</formula1>
      <formula2>C20</formula2>
    </dataValidation>
    <dataValidation type="whole" allowBlank="1" error="设置值超过包间隔范围" prompt="设置值应在预留带宽范围内" sqref="C20">
      <formula1>0</formula1>
      <formula2>C42</formula2>
    </dataValidation>
    <dataValidation type="custom" allowBlank="1" showInputMessage="1" showErrorMessage="1" errorTitle="Input parameter error" error="Input 0 or 1" sqref="C21">
      <formula1>OR((C21=0),(C21=1))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" workbookViewId="0">
      <selection activeCell="C4" sqref="C4"/>
    </sheetView>
  </sheetViews>
  <sheetFormatPr defaultColWidth="9" defaultRowHeight="13.5"/>
  <cols>
    <col min="1" max="1" width="21.5" hidden="1" customWidth="1"/>
    <col min="2" max="2" width="28.5" customWidth="1"/>
    <col min="3" max="3" width="16.375" customWidth="1"/>
    <col min="9" max="9" width="9" customWidth="1"/>
    <col min="10" max="10" width="9" hidden="1" customWidth="1"/>
  </cols>
  <sheetData>
    <row r="1" spans="1:4" ht="15.75" customHeight="1">
      <c r="A1" s="1" t="s">
        <v>65</v>
      </c>
      <c r="B1" s="1"/>
      <c r="C1" s="2"/>
    </row>
    <row r="2" spans="1:4">
      <c r="A2" s="1" t="s">
        <v>66</v>
      </c>
      <c r="B2" s="1" t="s">
        <v>67</v>
      </c>
      <c r="C2" s="1">
        <f>C45</f>
        <v>720</v>
      </c>
    </row>
    <row r="3" spans="1:4">
      <c r="A3" s="1" t="s">
        <v>68</v>
      </c>
      <c r="B3" s="1" t="s">
        <v>69</v>
      </c>
      <c r="C3" s="1">
        <f>C46</f>
        <v>540</v>
      </c>
    </row>
    <row r="4" spans="1:4">
      <c r="A4" s="1" t="s">
        <v>70</v>
      </c>
      <c r="B4" s="1" t="s">
        <v>71</v>
      </c>
      <c r="C4" s="2">
        <v>720</v>
      </c>
      <c r="D4" s="3" t="str">
        <f>IF(OR(C4&gt;C2,C4&lt;64),J62,"")</f>
        <v/>
      </c>
    </row>
    <row r="5" spans="1:4">
      <c r="A5" s="1" t="s">
        <v>72</v>
      </c>
      <c r="B5" s="1" t="s">
        <v>73</v>
      </c>
      <c r="C5" s="2">
        <v>540</v>
      </c>
      <c r="D5" s="3" t="str">
        <f>IF(OR(C5&gt;C3,C5&lt;64),J63,"")</f>
        <v/>
      </c>
    </row>
    <row r="6" spans="1:4">
      <c r="A6" s="1" t="s">
        <v>74</v>
      </c>
      <c r="B6" s="1" t="s">
        <v>75</v>
      </c>
      <c r="C6" s="2">
        <v>1</v>
      </c>
    </row>
    <row r="7" spans="1:4">
      <c r="A7" s="1" t="s">
        <v>76</v>
      </c>
      <c r="B7" s="1" t="s">
        <v>77</v>
      </c>
      <c r="C7" s="2">
        <v>1</v>
      </c>
    </row>
    <row r="8" spans="1:4">
      <c r="A8" s="1" t="s">
        <v>78</v>
      </c>
      <c r="B8" s="1" t="s">
        <v>79</v>
      </c>
      <c r="C8" s="2">
        <v>1</v>
      </c>
    </row>
    <row r="9" spans="1:4">
      <c r="A9" s="1" t="s">
        <v>80</v>
      </c>
      <c r="B9" s="1" t="s">
        <v>81</v>
      </c>
      <c r="C9" s="2">
        <v>1</v>
      </c>
    </row>
    <row r="10" spans="1:4">
      <c r="A10" s="1" t="s">
        <v>82</v>
      </c>
      <c r="B10" s="1" t="s">
        <v>83</v>
      </c>
      <c r="C10" s="2">
        <v>10000</v>
      </c>
    </row>
    <row r="11" spans="1:4">
      <c r="A11" s="1" t="s">
        <v>84</v>
      </c>
      <c r="B11" s="1" t="s">
        <v>85</v>
      </c>
      <c r="C11" s="2">
        <v>0</v>
      </c>
    </row>
    <row r="12" spans="1:4">
      <c r="A12" s="1" t="s">
        <v>86</v>
      </c>
      <c r="B12" s="1" t="s">
        <v>87</v>
      </c>
      <c r="C12" s="2">
        <v>8</v>
      </c>
    </row>
    <row r="13" spans="1:4">
      <c r="A13" s="1" t="s">
        <v>88</v>
      </c>
      <c r="B13" s="1" t="s">
        <v>89</v>
      </c>
      <c r="C13" s="2">
        <v>1500</v>
      </c>
    </row>
    <row r="14" spans="1:4">
      <c r="A14" s="1" t="s">
        <v>90</v>
      </c>
      <c r="B14" s="1" t="s">
        <v>91</v>
      </c>
      <c r="C14" s="2">
        <v>0</v>
      </c>
    </row>
    <row r="15" spans="1:4">
      <c r="A15" s="1" t="s">
        <v>92</v>
      </c>
      <c r="B15" s="1" t="s">
        <v>93</v>
      </c>
      <c r="C15" s="1">
        <f>C36</f>
        <v>180000</v>
      </c>
    </row>
    <row r="16" spans="1:4">
      <c r="A16" s="1" t="s">
        <v>94</v>
      </c>
      <c r="B16" s="1" t="s">
        <v>95</v>
      </c>
      <c r="C16" s="2">
        <v>302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5</v>
      </c>
    </row>
    <row r="20" spans="1:3" ht="14.25" customHeight="1">
      <c r="A20" s="1" t="s">
        <v>102</v>
      </c>
      <c r="B20" s="1" t="s">
        <v>103</v>
      </c>
      <c r="C20" s="1">
        <f>C40</f>
        <v>99</v>
      </c>
    </row>
    <row r="21" spans="1:3" ht="11.25" customHeight="1">
      <c r="A21" s="1"/>
      <c r="B21" s="1"/>
      <c r="C21" s="1"/>
    </row>
    <row r="22" spans="1:3" hidden="1">
      <c r="A22" s="4"/>
      <c r="B22" s="1"/>
      <c r="C22" s="1"/>
    </row>
    <row r="23" spans="1:3" hidden="1">
      <c r="A23" s="4" t="s">
        <v>105</v>
      </c>
      <c r="B23" s="1"/>
      <c r="C23" s="6">
        <f>C16*10</f>
        <v>3020</v>
      </c>
    </row>
    <row r="24" spans="1:3" hidden="1">
      <c r="A24" s="4" t="s">
        <v>106</v>
      </c>
      <c r="B24" s="6"/>
      <c r="C24" s="6">
        <f>(C5+42)</f>
        <v>582</v>
      </c>
    </row>
    <row r="25" spans="1:3" hidden="1">
      <c r="A25" s="4" t="s">
        <v>107</v>
      </c>
      <c r="B25" s="6"/>
      <c r="C25" s="6">
        <f>MAX(ROUNDUP((C10*1000-14260)/C42,0),1)</f>
        <v>1873</v>
      </c>
    </row>
    <row r="26" spans="1:3" hidden="1">
      <c r="A26" s="4" t="s">
        <v>108</v>
      </c>
      <c r="B26" s="6"/>
      <c r="C26" s="6">
        <f>ROUNDUP(C11*1000/C42,0)</f>
        <v>0</v>
      </c>
    </row>
    <row r="27" spans="1:3" hidden="1">
      <c r="A27" s="4" t="s">
        <v>109</v>
      </c>
      <c r="B27" s="6"/>
      <c r="C27" s="6">
        <f>C25+C26+18</f>
        <v>1891</v>
      </c>
    </row>
    <row r="28" spans="1:3" hidden="1">
      <c r="A28" s="4" t="s">
        <v>110</v>
      </c>
      <c r="B28" s="6"/>
      <c r="C28" s="6">
        <v>0</v>
      </c>
    </row>
    <row r="29" spans="1:3" hidden="1">
      <c r="A29" s="4" t="s">
        <v>111</v>
      </c>
      <c r="B29" s="6"/>
      <c r="C29" s="6">
        <f>ROUNDDOWN((C4*C5*ROUNDUP(C12/8,0)+C28*32)/(C13-36),0)</f>
        <v>265</v>
      </c>
    </row>
    <row r="30" spans="1:3" hidden="1">
      <c r="A30" s="4" t="s">
        <v>112</v>
      </c>
      <c r="B30" s="6"/>
      <c r="C30" s="6">
        <f>C4*C5*ROUNDUP(C12/8,0)+C28*32-(C13-36)*C29</f>
        <v>840</v>
      </c>
    </row>
    <row r="31" spans="1:3" hidden="1">
      <c r="A31" s="6" t="s">
        <v>113</v>
      </c>
      <c r="B31" s="6"/>
      <c r="C31" s="6">
        <f>ROUNDUP((ROUNDDOWN((((62+(C13-36))*C29+62+C30+(168-C28*24))+(C14+12)*(C29+3))/ROUNDUP(C18*(100-C19)/100,0),0)*8)*540/C43/10,0)</f>
        <v>645</v>
      </c>
    </row>
    <row r="32" spans="1:3" hidden="1">
      <c r="A32" s="6" t="s">
        <v>114</v>
      </c>
      <c r="B32" s="6"/>
      <c r="C32" s="6">
        <f>ROUNDUP(10000000000/C23/C42,0)</f>
        <v>621</v>
      </c>
    </row>
    <row r="33" spans="1:3" hidden="1">
      <c r="A33" s="6" t="s">
        <v>115</v>
      </c>
      <c r="B33" s="6"/>
      <c r="C33" s="6">
        <f>MAX(C24,C27,C31,C32*C17)</f>
        <v>1891</v>
      </c>
    </row>
    <row r="34" spans="1:3" hidden="1">
      <c r="A34" s="6" t="s">
        <v>116</v>
      </c>
      <c r="B34" s="6"/>
      <c r="C34" s="6">
        <f>ROUNDDOWN(1000000/ROUNDUP(C33*10*C43/540,0),2)</f>
        <v>99.14</v>
      </c>
    </row>
    <row r="35" spans="1:3" hidden="1">
      <c r="A35" s="6" t="s">
        <v>117</v>
      </c>
      <c r="B35" s="6"/>
      <c r="C35" s="6">
        <f>12500*C18*(100-C19)</f>
        <v>1187500000</v>
      </c>
    </row>
    <row r="36" spans="1:3" hidden="1">
      <c r="A36" s="6" t="s">
        <v>118</v>
      </c>
      <c r="B36" s="6"/>
      <c r="C36" s="6">
        <f>IF((ROUNDDOWN((C35-(62+C13-36)*C29-62-C30-168+C28*24)/(C29+3),0)-12)&gt;C37,C37,ROUNDDOWN((C35-(62+C13-36)*C29-62-C30-168+C28*24)/(C29+3),0)-12)</f>
        <v>180000</v>
      </c>
    </row>
    <row r="37" spans="1:3" hidden="1">
      <c r="A37" s="6" t="s">
        <v>119</v>
      </c>
      <c r="B37" s="6"/>
      <c r="C37" s="6">
        <f>IF(C18=1000,180000,18000)</f>
        <v>180000</v>
      </c>
    </row>
    <row r="38" spans="1:3" hidden="1">
      <c r="A38" s="6" t="s">
        <v>120</v>
      </c>
      <c r="B38" s="6"/>
      <c r="C38" s="6">
        <f>((62+(C13-36))*C29+62+C30+168)+(C14+12)*(C29+3)</f>
        <v>408676</v>
      </c>
    </row>
    <row r="39" spans="1:3" hidden="1">
      <c r="A39" s="6" t="s">
        <v>117</v>
      </c>
      <c r="B39" s="6"/>
      <c r="C39" s="6">
        <f>125000*C18</f>
        <v>125000000</v>
      </c>
    </row>
    <row r="40" spans="1:3" hidden="1">
      <c r="A40" s="6" t="s">
        <v>121</v>
      </c>
      <c r="B40" s="6"/>
      <c r="C40" s="6">
        <f>IF((100-ROUNDDOWN(C38*10/(1250000*C18/10),0)-1)&lt;0,0,(100-ROUNDDOWN(C38*10/(1250000*C18/10),0)-1))</f>
        <v>99</v>
      </c>
    </row>
    <row r="41" spans="1:3" hidden="1">
      <c r="A41" s="6" t="s">
        <v>122</v>
      </c>
      <c r="B41" s="6"/>
      <c r="C41" s="6">
        <f>ROUNDDOWN((C35-(62+C13-36)*C29-62-C30-168+C28*24)/(C29+3),0)-12</f>
        <v>4429445</v>
      </c>
    </row>
    <row r="42" spans="1:3" hidden="1">
      <c r="A42" s="6" t="s">
        <v>123</v>
      </c>
      <c r="B42" s="6"/>
      <c r="C42" s="6">
        <f>ROUNDUP(1000000*C43/54000,0)</f>
        <v>5334</v>
      </c>
    </row>
    <row r="43" spans="1:3" hidden="1">
      <c r="A43" s="6" t="s">
        <v>124</v>
      </c>
      <c r="B43" s="6"/>
      <c r="C43" s="6">
        <f>288*ROUNDUP(C12/8,0)</f>
        <v>288</v>
      </c>
    </row>
    <row r="44" spans="1:3" s="116" customFormat="1" ht="15" hidden="1" customHeight="1">
      <c r="A44" s="122"/>
      <c r="B44" s="122"/>
      <c r="C44" s="122"/>
    </row>
    <row r="45" spans="1:3" hidden="1">
      <c r="A45" s="6" t="s">
        <v>125</v>
      </c>
      <c r="B45" s="6"/>
      <c r="C45" s="6">
        <f>ROUNDDOWN(720/(4*C47),0)*4</f>
        <v>720</v>
      </c>
    </row>
    <row r="46" spans="1:3" hidden="1">
      <c r="A46" s="6" t="s">
        <v>126</v>
      </c>
      <c r="B46" s="6"/>
      <c r="C46" s="6">
        <f>ROUNDDOWN(540/(2*C48),0)*2</f>
        <v>540</v>
      </c>
    </row>
    <row r="47" spans="1:3" hidden="1">
      <c r="A47" s="6" t="s">
        <v>127</v>
      </c>
      <c r="B47" s="6"/>
      <c r="C47" s="6">
        <f>IF(C6=1,C8,C6)</f>
        <v>1</v>
      </c>
    </row>
    <row r="48" spans="1:3" hidden="1">
      <c r="A48" s="6" t="s">
        <v>128</v>
      </c>
      <c r="B48" s="6"/>
      <c r="C48" s="6">
        <f>IF(C7=1,C9,C7)</f>
        <v>1</v>
      </c>
    </row>
    <row r="49" spans="1:10" hidden="1">
      <c r="A49" s="6" t="s">
        <v>129</v>
      </c>
      <c r="B49" s="6"/>
      <c r="C49" s="6">
        <f>ROUNDDOWN(C53/4,0)*4*C47</f>
        <v>720</v>
      </c>
    </row>
    <row r="50" spans="1:10" hidden="1">
      <c r="A50" s="6" t="s">
        <v>130</v>
      </c>
      <c r="B50" s="6"/>
      <c r="C50" s="6">
        <f>ROUNDDOWN(C54/2,0)*2*C48</f>
        <v>540</v>
      </c>
    </row>
    <row r="51" spans="1:10" hidden="1">
      <c r="A51" s="6" t="s">
        <v>131</v>
      </c>
      <c r="B51" s="6"/>
      <c r="C51" s="6">
        <f>ROUNDDOWN(C4/4,0)*4*C47</f>
        <v>720</v>
      </c>
    </row>
    <row r="52" spans="1:10" hidden="1">
      <c r="A52" s="6" t="s">
        <v>132</v>
      </c>
      <c r="B52" s="6"/>
      <c r="C52" s="6">
        <f>ROUNDDOWN(C5/2,0)*2*C48</f>
        <v>540</v>
      </c>
    </row>
    <row r="53" spans="1:10" hidden="1">
      <c r="A53" s="6" t="s">
        <v>133</v>
      </c>
      <c r="B53" s="6"/>
      <c r="C53" s="6">
        <f>ROUNDDOWN(C51/(4*C47),0)*4</f>
        <v>720</v>
      </c>
    </row>
    <row r="54" spans="1:10" hidden="1">
      <c r="A54" s="6" t="s">
        <v>134</v>
      </c>
      <c r="B54" s="6"/>
      <c r="C54" s="6">
        <f>ROUNDDOWN(C52/(2*C48),0)*2</f>
        <v>540</v>
      </c>
    </row>
    <row r="55" spans="1:10" hidden="1">
      <c r="A55" s="6"/>
      <c r="B55" s="6"/>
      <c r="C55" s="6"/>
    </row>
    <row r="56" spans="1:10" ht="14.25" hidden="1">
      <c r="A56" s="11" t="s">
        <v>135</v>
      </c>
      <c r="B56" s="11"/>
      <c r="C56" s="11"/>
    </row>
    <row r="57" spans="1:10" ht="14.25">
      <c r="A57" s="11" t="s">
        <v>116</v>
      </c>
      <c r="B57" s="11" t="s">
        <v>136</v>
      </c>
      <c r="C57" s="11">
        <f>C34</f>
        <v>99.14</v>
      </c>
      <c r="D57" s="3" t="str">
        <f>IF(J68=1,J64,"")</f>
        <v/>
      </c>
    </row>
    <row r="61" spans="1:10" ht="40.5">
      <c r="J61" s="55" t="s">
        <v>137</v>
      </c>
    </row>
    <row r="62" spans="1:10">
      <c r="J62" t="s">
        <v>138</v>
      </c>
    </row>
    <row r="63" spans="1:10">
      <c r="J63" t="s">
        <v>139</v>
      </c>
    </row>
    <row r="64" spans="1:10">
      <c r="J64" t="s">
        <v>140</v>
      </c>
    </row>
    <row r="67" spans="1:10">
      <c r="J67" t="s">
        <v>141</v>
      </c>
    </row>
    <row r="68" spans="1:10">
      <c r="A68" t="str">
        <f>IF(J95=1,J91,"")</f>
        <v/>
      </c>
      <c r="J68">
        <f>IF(OR(OR(C4&gt;C2,C4&lt;64),OR(C5&gt;C3,C5&lt;64)),1,0)</f>
        <v>0</v>
      </c>
    </row>
  </sheetData>
  <sheetProtection algorithmName="SHA-512" hashValue="pFNa4D5M16TBS10rTjeh+mwUuMU3966esNIagQkPAjCWYjW4r56vCY8Dh9XGOaG0+HSCQV0oH7Y6mPUWU4tKVw==" saltValue="7UYqDQck7MI+NB97nxxaBQ==" spinCount="100000" sheet="1" objects="1" scenarios="1" selectLockedCells="1"/>
  <phoneticPr fontId="10" type="noConversion"/>
  <dataValidations count="19">
    <dataValidation type="whole" allowBlank="1" showInputMessage="1" showErrorMessage="1" error="The input range :[20,1000000]" sqref="C10">
      <formula1>20</formula1>
      <formula2>1000000</formula2>
    </dataValidation>
    <dataValidation type="custom" allowBlank="1" showInputMessage="1" showErrorMessage="1" error="The input parameter value is 1 or 2 and cannot be entered when the vertical pixel Binning is not 1" sqref="C9">
      <formula1>AND(OR((C9=1),(C9=2)),C7=1)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The input parameter value is 1 or 2, and cannot be entered if the horizontal pixel sampling is not 1" sqref="C6">
      <formula1>AND(OR((C6=1),(C6=2)),C8=1)</formula1>
    </dataValidation>
    <dataValidation type="custom" allowBlank="1" showInputMessage="1" showErrorMessage="1" error="The input parameter has a value of 1 or 2 and cannot be entered when the horizontal pixel Binning is not 1" sqref="C8">
      <formula1>AND(OR((C8=1),(C8=2)),C6=1)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Input range:[64,'WidthMax'],and is an integer multiple of 4" sqref="C4">
      <formula1>AND((C4&lt;=C2),(C4&gt;=64),(MOD(C4,4)=0))</formula1>
    </dataValidation>
    <dataValidation type="custom" allowBlank="1" showInputMessage="1" showErrorMessage="1" error="Input range:[64,'HeightMax'],and is an integer multiple of 2" sqref="C5">
      <formula1>AND((C5&lt;=C3),(C5&gt;=64),(MOD(C5,2)=0))</formula1>
    </dataValidation>
    <dataValidation type="custom" allowBlank="1" showInputMessage="1" showErrorMessage="1" error="The input parameter value is 1 or 2, and cannot be entered if the vertical pixel sampling is not 1" sqref="C7">
      <formula1>AND(OR((C7=1),(C7=2)),C9=1)</formula1>
    </dataValidation>
    <dataValidation type="whole" allowBlank="1" showInputMessage="1" showErrorMessage="1" error="The input range: [0,5000]" sqref="C11">
      <formula1>0</formula1>
      <formula2>5000</formula2>
    </dataValidation>
    <dataValidation type="custom" allowBlank="1" showInputMessage="1" showErrorMessage="1" error="Please enter 8 or 12" sqref="C12">
      <formula1>OR((C12=8),(C12=12))</formula1>
    </dataValidation>
    <dataValidation type="custom" allowBlank="1" showInputMessage="1" showErrorMessage="1" error="The input range :[512,8192], and the step size is 4" sqref="C13">
      <formula1>AND((C13&lt;=8192),(C13&gt;=512),(MOD(C13,4)=0))</formula1>
    </dataValidation>
    <dataValidation type="whole" allowBlank="1" showInputMessage="1" showErrorMessage="1" error="Set the value range:[ 0,'GevSCPDMaxValue']" sqref="C14">
      <formula1>0</formula1>
      <formula2>C15</formula2>
    </dataValidation>
    <dataValidation type="whole" allowBlank="1" showErrorMessage="1" error="Set the value to exceed the maximum" prompt="应在包间隔范围内" sqref="C15">
      <formula1>0</formula1>
      <formula2>C36</formula2>
    </dataValidation>
    <dataValidation type="custom" allowBlank="1" showErrorMessage="1" error="Set the value range :[ 0.1,10000.0], accurate to one decimal" prompt="应在包间隔范围内" sqref="C16">
      <formula1>AND(TRUNC(C16,1)=C16,(C16&gt;=0.1),(C16&lt;=10000))</formula1>
    </dataValidation>
    <dataValidation type="custom" allowBlank="1" showErrorMessage="1" error="Please enter a 0 or 1" prompt="应在包间隔范围内" sqref="C17">
      <formula1>OR((C17=0),(C17=1))</formula1>
    </dataValidation>
    <dataValidation type="custom" allowBlank="1" showInputMessage="1" showErrorMessage="1" error="Please enter 1000 or 100" sqref="C18">
      <formula1>OR((C18=1000),(C18=100))</formula1>
    </dataValidation>
    <dataValidation type="whole" allowBlank="1" showInputMessage="1" showErrorMessage="1" error="Set the value range [ 0,'BandwidthReserveMaxValue']" sqref="C19">
      <formula1>0</formula1>
      <formula2>C20</formula2>
    </dataValidation>
    <dataValidation type="whole" allowBlank="1" showErrorMessage="1" error="The setting value exceeds the reserved bandwidth range" prompt="设置值应在预留带宽范围内" sqref="C20">
      <formula1>0</formula1>
      <formula2>C40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" workbookViewId="0">
      <selection activeCell="C77" sqref="C77"/>
    </sheetView>
  </sheetViews>
  <sheetFormatPr defaultColWidth="9" defaultRowHeight="13.5"/>
  <cols>
    <col min="1" max="1" width="21.5" hidden="1" customWidth="1"/>
    <col min="2" max="2" width="28.5" customWidth="1"/>
    <col min="3" max="3" width="16.375" customWidth="1"/>
    <col min="9" max="9" width="9" customWidth="1"/>
    <col min="10" max="10" width="174.875" hidden="1" customWidth="1"/>
  </cols>
  <sheetData>
    <row r="1" spans="1:4" ht="15.75" customHeight="1">
      <c r="A1" s="1" t="s">
        <v>65</v>
      </c>
      <c r="B1" s="1"/>
      <c r="C1" s="2"/>
    </row>
    <row r="2" spans="1:4">
      <c r="A2" s="1" t="s">
        <v>66</v>
      </c>
      <c r="B2" s="1" t="s">
        <v>67</v>
      </c>
      <c r="C2" s="1">
        <f>C45</f>
        <v>1440</v>
      </c>
    </row>
    <row r="3" spans="1:4">
      <c r="A3" s="1" t="s">
        <v>68</v>
      </c>
      <c r="B3" s="1" t="s">
        <v>69</v>
      </c>
      <c r="C3" s="1">
        <f>C46</f>
        <v>1080</v>
      </c>
    </row>
    <row r="4" spans="1:4">
      <c r="A4" s="1" t="s">
        <v>70</v>
      </c>
      <c r="B4" s="1" t="s">
        <v>71</v>
      </c>
      <c r="C4" s="2">
        <v>1440</v>
      </c>
      <c r="D4" s="3" t="str">
        <f>IF(OR(C4&gt;C2,C4&lt;64),J62,"")</f>
        <v/>
      </c>
    </row>
    <row r="5" spans="1:4">
      <c r="A5" s="1" t="s">
        <v>72</v>
      </c>
      <c r="B5" s="1" t="s">
        <v>73</v>
      </c>
      <c r="C5" s="2">
        <v>1080</v>
      </c>
      <c r="D5" s="3" t="str">
        <f>IF(OR(C5&gt;C3,C5&lt;4),J63,"")</f>
        <v/>
      </c>
    </row>
    <row r="6" spans="1:4">
      <c r="A6" s="1" t="s">
        <v>74</v>
      </c>
      <c r="B6" s="1" t="s">
        <v>75</v>
      </c>
      <c r="C6" s="2">
        <v>1</v>
      </c>
    </row>
    <row r="7" spans="1:4">
      <c r="A7" s="1" t="s">
        <v>76</v>
      </c>
      <c r="B7" s="1" t="s">
        <v>77</v>
      </c>
      <c r="C7" s="2">
        <v>1</v>
      </c>
    </row>
    <row r="8" spans="1:4">
      <c r="A8" s="1" t="s">
        <v>78</v>
      </c>
      <c r="B8" s="1" t="s">
        <v>79</v>
      </c>
      <c r="C8" s="2">
        <v>1</v>
      </c>
    </row>
    <row r="9" spans="1:4">
      <c r="A9" s="1" t="s">
        <v>80</v>
      </c>
      <c r="B9" s="1" t="s">
        <v>81</v>
      </c>
      <c r="C9" s="2">
        <v>1</v>
      </c>
    </row>
    <row r="10" spans="1:4">
      <c r="A10" s="1" t="s">
        <v>82</v>
      </c>
      <c r="B10" s="1" t="s">
        <v>83</v>
      </c>
      <c r="C10" s="2">
        <v>10000</v>
      </c>
    </row>
    <row r="11" spans="1:4">
      <c r="A11" s="1" t="s">
        <v>84</v>
      </c>
      <c r="B11" s="1" t="s">
        <v>85</v>
      </c>
      <c r="C11" s="2">
        <v>0</v>
      </c>
    </row>
    <row r="12" spans="1:4">
      <c r="A12" s="1" t="s">
        <v>86</v>
      </c>
      <c r="B12" s="1" t="s">
        <v>87</v>
      </c>
      <c r="C12" s="2">
        <v>8</v>
      </c>
    </row>
    <row r="13" spans="1:4">
      <c r="A13" s="1" t="s">
        <v>88</v>
      </c>
      <c r="B13" s="1" t="s">
        <v>89</v>
      </c>
      <c r="C13" s="2">
        <v>1500</v>
      </c>
    </row>
    <row r="14" spans="1:4">
      <c r="A14" s="1" t="s">
        <v>90</v>
      </c>
      <c r="B14" s="1" t="s">
        <v>91</v>
      </c>
      <c r="C14" s="2">
        <v>0</v>
      </c>
    </row>
    <row r="15" spans="1:4">
      <c r="A15" s="1" t="s">
        <v>92</v>
      </c>
      <c r="B15" s="1" t="s">
        <v>93</v>
      </c>
      <c r="C15" s="1">
        <f>C36</f>
        <v>180000</v>
      </c>
    </row>
    <row r="16" spans="1:4">
      <c r="A16" s="1" t="s">
        <v>94</v>
      </c>
      <c r="B16" s="1" t="s">
        <v>95</v>
      </c>
      <c r="C16" s="2">
        <v>75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5</v>
      </c>
    </row>
    <row r="20" spans="1:3">
      <c r="A20" s="1" t="s">
        <v>102</v>
      </c>
      <c r="B20" s="1" t="s">
        <v>103</v>
      </c>
      <c r="C20" s="1">
        <f>C40</f>
        <v>99</v>
      </c>
    </row>
    <row r="21" spans="1:3" ht="14.25" customHeight="1">
      <c r="A21" s="1"/>
      <c r="B21" s="1"/>
      <c r="C21" s="1"/>
    </row>
    <row r="22" spans="1:3" hidden="1">
      <c r="A22" s="4"/>
      <c r="B22" s="1"/>
      <c r="C22" s="1"/>
    </row>
    <row r="23" spans="1:3" hidden="1">
      <c r="A23" s="4" t="s">
        <v>105</v>
      </c>
      <c r="B23" s="1"/>
      <c r="C23" s="6">
        <f>C16*10</f>
        <v>750</v>
      </c>
    </row>
    <row r="24" spans="1:3" hidden="1">
      <c r="A24" s="4" t="s">
        <v>106</v>
      </c>
      <c r="B24" s="6"/>
      <c r="C24" s="6">
        <f>(C5+42)</f>
        <v>1122</v>
      </c>
    </row>
    <row r="25" spans="1:3" hidden="1">
      <c r="A25" s="4" t="s">
        <v>107</v>
      </c>
      <c r="B25" s="6"/>
      <c r="C25" s="6">
        <f>MAX(ROUNDUP((C10*1000-14260)/C42,0),1)</f>
        <v>1204</v>
      </c>
    </row>
    <row r="26" spans="1:3" hidden="1">
      <c r="A26" s="4" t="s">
        <v>108</v>
      </c>
      <c r="B26" s="6"/>
      <c r="C26" s="6">
        <f>ROUNDUP(C11*1000/C42,0)</f>
        <v>0</v>
      </c>
    </row>
    <row r="27" spans="1:3" hidden="1">
      <c r="A27" s="4" t="s">
        <v>109</v>
      </c>
      <c r="B27" s="6"/>
      <c r="C27" s="6">
        <f>C25+C26+18</f>
        <v>1222</v>
      </c>
    </row>
    <row r="28" spans="1:3" hidden="1">
      <c r="A28" s="4" t="s">
        <v>110</v>
      </c>
      <c r="B28" s="6"/>
      <c r="C28" s="6">
        <v>0</v>
      </c>
    </row>
    <row r="29" spans="1:3" hidden="1">
      <c r="A29" s="4" t="s">
        <v>111</v>
      </c>
      <c r="B29" s="6"/>
      <c r="C29" s="6">
        <f>ROUNDDOWN((C4*C5*ROUNDUP(C12/8,0)+C28*32)/(C13-36),0)</f>
        <v>1062</v>
      </c>
    </row>
    <row r="30" spans="1:3" hidden="1">
      <c r="A30" s="4" t="s">
        <v>112</v>
      </c>
      <c r="B30" s="6"/>
      <c r="C30" s="6">
        <f>C4*C5*ROUNDUP(C12/8,0)+C28*32-(C13-36)*C29</f>
        <v>432</v>
      </c>
    </row>
    <row r="31" spans="1:3" hidden="1">
      <c r="A31" s="6" t="s">
        <v>113</v>
      </c>
      <c r="B31" s="6"/>
      <c r="C31" s="6">
        <f>ROUNDDOWN((ROUNDUP((((62+(C13-36))*C29+62+C30+(168-C28*24))+(C14+12)*(C29+3))/ROUNDDOWN(C18*(100-C19)/100,0),0)*8)*540/C43/10,0)</f>
        <v>1659</v>
      </c>
    </row>
    <row r="32" spans="1:3" hidden="1">
      <c r="A32" s="6" t="s">
        <v>114</v>
      </c>
      <c r="B32" s="6"/>
      <c r="C32" s="6">
        <f>ROUNDUP(10000000000/C23/C42,0)</f>
        <v>1608</v>
      </c>
    </row>
    <row r="33" spans="1:3" hidden="1">
      <c r="A33" s="6" t="s">
        <v>115</v>
      </c>
      <c r="B33" s="6"/>
      <c r="C33" s="6">
        <f>MAX(C24,C27,C31,C32*C17)</f>
        <v>1659</v>
      </c>
    </row>
    <row r="34" spans="1:3" hidden="1">
      <c r="A34" s="6" t="s">
        <v>116</v>
      </c>
      <c r="B34" s="6"/>
      <c r="C34" s="6">
        <f>ROUND(1000000/ROUNDDOWN(C33*10*C43/540,0),2)</f>
        <v>72.66</v>
      </c>
    </row>
    <row r="35" spans="1:3" hidden="1">
      <c r="A35" s="6" t="s">
        <v>117</v>
      </c>
      <c r="B35" s="6"/>
      <c r="C35" s="6">
        <f>12500*C18*(100-C19)</f>
        <v>1187500000</v>
      </c>
    </row>
    <row r="36" spans="1:3" hidden="1">
      <c r="A36" s="6" t="s">
        <v>118</v>
      </c>
      <c r="B36" s="6"/>
      <c r="C36" s="6">
        <f>IF((ROUNDDOWN((C35-(62+C13-36)*C29-62-C30-168+C28*24)/(C29+3),0)-12)&gt;C37,C37,ROUNDDOWN((C35-(62+C13-36)*C29-62-C30-168+C28*24)/(C29+3),0)-12)</f>
        <v>180000</v>
      </c>
    </row>
    <row r="37" spans="1:3" hidden="1">
      <c r="A37" s="6" t="s">
        <v>119</v>
      </c>
      <c r="B37" s="6"/>
      <c r="C37" s="6">
        <f>IF(C18=1000,180000,18000)</f>
        <v>180000</v>
      </c>
    </row>
    <row r="38" spans="1:3" hidden="1">
      <c r="A38" s="6" t="s">
        <v>120</v>
      </c>
      <c r="B38" s="6"/>
      <c r="C38" s="6">
        <f>((62+(C13-36))*C29+62+C30+168)+(C14+12)*(C29+3)</f>
        <v>1634054</v>
      </c>
    </row>
    <row r="39" spans="1:3" hidden="1">
      <c r="A39" s="6" t="s">
        <v>117</v>
      </c>
      <c r="B39" s="6"/>
      <c r="C39" s="6">
        <f>125000*C18</f>
        <v>125000000</v>
      </c>
    </row>
    <row r="40" spans="1:3" hidden="1">
      <c r="A40" s="6" t="s">
        <v>121</v>
      </c>
      <c r="B40" s="6"/>
      <c r="C40" s="6">
        <f>IF((100-ROUNDDOWN(C38*10/(1250000*C18/10),0)-1)&lt;0,0,(100-ROUNDDOWN(C38*10/(1250000*C18/10),0)-1))</f>
        <v>99</v>
      </c>
    </row>
    <row r="41" spans="1:3" hidden="1">
      <c r="A41" s="6" t="s">
        <v>122</v>
      </c>
      <c r="B41" s="6"/>
      <c r="C41" s="6">
        <f>ROUNDDOWN((C35-(62+C13-36)*C29-62-C30-168+C28*24)/(C29+3),0)-12</f>
        <v>1113489</v>
      </c>
    </row>
    <row r="42" spans="1:3" hidden="1">
      <c r="A42" s="6" t="s">
        <v>123</v>
      </c>
      <c r="B42" s="6"/>
      <c r="C42" s="6">
        <f>ROUNDUP(1000000*C43/54000,0)</f>
        <v>8297</v>
      </c>
    </row>
    <row r="43" spans="1:3" hidden="1">
      <c r="A43" s="6" t="s">
        <v>124</v>
      </c>
      <c r="B43" s="6"/>
      <c r="C43" s="6">
        <f>448*ROUNDUP(C12/8,0)</f>
        <v>448</v>
      </c>
    </row>
    <row r="44" spans="1:3" s="116" customFormat="1" ht="15" hidden="1" customHeight="1">
      <c r="A44" s="122"/>
      <c r="B44" s="122"/>
      <c r="C44" s="122"/>
    </row>
    <row r="45" spans="1:3" hidden="1">
      <c r="A45" s="6" t="s">
        <v>125</v>
      </c>
      <c r="B45" s="6"/>
      <c r="C45" s="6">
        <f>ROUNDDOWN(1440/(4*C47),0)*4</f>
        <v>1440</v>
      </c>
    </row>
    <row r="46" spans="1:3" hidden="1">
      <c r="A46" s="6" t="s">
        <v>126</v>
      </c>
      <c r="B46" s="6"/>
      <c r="C46" s="6">
        <f>ROUNDDOWN(1080/(2*C48),0)*2</f>
        <v>1080</v>
      </c>
    </row>
    <row r="47" spans="1:3" hidden="1">
      <c r="A47" s="6" t="s">
        <v>127</v>
      </c>
      <c r="B47" s="6"/>
      <c r="C47" s="6">
        <f>IF(C6=1,C8,C6)</f>
        <v>1</v>
      </c>
    </row>
    <row r="48" spans="1:3" hidden="1">
      <c r="A48" s="6" t="s">
        <v>128</v>
      </c>
      <c r="B48" s="6"/>
      <c r="C48" s="6">
        <f>IF(C7=1,C9,C7)</f>
        <v>1</v>
      </c>
    </row>
    <row r="49" spans="1:10" hidden="1">
      <c r="A49" s="6" t="s">
        <v>129</v>
      </c>
      <c r="B49" s="6"/>
      <c r="C49" s="6">
        <f>ROUNDDOWN(C53/4,0)*4*C47</f>
        <v>1440</v>
      </c>
    </row>
    <row r="50" spans="1:10" hidden="1">
      <c r="A50" s="6" t="s">
        <v>130</v>
      </c>
      <c r="B50" s="6"/>
      <c r="C50" s="6">
        <f>ROUNDDOWN(C54/2,0)*2*C48</f>
        <v>1080</v>
      </c>
    </row>
    <row r="51" spans="1:10" hidden="1">
      <c r="A51" s="6" t="s">
        <v>131</v>
      </c>
      <c r="B51" s="6"/>
      <c r="C51" s="6">
        <f>ROUNDDOWN(C4/4,0)*4*C47</f>
        <v>1440</v>
      </c>
    </row>
    <row r="52" spans="1:10" hidden="1">
      <c r="A52" s="6" t="s">
        <v>132</v>
      </c>
      <c r="B52" s="6"/>
      <c r="C52" s="6">
        <f>ROUNDDOWN(C5/2,0)*2*C48</f>
        <v>1080</v>
      </c>
    </row>
    <row r="53" spans="1:10" hidden="1">
      <c r="A53" s="6" t="s">
        <v>133</v>
      </c>
      <c r="B53" s="6"/>
      <c r="C53" s="6">
        <f>ROUNDDOWN(C51/(4*C47),0)*4</f>
        <v>1440</v>
      </c>
    </row>
    <row r="54" spans="1:10" hidden="1">
      <c r="A54" s="6" t="s">
        <v>134</v>
      </c>
      <c r="B54" s="6"/>
      <c r="C54" s="6">
        <f>ROUNDDOWN(C52/(2*C48),0)*2</f>
        <v>1080</v>
      </c>
    </row>
    <row r="55" spans="1:10" hidden="1">
      <c r="A55" s="6"/>
      <c r="B55" s="6"/>
      <c r="C55" s="6"/>
    </row>
    <row r="56" spans="1:10" ht="14.25">
      <c r="A56" s="11" t="s">
        <v>135</v>
      </c>
      <c r="B56" s="11"/>
      <c r="C56" s="11"/>
    </row>
    <row r="57" spans="1:10" ht="14.25">
      <c r="A57" s="11" t="s">
        <v>116</v>
      </c>
      <c r="B57" s="11" t="s">
        <v>136</v>
      </c>
      <c r="C57" s="11">
        <f>C34</f>
        <v>72.66</v>
      </c>
      <c r="D57" s="3" t="str">
        <f>IF(J68=1,J64,"")</f>
        <v/>
      </c>
    </row>
    <row r="61" spans="1:10" ht="27">
      <c r="J61" s="55" t="s">
        <v>137</v>
      </c>
    </row>
    <row r="62" spans="1:10">
      <c r="J62" t="s">
        <v>138</v>
      </c>
    </row>
    <row r="63" spans="1:10">
      <c r="J63" t="s">
        <v>142</v>
      </c>
    </row>
    <row r="64" spans="1:10">
      <c r="J64" t="s">
        <v>140</v>
      </c>
    </row>
    <row r="67" spans="1:10">
      <c r="J67" t="s">
        <v>141</v>
      </c>
    </row>
    <row r="68" spans="1:10">
      <c r="A68" t="str">
        <f>IF(J95=1,J91,"")</f>
        <v/>
      </c>
      <c r="J68">
        <f>IF(OR(OR(C4&gt;C2,C4&lt;64),OR(C5&gt;C3,C5&lt;4)),1,0)</f>
        <v>0</v>
      </c>
    </row>
  </sheetData>
  <sheetProtection selectLockedCells="1"/>
  <phoneticPr fontId="10" type="noConversion"/>
  <dataValidations count="19">
    <dataValidation type="whole" allowBlank="1" showInputMessage="1" showErrorMessage="1" error="The input range :[20,1000000]" sqref="C10">
      <formula1>20</formula1>
      <formula2>1000000</formula2>
    </dataValidation>
    <dataValidation type="custom" allowBlank="1" showInputMessage="1" showErrorMessage="1" error="The input parameter value is 1 or 2 and cannot be entered when the vertical pixel Binning is not 1" sqref="C9">
      <formula1>AND(OR((C9=1),(C9=2)),C7=1)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The input parameter value is 1 or 2, and cannot be entered if the horizontal pixel sampling is not 1" sqref="C6">
      <formula1>AND(OR((C6=1),(C6=2)),C8=1)</formula1>
    </dataValidation>
    <dataValidation type="custom" allowBlank="1" showInputMessage="1" showErrorMessage="1" error="The input parameter has a value of 1 or 2 and cannot be entered when the horizontal pixel Binning is not 1" sqref="C8">
      <formula1>AND(OR((C8=1),(C8=2)),C6=1)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Input range:[64,'WidthMax'],and is an integer multiple of 4" sqref="C4">
      <formula1>AND((C4&lt;=C2),(C4&gt;=64),(MOD(C4,4)=0))</formula1>
    </dataValidation>
    <dataValidation type="custom" allowBlank="1" showInputMessage="1" showErrorMessage="1" error="Input range:[4,'HeightMax'],and is an integer multiple of 2" sqref="C5">
      <formula1>AND((C5&lt;=C3),(C5&gt;=4),(MOD(C5,2)=0))</formula1>
    </dataValidation>
    <dataValidation type="custom" allowBlank="1" showInputMessage="1" showErrorMessage="1" error="The input parameter value is 1 or 2, and cannot be entered if the vertical pixel sampling is not 1" sqref="C7">
      <formula1>AND(OR((C7=1),(C7=2)),C9=1)</formula1>
    </dataValidation>
    <dataValidation type="whole" allowBlank="1" showInputMessage="1" showErrorMessage="1" error="The input range: [0,5000]" sqref="C11">
      <formula1>0</formula1>
      <formula2>5000</formula2>
    </dataValidation>
    <dataValidation type="custom" allowBlank="1" showInputMessage="1" showErrorMessage="1" error="Please enter 8 or 12" sqref="C12">
      <formula1>OR((C12=8),(C12=12))</formula1>
    </dataValidation>
    <dataValidation type="custom" allowBlank="1" showInputMessage="1" showErrorMessage="1" error="The input range :[512,8192], and the step size is 4" sqref="C13">
      <formula1>AND((C13&lt;=8192),(C13&gt;=512),(MOD(C13,4)=0))</formula1>
    </dataValidation>
    <dataValidation type="whole" allowBlank="1" showInputMessage="1" showErrorMessage="1" error="Set the value range:[ 0,'GevSCPDMaxValue']" sqref="C14">
      <formula1>0</formula1>
      <formula2>C15</formula2>
    </dataValidation>
    <dataValidation type="whole" allowBlank="1" showErrorMessage="1" error="Set the value to exceed the maximum" prompt="应在包间隔范围内" sqref="C15">
      <formula1>0</formula1>
      <formula2>C36</formula2>
    </dataValidation>
    <dataValidation type="custom" allowBlank="1" showErrorMessage="1" error="Set the value range :[ 0.1,10000.0], accurate to one decimal" prompt="应在包间隔范围内" sqref="C16">
      <formula1>AND(TRUNC(C16,1)=C16,(C16&gt;=0.1),(C16&lt;=10000))</formula1>
    </dataValidation>
    <dataValidation type="custom" allowBlank="1" showErrorMessage="1" error="Please enter a 0 or 1" prompt="应在包间隔范围内" sqref="C17">
      <formula1>OR((C17=0),(C17=1))</formula1>
    </dataValidation>
    <dataValidation type="custom" allowBlank="1" showInputMessage="1" showErrorMessage="1" error="Please enter 1000 or 100" sqref="C18">
      <formula1>OR((C18=1000),(C18=100))</formula1>
    </dataValidation>
    <dataValidation type="whole" allowBlank="1" showInputMessage="1" showErrorMessage="1" error="Set the value range [ 0,'BandwidthReserveMaxValue']" sqref="C19">
      <formula1>0</formula1>
      <formula2>C20</formula2>
    </dataValidation>
    <dataValidation type="whole" allowBlank="1" showErrorMessage="1" error="The setting value exceeds the reserved bandwidth range" prompt="设置值应在预留带宽范围内" sqref="C20">
      <formula1>0</formula1>
      <formula2>C40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B1" workbookViewId="0">
      <selection activeCell="C2" sqref="C2"/>
    </sheetView>
  </sheetViews>
  <sheetFormatPr defaultColWidth="9" defaultRowHeight="13.5"/>
  <cols>
    <col min="1" max="1" width="35.875" hidden="1" customWidth="1"/>
    <col min="2" max="2" width="30" customWidth="1"/>
    <col min="3" max="3" width="11.625" customWidth="1"/>
  </cols>
  <sheetData>
    <row r="1" spans="1:3">
      <c r="A1" s="1" t="s">
        <v>65</v>
      </c>
      <c r="B1" s="1"/>
      <c r="C1" s="2"/>
    </row>
    <row r="2" spans="1:3">
      <c r="A2" s="1" t="s">
        <v>66</v>
      </c>
      <c r="B2" s="1" t="s">
        <v>67</v>
      </c>
      <c r="C2" s="1">
        <v>1600</v>
      </c>
    </row>
    <row r="3" spans="1:3">
      <c r="A3" s="1" t="s">
        <v>68</v>
      </c>
      <c r="B3" s="1" t="s">
        <v>69</v>
      </c>
      <c r="C3" s="1">
        <f>ROUNDDOWN(1200/(2*C47)*2,0)</f>
        <v>1200</v>
      </c>
    </row>
    <row r="4" spans="1:3">
      <c r="A4" s="1" t="s">
        <v>70</v>
      </c>
      <c r="B4" s="1" t="s">
        <v>71</v>
      </c>
      <c r="C4" s="2">
        <v>1600</v>
      </c>
    </row>
    <row r="5" spans="1:3">
      <c r="A5" s="1" t="s">
        <v>72</v>
      </c>
      <c r="B5" s="1" t="s">
        <v>73</v>
      </c>
      <c r="C5" s="2">
        <v>1200</v>
      </c>
    </row>
    <row r="6" spans="1:3" hidden="1">
      <c r="A6" s="1" t="s">
        <v>74</v>
      </c>
      <c r="B6" s="1" t="s">
        <v>75</v>
      </c>
      <c r="C6" s="2">
        <v>1</v>
      </c>
    </row>
    <row r="7" spans="1:3" hidden="1">
      <c r="A7" s="1" t="s">
        <v>76</v>
      </c>
      <c r="B7" s="1" t="s">
        <v>77</v>
      </c>
      <c r="C7" s="2">
        <v>1</v>
      </c>
    </row>
    <row r="8" spans="1:3" hidden="1">
      <c r="A8" s="1" t="s">
        <v>78</v>
      </c>
      <c r="B8" s="1" t="s">
        <v>79</v>
      </c>
      <c r="C8" s="2">
        <v>1</v>
      </c>
    </row>
    <row r="9" spans="1:3" hidden="1">
      <c r="A9" s="1" t="s">
        <v>80</v>
      </c>
      <c r="B9" s="1" t="s">
        <v>81</v>
      </c>
      <c r="C9" s="2">
        <v>1</v>
      </c>
    </row>
    <row r="10" spans="1:3">
      <c r="A10" s="1" t="s">
        <v>82</v>
      </c>
      <c r="B10" s="1" t="s">
        <v>83</v>
      </c>
      <c r="C10" s="2">
        <v>10000</v>
      </c>
    </row>
    <row r="11" spans="1:3" hidden="1">
      <c r="A11" s="1" t="s">
        <v>84</v>
      </c>
      <c r="B11" s="1" t="s">
        <v>85</v>
      </c>
      <c r="C11" s="2">
        <v>0</v>
      </c>
    </row>
    <row r="12" spans="1:3">
      <c r="A12" s="1" t="s">
        <v>86</v>
      </c>
      <c r="B12" s="1" t="s">
        <v>143</v>
      </c>
      <c r="C12" s="2">
        <v>8</v>
      </c>
    </row>
    <row r="13" spans="1:3">
      <c r="A13" s="1" t="s">
        <v>88</v>
      </c>
      <c r="B13" s="1" t="s">
        <v>89</v>
      </c>
      <c r="C13" s="2">
        <v>1500</v>
      </c>
    </row>
    <row r="14" spans="1:3">
      <c r="A14" s="1" t="s">
        <v>90</v>
      </c>
      <c r="B14" s="1" t="s">
        <v>91</v>
      </c>
      <c r="C14" s="2">
        <v>0</v>
      </c>
    </row>
    <row r="15" spans="1:3">
      <c r="A15" s="1" t="s">
        <v>92</v>
      </c>
      <c r="B15" s="1" t="s">
        <v>93</v>
      </c>
      <c r="C15" s="1">
        <f>C37</f>
        <v>180000</v>
      </c>
    </row>
    <row r="16" spans="1:3">
      <c r="A16" s="1" t="s">
        <v>94</v>
      </c>
      <c r="B16" s="1" t="s">
        <v>95</v>
      </c>
      <c r="C16" s="2">
        <v>55.8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10</v>
      </c>
    </row>
    <row r="20" spans="1:3">
      <c r="A20" s="1" t="s">
        <v>102</v>
      </c>
      <c r="B20" s="1" t="s">
        <v>103</v>
      </c>
      <c r="C20" s="1">
        <f>C40</f>
        <v>99</v>
      </c>
    </row>
    <row r="21" spans="1:3">
      <c r="A21" s="1" t="s">
        <v>144</v>
      </c>
      <c r="B21" s="1" t="s">
        <v>145</v>
      </c>
      <c r="C21" s="2">
        <v>0</v>
      </c>
    </row>
    <row r="22" spans="1:3" ht="12.75" customHeight="1">
      <c r="A22" s="4"/>
      <c r="B22" s="1"/>
      <c r="C22" s="1"/>
    </row>
    <row r="23" spans="1:3" hidden="1">
      <c r="A23" s="4" t="s">
        <v>105</v>
      </c>
      <c r="B23" s="1"/>
      <c r="C23" s="6">
        <f>C16*10</f>
        <v>558</v>
      </c>
    </row>
    <row r="24" spans="1:3" hidden="1">
      <c r="A24" s="4" t="s">
        <v>106</v>
      </c>
      <c r="B24" s="6"/>
      <c r="C24" s="6">
        <f>IF(C21=1,C25+C49+13+13,C49+13)</f>
        <v>1213</v>
      </c>
    </row>
    <row r="25" spans="1:3" hidden="1">
      <c r="A25" s="4" t="s">
        <v>107</v>
      </c>
      <c r="B25" s="6"/>
      <c r="C25" s="6">
        <f>MAX(ROUNDUP(C10*600/(10*816),0),1)</f>
        <v>736</v>
      </c>
    </row>
    <row r="26" spans="1:3" hidden="1">
      <c r="A26" s="4" t="s">
        <v>108</v>
      </c>
      <c r="B26" s="6"/>
      <c r="C26" s="6">
        <f>ROUNDDOWN(C11*375/(10*746),0)</f>
        <v>0</v>
      </c>
    </row>
    <row r="27" spans="1:3" hidden="1">
      <c r="A27" s="4" t="s">
        <v>109</v>
      </c>
      <c r="B27" s="6"/>
      <c r="C27" s="6">
        <f>C25+C26</f>
        <v>736</v>
      </c>
    </row>
    <row r="28" spans="1:3" hidden="1">
      <c r="A28" s="4" t="s">
        <v>110</v>
      </c>
      <c r="B28" s="6"/>
      <c r="C28" s="6">
        <v>0</v>
      </c>
    </row>
    <row r="29" spans="1:3" hidden="1">
      <c r="A29" s="4" t="s">
        <v>111</v>
      </c>
      <c r="B29" s="6"/>
      <c r="C29" s="6">
        <f>ROUNDDOWN((C4*C5*ROUNDUP(C12/8,0)+C28*36)/(C13-36),0)</f>
        <v>1311</v>
      </c>
    </row>
    <row r="30" spans="1:3" hidden="1">
      <c r="A30" s="4" t="s">
        <v>112</v>
      </c>
      <c r="B30" s="6"/>
      <c r="C30" s="6">
        <f>C4*C5*ROUNDUP(C12/8,0)+C28*32-(C13-36)*C29</f>
        <v>696</v>
      </c>
    </row>
    <row r="31" spans="1:3" hidden="1">
      <c r="A31" s="6" t="s">
        <v>113</v>
      </c>
      <c r="B31" s="6"/>
      <c r="C31" s="6">
        <f>ROUNDUP((ROUNDDOWN((((62+(C13-36))*C29+62+C30+(168-C28*24))+(C14+12)*(C29+3))/ROUNDDOWN(C18*(100-C19)/100,0),0)*8)*600/816/10,0)</f>
        <v>1319</v>
      </c>
    </row>
    <row r="32" spans="1:3" hidden="1">
      <c r="A32" s="6" t="s">
        <v>114</v>
      </c>
      <c r="B32" s="6"/>
      <c r="C32" s="6">
        <f>C17*ROUNDDOWN(10000000/C23*600/816/10,0)</f>
        <v>0</v>
      </c>
    </row>
    <row r="33" spans="1:3" hidden="1">
      <c r="A33" s="6" t="s">
        <v>146</v>
      </c>
      <c r="B33" s="6"/>
      <c r="C33" s="6"/>
    </row>
    <row r="34" spans="1:3" hidden="1">
      <c r="A34" s="6" t="s">
        <v>115</v>
      </c>
      <c r="B34" s="6"/>
      <c r="C34" s="6">
        <f>MAX(C24,C27,C31,C32)</f>
        <v>1319</v>
      </c>
    </row>
    <row r="35" spans="1:3" hidden="1">
      <c r="A35" s="6" t="s">
        <v>116</v>
      </c>
      <c r="B35" s="6"/>
      <c r="C35" s="6">
        <f>ROUND(1000000/ROUNDDOWN(C34*10*816/600,0),2)</f>
        <v>55.75</v>
      </c>
    </row>
    <row r="36" spans="1:3" hidden="1">
      <c r="A36" s="6" t="s">
        <v>117</v>
      </c>
      <c r="B36" s="6"/>
      <c r="C36" s="6">
        <f>12500*C18*(100-C19)</f>
        <v>1125000000</v>
      </c>
    </row>
    <row r="37" spans="1:3" hidden="1">
      <c r="A37" s="6" t="s">
        <v>118</v>
      </c>
      <c r="B37" s="6"/>
      <c r="C37" s="6">
        <f>IF((ROUNDDOWN((C36-(62+C13-36)*C29-62-C30-168+C28*24)/(C29+3),0)-12)&gt;180000,180000,ROUNDDOWN((C36-(62+C13-36)*C29-62-C30-168+C28*24)/(C29+3),0)-12)</f>
        <v>180000</v>
      </c>
    </row>
    <row r="38" spans="1:3" hidden="1">
      <c r="A38" s="6" t="s">
        <v>120</v>
      </c>
      <c r="B38" s="6"/>
      <c r="C38" s="6">
        <f>((62+(C13-36))*C29+62+C30+168)+(C14+12)*(C29+3)</f>
        <v>2017280</v>
      </c>
    </row>
    <row r="39" spans="1:3" hidden="1">
      <c r="A39" s="6" t="s">
        <v>117</v>
      </c>
      <c r="B39" s="6"/>
      <c r="C39" s="6">
        <f>125000*C18</f>
        <v>125000000</v>
      </c>
    </row>
    <row r="40" spans="1:3" hidden="1">
      <c r="A40" s="6" t="s">
        <v>121</v>
      </c>
      <c r="B40" s="6"/>
      <c r="C40" s="6">
        <f>IF((100-ROUNDDOWN(C38*10/(1250000*C18/10),0)-1)&lt;0,0,(100-ROUNDDOWN(C38*10/(1250000*C18/10),0)-1))</f>
        <v>99</v>
      </c>
    </row>
    <row r="41" spans="1:3" hidden="1">
      <c r="A41" s="6" t="s">
        <v>122</v>
      </c>
      <c r="B41" s="6"/>
      <c r="C41" s="6">
        <f>ROUNDDOWN((C36-(62+C13-36)*C29-62-C30-168+C28*24)/(C29+3),0)-12</f>
        <v>854629</v>
      </c>
    </row>
    <row r="42" spans="1:3" hidden="1">
      <c r="A42" s="6" t="s">
        <v>147</v>
      </c>
      <c r="B42" s="6"/>
      <c r="C42" s="6">
        <f>INT(1000000000/INT((C34*816*10/600)))</f>
        <v>55747</v>
      </c>
    </row>
    <row r="43" spans="1:3" hidden="1">
      <c r="A43" s="6" t="s">
        <v>148</v>
      </c>
      <c r="B43" s="6"/>
      <c r="C43" s="6">
        <f>INT(C4*C42/10*IF(C12=8,1,2)/10*C5/10)</f>
        <v>107034240</v>
      </c>
    </row>
    <row r="44" spans="1:3" hidden="1">
      <c r="A44" s="6" t="s">
        <v>149</v>
      </c>
      <c r="B44" s="6"/>
      <c r="C44" s="6">
        <f>INT(C43*10/(100-C19)*10)</f>
        <v>118926933</v>
      </c>
    </row>
    <row r="45" spans="1:3" hidden="1">
      <c r="A45" s="6"/>
      <c r="B45" s="6"/>
      <c r="C45" s="6"/>
    </row>
    <row r="46" spans="1:3" hidden="1">
      <c r="A46" s="6" t="s">
        <v>127</v>
      </c>
      <c r="B46" s="6"/>
      <c r="C46" s="6">
        <f>IF(C6=2,2,(IF(C8=2,2,1)))</f>
        <v>1</v>
      </c>
    </row>
    <row r="47" spans="1:3" hidden="1">
      <c r="A47" s="6" t="s">
        <v>128</v>
      </c>
      <c r="B47" s="6"/>
      <c r="C47" s="6">
        <f>IF(C7=2,2,(IF(C9=2,2,1)))</f>
        <v>1</v>
      </c>
    </row>
    <row r="48" spans="1:3" hidden="1">
      <c r="A48" s="6" t="s">
        <v>129</v>
      </c>
      <c r="B48" s="6"/>
      <c r="C48" s="6">
        <f>ROUNDDOWN(C52/4,0)*4*C46</f>
        <v>1600</v>
      </c>
    </row>
    <row r="49" spans="1:3" hidden="1">
      <c r="A49" s="6" t="s">
        <v>130</v>
      </c>
      <c r="B49" s="6"/>
      <c r="C49" s="6">
        <f>ROUNDDOWN(C53/2,0)*2*C47</f>
        <v>1200</v>
      </c>
    </row>
    <row r="50" spans="1:3" hidden="1">
      <c r="A50" s="6" t="s">
        <v>131</v>
      </c>
      <c r="B50" s="6"/>
      <c r="C50" s="6">
        <f>ROUNDDOWN(C4/4,0)*4*C46</f>
        <v>1600</v>
      </c>
    </row>
    <row r="51" spans="1:3" hidden="1">
      <c r="A51" s="6" t="s">
        <v>132</v>
      </c>
      <c r="B51" s="6"/>
      <c r="C51" s="6">
        <f>ROUNDDOWN(C5/2,0)*2*C47</f>
        <v>1200</v>
      </c>
    </row>
    <row r="52" spans="1:3" hidden="1">
      <c r="A52" s="6" t="s">
        <v>133</v>
      </c>
      <c r="B52" s="6"/>
      <c r="C52" s="6">
        <f>ROUNDDOWN(C50/(4*C46),0)*4</f>
        <v>1600</v>
      </c>
    </row>
    <row r="53" spans="1:3" hidden="1">
      <c r="A53" s="6" t="s">
        <v>134</v>
      </c>
      <c r="B53" s="6"/>
      <c r="C53" s="6">
        <f>ROUNDDOWN(C51/(2*C47),0)*2</f>
        <v>1200</v>
      </c>
    </row>
    <row r="54" spans="1:3" hidden="1">
      <c r="A54" s="6"/>
      <c r="B54" s="6"/>
      <c r="C54" s="6"/>
    </row>
    <row r="55" spans="1:3" hidden="1">
      <c r="A55" s="6"/>
      <c r="B55" s="6"/>
      <c r="C55" s="6"/>
    </row>
    <row r="56" spans="1:3" ht="14.25">
      <c r="A56" s="11" t="s">
        <v>135</v>
      </c>
      <c r="B56" s="11"/>
      <c r="C56" s="11"/>
    </row>
    <row r="57" spans="1:3" ht="14.25">
      <c r="A57" s="11" t="s">
        <v>116</v>
      </c>
      <c r="B57" s="11" t="s">
        <v>136</v>
      </c>
      <c r="C57" s="11">
        <f>C35</f>
        <v>55.75</v>
      </c>
    </row>
  </sheetData>
  <sheetProtection algorithmName="SHA-512" hashValue="pzz4QIy2H3QlbdoPo71t/d0nNQErlkooA+ci6dUhAkFUYcHnd5ip55nDefnjRql9B4e4G6pG8OR9Qf9hHwvhIQ==" saltValue="Ywk0IGtMc7/5e//CwDYTcw==" spinCount="100000" sheet="1" objects="1" scenarios="1"/>
  <phoneticPr fontId="10" type="noConversion"/>
  <conditionalFormatting sqref="C4">
    <cfRule type="cellIs" dxfId="24" priority="2" operator="lessThan">
      <formula>64</formula>
    </cfRule>
    <cfRule type="cellIs" dxfId="23" priority="3" operator="greaterThan">
      <formula>$C$2</formula>
    </cfRule>
  </conditionalFormatting>
  <conditionalFormatting sqref="C5">
    <cfRule type="cellIs" dxfId="22" priority="4" stopIfTrue="1" operator="lessThan">
      <formula>64</formula>
    </cfRule>
    <cfRule type="cellIs" dxfId="21" priority="5" stopIfTrue="1" operator="greaterThan">
      <formula>$C$3</formula>
    </cfRule>
  </conditionalFormatting>
  <conditionalFormatting sqref="C57">
    <cfRule type="expression" dxfId="20" priority="1" stopIfTrue="1">
      <formula>$J$8=1</formula>
    </cfRule>
  </conditionalFormatting>
  <dataValidations count="20">
    <dataValidation type="custom" allowBlank="1" showInputMessage="1" showErrorMessage="1" error="输入参数值为1或者2，并且当水平像素抽样不为1时不能输入" sqref="C6">
      <formula1>AND(OR((C6=1),(C6=2)),C8=1)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输入参数值为1或者2，并且当垂直像素Binning不为1时不能输入" sqref="C9">
      <formula1>AND(OR((C9=1),(C9=2)),C7=1)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The input range is: [64~'WidthMax'], and the step size is 4" sqref="C4">
      <formula1>AND((C4&lt;=C2),(C4&gt;=64),(MOD(C4,4)=0))</formula1>
    </dataValidation>
    <dataValidation type="custom" allowBlank="1" showInputMessage="1" showErrorMessage="1" error="输入参数值为1或者2，并且当水平像素Binning不为1时不能输入" sqref="C8">
      <formula1>AND(OR((C8=1),(C8=2)),C6=1)</formula1>
    </dataValidation>
    <dataValidation type="custom" allowBlank="1" showInputMessage="1" showErrorMessage="1" error="输入参数值为1或者2，并且当垂直像素抽样不为1时不能输入" sqref="C7">
      <formula1>AND(OR((C7=1),(C7=2)),C9=1)</formula1>
    </dataValidation>
    <dataValidation type="custom" allowBlank="1" showInputMessage="1" showErrorMessage="1" error="The input range:[64~'HeightMax'], and the step size is 2" sqref="C5">
      <formula1>AND((C5&lt;=C3),(C5&gt;=64),(MOD(C5,2)=0))</formula1>
    </dataValidation>
    <dataValidation type="whole" allowBlank="1" showInputMessage="1" showErrorMessage="1" error="The input range :[20,1000000]" sqref="C10">
      <formula1>14</formula1>
      <formula2>900000</formula2>
    </dataValidation>
    <dataValidation type="custom" allowBlank="1" showErrorMessage="1" error="Please enter a 0 or 1" prompt="应在包间隔范围内" sqref="C17">
      <formula1>OR((C17=0),(C17=1))</formula1>
    </dataValidation>
    <dataValidation type="whole" allowBlank="1" showInputMessage="1" showErrorMessage="1" error="输入范围是[0, 5000]，单位为us" sqref="C11">
      <formula1>0</formula1>
      <formula2>5000</formula2>
    </dataValidation>
    <dataValidation type="custom" allowBlank="1" showInputMessage="1" showErrorMessage="1" error="Please enter 8 or 10" sqref="C12">
      <formula1>OR((C12=8),(C12=10))</formula1>
    </dataValidation>
    <dataValidation type="custom" allowBlank="1" showInputMessage="1" showErrorMessage="1" error="The input range is [512,8192], and the step size is 4" sqref="C13">
      <formula1>AND((C13&lt;=8192),(C13&gt;=512),(MOD(C13,4)=0))</formula1>
    </dataValidation>
    <dataValidation type="whole" allowBlank="1" showInputMessage="1" showErrorMessage="1" error="Set the value range :[0~'GevSCPDMaxValue']" sqref="C14">
      <formula1>0</formula1>
      <formula2>C15</formula2>
    </dataValidation>
    <dataValidation type="whole" allowBlank="1" showErrorMessage="1" error="Set the value to exceed the maximum" prompt="应在包间隔范围内" sqref="C15">
      <formula1>0</formula1>
      <formula2>C37</formula2>
    </dataValidation>
    <dataValidation type="custom" allowBlank="1" showErrorMessage="1" error="Set the value range : [1.2,10000.0], accurate to one decimal point" prompt="应在包间隔范围内" sqref="C16">
      <formula1>AND(TRUNC(C16,1)=C16,(C16&gt;=1.2),(C16&lt;=10000))</formula1>
    </dataValidation>
    <dataValidation type="custom" allowBlank="1" showInputMessage="1" showErrorMessage="1" error="Please enter 1000 or 100" sqref="C18">
      <formula1>OR((C18=1000),(C18=100))</formula1>
    </dataValidation>
    <dataValidation type="whole" allowBlank="1" showInputMessage="1" showErrorMessage="1" error="Set the value range :[0~'BandwidthReserveMaxValue']" sqref="C19">
      <formula1>0</formula1>
      <formula2>C20</formula2>
    </dataValidation>
    <dataValidation type="whole" allowBlank="1" error="设置值超过包间隔范围" prompt="设置值应在预留带宽范围内" sqref="C20">
      <formula1>0</formula1>
      <formula2>C40</formula2>
    </dataValidation>
    <dataValidation type="custom" allowBlank="1" showInputMessage="1" showErrorMessage="1" error="Please enter a 0 or 1" sqref="C21">
      <formula1>OR((C21=0),(C21=1))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B1" workbookViewId="0">
      <selection activeCell="C4" sqref="C4"/>
    </sheetView>
  </sheetViews>
  <sheetFormatPr defaultColWidth="9" defaultRowHeight="13.5"/>
  <cols>
    <col min="1" max="1" width="22.375" hidden="1" customWidth="1"/>
    <col min="2" max="2" width="30.875" customWidth="1"/>
    <col min="3" max="3" width="18.625" customWidth="1"/>
    <col min="4" max="4" width="10.5" customWidth="1"/>
    <col min="9" max="9" width="9" customWidth="1"/>
    <col min="10" max="10" width="9" hidden="1" customWidth="1"/>
    <col min="11" max="15" width="9" customWidth="1"/>
  </cols>
  <sheetData>
    <row r="1" spans="1:10">
      <c r="A1" s="1" t="s">
        <v>65</v>
      </c>
      <c r="B1" s="1"/>
      <c r="C1" s="2"/>
      <c r="J1" t="s">
        <v>150</v>
      </c>
    </row>
    <row r="2" spans="1:10">
      <c r="A2" s="1" t="s">
        <v>66</v>
      </c>
      <c r="B2" s="1" t="s">
        <v>67</v>
      </c>
      <c r="C2" s="1">
        <f>ROUNDDOWN(1920/(4*C45)*4,0)</f>
        <v>1920</v>
      </c>
      <c r="J2" t="s">
        <v>151</v>
      </c>
    </row>
    <row r="3" spans="1:10">
      <c r="A3" s="1" t="s">
        <v>68</v>
      </c>
      <c r="B3" s="1" t="s">
        <v>69</v>
      </c>
      <c r="C3" s="1">
        <f>ROUNDDOWN(1200/(2*C46)*2,0)</f>
        <v>1200</v>
      </c>
      <c r="J3" t="s">
        <v>152</v>
      </c>
    </row>
    <row r="4" spans="1:10">
      <c r="A4" s="1" t="s">
        <v>70</v>
      </c>
      <c r="B4" s="1" t="s">
        <v>71</v>
      </c>
      <c r="C4" s="2">
        <v>1920</v>
      </c>
      <c r="D4" s="3" t="str">
        <f>IF(OR(C4&gt;C2,C4&lt;64),J2,"")</f>
        <v/>
      </c>
      <c r="J4" t="s">
        <v>153</v>
      </c>
    </row>
    <row r="5" spans="1:10">
      <c r="A5" s="1" t="s">
        <v>72</v>
      </c>
      <c r="B5" s="1" t="s">
        <v>73</v>
      </c>
      <c r="C5" s="2">
        <v>1200</v>
      </c>
      <c r="D5" s="3" t="str">
        <f>IF(OR(C5&gt;C3,C5&lt;64),J3,"")</f>
        <v/>
      </c>
    </row>
    <row r="6" spans="1:10">
      <c r="A6" s="1" t="s">
        <v>154</v>
      </c>
      <c r="B6" s="1" t="s">
        <v>75</v>
      </c>
      <c r="C6" s="2">
        <v>1</v>
      </c>
    </row>
    <row r="7" spans="1:10">
      <c r="A7" s="1" t="s">
        <v>155</v>
      </c>
      <c r="B7" s="1" t="s">
        <v>77</v>
      </c>
      <c r="C7" s="2">
        <v>1</v>
      </c>
      <c r="J7" t="s">
        <v>156</v>
      </c>
    </row>
    <row r="8" spans="1:10">
      <c r="A8" s="1" t="s">
        <v>157</v>
      </c>
      <c r="B8" s="1" t="s">
        <v>79</v>
      </c>
      <c r="C8" s="2">
        <v>1</v>
      </c>
      <c r="J8">
        <f>IF(OR(OR(C4&gt;C2,C4&lt;64),OR(C5&gt;C3,C5&lt;64)),1,0)</f>
        <v>0</v>
      </c>
    </row>
    <row r="9" spans="1:10">
      <c r="A9" s="1" t="s">
        <v>158</v>
      </c>
      <c r="B9" s="1" t="s">
        <v>81</v>
      </c>
      <c r="C9" s="2">
        <v>1</v>
      </c>
    </row>
    <row r="10" spans="1:10">
      <c r="A10" s="1" t="s">
        <v>82</v>
      </c>
      <c r="B10" s="1" t="s">
        <v>83</v>
      </c>
      <c r="C10" s="2">
        <v>20000</v>
      </c>
    </row>
    <row r="11" spans="1:10" ht="15.6" customHeight="1">
      <c r="A11" s="1" t="s">
        <v>84</v>
      </c>
      <c r="B11" s="1" t="s">
        <v>85</v>
      </c>
      <c r="C11" s="2">
        <v>0</v>
      </c>
    </row>
    <row r="12" spans="1:10">
      <c r="A12" s="1" t="s">
        <v>86</v>
      </c>
      <c r="B12" s="1" t="s">
        <v>143</v>
      </c>
      <c r="C12" s="2">
        <v>8</v>
      </c>
    </row>
    <row r="13" spans="1:10">
      <c r="A13" s="1" t="s">
        <v>88</v>
      </c>
      <c r="B13" s="1" t="s">
        <v>89</v>
      </c>
      <c r="C13" s="2">
        <v>1500</v>
      </c>
    </row>
    <row r="14" spans="1:10">
      <c r="A14" s="1" t="s">
        <v>90</v>
      </c>
      <c r="B14" s="1" t="s">
        <v>91</v>
      </c>
      <c r="C14" s="2">
        <v>0</v>
      </c>
    </row>
    <row r="15" spans="1:10">
      <c r="A15" s="1" t="s">
        <v>92</v>
      </c>
      <c r="B15" s="1" t="s">
        <v>93</v>
      </c>
      <c r="C15" s="1">
        <f>C36</f>
        <v>180000</v>
      </c>
    </row>
    <row r="16" spans="1:10">
      <c r="A16" s="1" t="s">
        <v>94</v>
      </c>
      <c r="B16" s="1" t="s">
        <v>95</v>
      </c>
      <c r="C16" s="2">
        <v>40.6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10</v>
      </c>
    </row>
    <row r="20" spans="1:3">
      <c r="A20" s="1" t="s">
        <v>102</v>
      </c>
      <c r="B20" s="1" t="s">
        <v>103</v>
      </c>
      <c r="C20" s="1">
        <f>C39</f>
        <v>99</v>
      </c>
    </row>
    <row r="21" spans="1:3" hidden="1">
      <c r="A21" s="1"/>
      <c r="B21" s="1"/>
      <c r="C21" s="1"/>
    </row>
    <row r="22" spans="1:3" ht="12.75" hidden="1" customHeight="1">
      <c r="A22" s="4"/>
      <c r="B22" s="1"/>
      <c r="C22" s="1"/>
    </row>
    <row r="23" spans="1:3" hidden="1">
      <c r="A23" s="4" t="s">
        <v>105</v>
      </c>
      <c r="B23" s="1"/>
      <c r="C23" s="6">
        <f>C16*10</f>
        <v>406</v>
      </c>
    </row>
    <row r="24" spans="1:3" hidden="1">
      <c r="A24" s="4" t="s">
        <v>106</v>
      </c>
      <c r="B24" s="6"/>
      <c r="C24" s="6">
        <f>(C48+38)*ROUNDUP(C12/8,0)</f>
        <v>1238</v>
      </c>
    </row>
    <row r="25" spans="1:3" hidden="1">
      <c r="A25" s="4" t="s">
        <v>107</v>
      </c>
      <c r="B25" s="6"/>
      <c r="C25" s="6">
        <f>MAX(ROUNDDOWN((C10-14)*375/(10*746),0),1)</f>
        <v>1004</v>
      </c>
    </row>
    <row r="26" spans="1:3" hidden="1">
      <c r="A26" s="4" t="s">
        <v>108</v>
      </c>
      <c r="B26" s="6"/>
      <c r="C26" s="6">
        <f>ROUNDDOWN(C11*375/(10*746),0)</f>
        <v>0</v>
      </c>
    </row>
    <row r="27" spans="1:3" hidden="1">
      <c r="A27" s="4" t="s">
        <v>109</v>
      </c>
      <c r="B27" s="6"/>
      <c r="C27" s="6">
        <f>C25+C26+14</f>
        <v>1018</v>
      </c>
    </row>
    <row r="28" spans="1:3" hidden="1">
      <c r="A28" s="4" t="s">
        <v>110</v>
      </c>
      <c r="B28" s="6"/>
      <c r="C28" s="6">
        <v>0</v>
      </c>
    </row>
    <row r="29" spans="1:3" hidden="1">
      <c r="A29" s="4" t="s">
        <v>111</v>
      </c>
      <c r="B29" s="6"/>
      <c r="C29" s="6">
        <f>ROUNDDOWN((C4*C5*ROUNDUP(C12/8,0)+C28*36)/(C13-36),0)</f>
        <v>1573</v>
      </c>
    </row>
    <row r="30" spans="1:3" hidden="1">
      <c r="A30" s="4" t="s">
        <v>112</v>
      </c>
      <c r="B30" s="6"/>
      <c r="C30" s="6">
        <f>C4*C5*ROUNDUP(C12/8,0)+C28*32-(C13-36)*C29</f>
        <v>1128</v>
      </c>
    </row>
    <row r="31" spans="1:3" hidden="1">
      <c r="A31" s="6" t="s">
        <v>113</v>
      </c>
      <c r="B31" s="6"/>
      <c r="C31" s="6">
        <f>ROUNDDOWN((ROUNDDOWN((((62+(C13-36))*C29+62+C30+(168-C28*24))+(C14+12)*(C29+3))/ROUNDDOWN(C18*(100-C19)/100,0),0)*8)*375/746/10,0)</f>
        <v>1081</v>
      </c>
    </row>
    <row r="32" spans="1:3" hidden="1">
      <c r="A32" s="6" t="s">
        <v>114</v>
      </c>
      <c r="B32" s="6"/>
      <c r="C32" s="6">
        <f>ROUNDDOWN(10000000/C23*375/746/10,0)</f>
        <v>1238</v>
      </c>
    </row>
    <row r="33" spans="1:3" hidden="1">
      <c r="A33" s="6" t="s">
        <v>115</v>
      </c>
      <c r="B33" s="6"/>
      <c r="C33" s="6">
        <f>IF(C17=1,MAX(C24,C27,C31,C32),MAX(C24,C27,C31))</f>
        <v>1238</v>
      </c>
    </row>
    <row r="34" spans="1:3" hidden="1">
      <c r="A34" s="6" t="s">
        <v>116</v>
      </c>
      <c r="B34" s="6"/>
      <c r="C34" s="6">
        <f>ROUND(1000000/ROUNDDOWN(C33*10*746/375,0),2)</f>
        <v>40.61</v>
      </c>
    </row>
    <row r="35" spans="1:3" hidden="1">
      <c r="A35" s="6" t="s">
        <v>117</v>
      </c>
      <c r="B35" s="6"/>
      <c r="C35" s="6">
        <f>12500*C18*(100-C19)</f>
        <v>1125000000</v>
      </c>
    </row>
    <row r="36" spans="1:3" hidden="1">
      <c r="A36" s="6" t="s">
        <v>118</v>
      </c>
      <c r="B36" s="6"/>
      <c r="C36" s="6">
        <f>IF((ROUNDDOWN((C35-(62+C13-36)*C29-62-C30-168+C28*24)/(C29+3),0)-12)&gt;180000,180000,ROUNDDOWN((C35-(62+C13-36)*C29-62-C30-168+C28*24)/(C29+3),0)-12)</f>
        <v>180000</v>
      </c>
    </row>
    <row r="37" spans="1:3" hidden="1">
      <c r="A37" s="6" t="s">
        <v>120</v>
      </c>
      <c r="B37" s="6"/>
      <c r="C37" s="6">
        <f>((62+(C13-36))*C29+62+C30+168)+(C14+12)*(C29+3)</f>
        <v>2420668</v>
      </c>
    </row>
    <row r="38" spans="1:3" hidden="1">
      <c r="A38" s="6" t="s">
        <v>117</v>
      </c>
      <c r="B38" s="6"/>
      <c r="C38" s="6">
        <f>125000*C18</f>
        <v>125000000</v>
      </c>
    </row>
    <row r="39" spans="1:3" hidden="1">
      <c r="A39" s="6" t="s">
        <v>121</v>
      </c>
      <c r="B39" s="6"/>
      <c r="C39" s="6">
        <f>IF((100-ROUNDDOWN(C37*10/(1250000*C18/10),0)-1)&lt;0,0,(100-ROUNDDOWN(C37*10/(1250000*C18/10),0)-1))</f>
        <v>99</v>
      </c>
    </row>
    <row r="40" spans="1:3" hidden="1">
      <c r="A40" s="6" t="s">
        <v>122</v>
      </c>
      <c r="B40" s="6"/>
      <c r="C40" s="6">
        <f>ROUNDDOWN((C35-(62+C13-36)*C29-62-C30-168+C28*24)/(C29+3),0)-12</f>
        <v>712296</v>
      </c>
    </row>
    <row r="41" spans="1:3" hidden="1">
      <c r="A41" s="6" t="s">
        <v>147</v>
      </c>
      <c r="B41" s="6"/>
      <c r="C41" s="6">
        <f>INT(1000000000/INT((C33*746*10/375)))</f>
        <v>40605</v>
      </c>
    </row>
    <row r="42" spans="1:3" hidden="1">
      <c r="A42" s="6" t="s">
        <v>148</v>
      </c>
      <c r="B42" s="6"/>
      <c r="C42" s="6">
        <f>INT(C4*C41/10*IF(C12=8,1,2)/10*C5/10)</f>
        <v>93553920</v>
      </c>
    </row>
    <row r="43" spans="1:3" hidden="1">
      <c r="A43" s="6" t="s">
        <v>149</v>
      </c>
      <c r="B43" s="6"/>
      <c r="C43" s="6">
        <f>INT(C42*10/(100-C19)*10)</f>
        <v>103948800</v>
      </c>
    </row>
    <row r="44" spans="1:3" hidden="1">
      <c r="A44" s="6"/>
      <c r="B44" s="6"/>
      <c r="C44" s="6"/>
    </row>
    <row r="45" spans="1:3" hidden="1">
      <c r="A45" s="6" t="s">
        <v>127</v>
      </c>
      <c r="B45" s="6"/>
      <c r="C45" s="6">
        <f>IF(C6=2,2,(IF(C8=2,2,1)))</f>
        <v>1</v>
      </c>
    </row>
    <row r="46" spans="1:3" hidden="1">
      <c r="A46" s="6" t="s">
        <v>128</v>
      </c>
      <c r="B46" s="6"/>
      <c r="C46" s="6">
        <f>IF(C7=2,2,(IF(C9=2,2,1)))</f>
        <v>1</v>
      </c>
    </row>
    <row r="47" spans="1:3" hidden="1">
      <c r="A47" s="6" t="s">
        <v>129</v>
      </c>
      <c r="B47" s="6"/>
      <c r="C47" s="6">
        <f>ROUNDDOWN(C51/4,0)*4*C45</f>
        <v>1920</v>
      </c>
    </row>
    <row r="48" spans="1:3" hidden="1">
      <c r="A48" s="6" t="s">
        <v>130</v>
      </c>
      <c r="B48" s="6"/>
      <c r="C48" s="6">
        <f>ROUNDDOWN(C52/2,0)*2*C46</f>
        <v>1200</v>
      </c>
    </row>
    <row r="49" spans="1:4" hidden="1">
      <c r="A49" s="6" t="s">
        <v>131</v>
      </c>
      <c r="B49" s="6"/>
      <c r="C49" s="6">
        <f>ROUNDDOWN(C4/4,0)*4*C45</f>
        <v>1920</v>
      </c>
    </row>
    <row r="50" spans="1:4" hidden="1">
      <c r="A50" s="6" t="s">
        <v>132</v>
      </c>
      <c r="B50" s="6"/>
      <c r="C50" s="6">
        <f>ROUNDDOWN(C5/2,0)*2*C46</f>
        <v>1200</v>
      </c>
    </row>
    <row r="51" spans="1:4" hidden="1">
      <c r="A51" s="6" t="s">
        <v>133</v>
      </c>
      <c r="B51" s="6"/>
      <c r="C51" s="6">
        <f>ROUNDDOWN(C49/(4*C45),0)*4</f>
        <v>1920</v>
      </c>
    </row>
    <row r="52" spans="1:4" ht="15" hidden="1" customHeight="1">
      <c r="A52" s="6" t="s">
        <v>134</v>
      </c>
      <c r="B52" s="6"/>
      <c r="C52" s="6">
        <f>ROUNDDOWN(C50/(2*C46),0)*2</f>
        <v>1200</v>
      </c>
    </row>
    <row r="53" spans="1:4" ht="12.75" hidden="1" customHeight="1">
      <c r="A53" s="6"/>
      <c r="B53" s="6"/>
      <c r="C53" s="6"/>
    </row>
    <row r="54" spans="1:4" hidden="1">
      <c r="A54" s="6"/>
      <c r="B54" s="6"/>
      <c r="C54" s="6"/>
    </row>
    <row r="55" spans="1:4" ht="14.25" hidden="1">
      <c r="A55" s="11" t="s">
        <v>135</v>
      </c>
      <c r="B55" s="11"/>
      <c r="C55" s="11"/>
    </row>
    <row r="56" spans="1:4" ht="14.25">
      <c r="A56" s="11" t="s">
        <v>116</v>
      </c>
      <c r="B56" s="11" t="s">
        <v>136</v>
      </c>
      <c r="C56" s="11">
        <f>C34</f>
        <v>40.61</v>
      </c>
      <c r="D56" s="10" t="str">
        <f>IF(J8=1,J4,"")</f>
        <v/>
      </c>
    </row>
  </sheetData>
  <sheetProtection algorithmName="SHA-512" hashValue="os6403MtUG9spuDSk7z779jhyjA3kmtI5V2cWgtJKfiKyV1Xgk8M8LZyRcA5sCtn0Dy+bZF4mO0qIkGh/+1HfA==" saltValue="oSp0c4GTNjf2sUBneLMlRQ==" spinCount="100000" sheet="1" objects="1" scenarios="1"/>
  <phoneticPr fontId="10" type="noConversion"/>
  <conditionalFormatting sqref="C4">
    <cfRule type="cellIs" dxfId="19" priority="2" operator="lessThan">
      <formula>64</formula>
    </cfRule>
    <cfRule type="cellIs" dxfId="18" priority="3" operator="greaterThan">
      <formula>$C$2</formula>
    </cfRule>
  </conditionalFormatting>
  <conditionalFormatting sqref="C5">
    <cfRule type="cellIs" dxfId="17" priority="4" stopIfTrue="1" operator="lessThan">
      <formula>64</formula>
    </cfRule>
    <cfRule type="cellIs" dxfId="16" priority="5" stopIfTrue="1" operator="greaterThan">
      <formula>$C$3</formula>
    </cfRule>
  </conditionalFormatting>
  <conditionalFormatting sqref="C56">
    <cfRule type="expression" dxfId="15" priority="1" stopIfTrue="1">
      <formula>$J$8=1</formula>
    </cfRule>
  </conditionalFormatting>
  <dataValidations count="18">
    <dataValidation allowBlank="1" showErrorMessage="1" sqref="C2 C3"/>
    <dataValidation type="whole" allowBlank="1" showInputMessage="1" showErrorMessage="1" errorTitle="Input parameter error" error="Input range:[0, 5000]" sqref="C11">
      <formula1>0</formula1>
      <formula2>5000</formula2>
    </dataValidation>
    <dataValidation type="custom" allowBlank="1" showInputMessage="1" showErrorMessage="1" errorTitle="Input parameter error" error="Input 1 or 2, and can not be entered when the 'DecimationVertical' is not 1" sqref="C7">
      <formula1>AND(OR((C7=1),(C7=2)),C9=1)</formula1>
    </dataValidation>
    <dataValidation type="custom" allowBlank="1" showInputMessage="1" showErrorMessage="1" errorTitle="Input parameter error" error="Input range:[64, 'WidthMax'],and is an integer multiple of 4" sqref="C4">
      <formula1>AND((C4&lt;=C2),(C4&gt;=64),(MOD(C4,4)=0))</formula1>
    </dataValidation>
    <dataValidation type="custom" allowBlank="1" showInputMessage="1" showErrorMessage="1" errorTitle="Input parameter error" error="Input 1 or 2, and can not be entered when the 'BinningVertical' is not 1" sqref="C9">
      <formula1>AND(OR((C9=1),(C9=2)),C7=1)</formula1>
    </dataValidation>
    <dataValidation type="custom" allowBlank="1" showInputMessage="1" showErrorMessage="1" errorTitle="Input parameter error" error="Input range:[64, 'HeightMax'],and is an integer multiple of 2" sqref="C5">
      <formula1>AND((C5&lt;=C3),(C5&gt;=64),(MOD(C5,2)=0))</formula1>
    </dataValidation>
    <dataValidation type="whole" allowBlank="1" showInputMessage="1" showErrorMessage="1" errorTitle="Input parameter error" error="Input range:[20, 1000000]" sqref="C10">
      <formula1>20</formula1>
      <formula2>1000000</formula2>
    </dataValidation>
    <dataValidation type="custom" allowBlank="1" showInputMessage="1" showErrorMessage="1" errorTitle="Input parameter error" error="Input 1 or 2, and can not be entered when the 'DecimationHorizontal' is not 1" sqref="C6">
      <formula1>AND(OR((C6=1),(C6=2)),C8=1)</formula1>
    </dataValidation>
    <dataValidation type="custom" allowBlank="1" showInputMessage="1" showErrorMessage="1" errorTitle="Input parameter error" error="Input 1 or 2, and can not be entered when the 'BinningHorizontal' is not 1" sqref="C8">
      <formula1>AND(OR((C8=1),(C8=2)),C6=1)</formula1>
    </dataValidation>
    <dataValidation type="custom" allowBlank="1" showInputMessage="1" showErrorMessage="1" errorTitle="Input parameter error" error="Input 8 or 10" sqref="C12">
      <formula1>OR((C12=8),(C12=10))</formula1>
    </dataValidation>
    <dataValidation type="custom" allowBlank="1" showInputMessage="1" showErrorMessage="1" errorTitle="Input parameter error" error="Input range:[512, 8192],and is an integer multiple of 4" sqref="C13">
      <formula1>AND((C13&lt;=8192),(C13&gt;=512),(MOD(C13,4)=0))</formula1>
    </dataValidation>
    <dataValidation type="whole" allowBlank="1" showInputMessage="1" showErrorMessage="1" errorTitle="Input parameter error" error="Input range:[0, 'GevSCPDMaxValue'], and is an integer multiple of 1" sqref="C14">
      <formula1>0</formula1>
      <formula2>C15</formula2>
    </dataValidation>
    <dataValidation type="whole" allowBlank="1" showErrorMessage="1" error="设置值超过最大值" prompt="应在包间隔范围内" sqref="C15">
      <formula1>0</formula1>
      <formula2>C36</formula2>
    </dataValidation>
    <dataValidation type="custom" allowBlank="1" showErrorMessage="1" errorTitle="Input parameter error" error="Input range:[0.1, 10000]" prompt="应在包间隔范围内" sqref="C16">
      <formula1>AND(TRUNC(C16,1)=C16,(C16&gt;=0.1),(C16&lt;=10000))</formula1>
    </dataValidation>
    <dataValidation type="custom" allowBlank="1" showErrorMessage="1" errorTitle="Input parameter error" error="Input 0 or 1" prompt="应在包间隔范围内" sqref="C17">
      <formula1>OR((C17=0),(C17=1))</formula1>
    </dataValidation>
    <dataValidation type="custom" allowBlank="1" showInputMessage="1" showErrorMessage="1" errorTitle="Input parameter error" error="Input 1000 or 100" sqref="C18">
      <formula1>OR((C18=1000),(C18=100))</formula1>
    </dataValidation>
    <dataValidation type="whole" allowBlank="1" showInputMessage="1" showErrorMessage="1" errorTitle="Input parameter error" error="Input range:[0, 'BandwidthReserveMaxValue'], and is an integer multiple of 1" sqref="C19">
      <formula1>0</formula1>
      <formula2>C20</formula2>
    </dataValidation>
    <dataValidation type="whole" allowBlank="1" error="设置值超过包间隔范围" prompt="设置值应在预留带宽范围内" sqref="C20">
      <formula1>0</formula1>
      <formula2>C39</formula2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B1" workbookViewId="0">
      <selection activeCell="M15" sqref="M15"/>
    </sheetView>
  </sheetViews>
  <sheetFormatPr defaultColWidth="9" defaultRowHeight="13.5"/>
  <cols>
    <col min="1" max="1" width="22.375" hidden="1" customWidth="1"/>
    <col min="2" max="2" width="30.875" customWidth="1"/>
    <col min="3" max="3" width="18.625" customWidth="1"/>
    <col min="10" max="10" width="9" hidden="1" customWidth="1"/>
  </cols>
  <sheetData>
    <row r="1" spans="1:4">
      <c r="A1" s="1" t="s">
        <v>65</v>
      </c>
      <c r="B1" s="1"/>
      <c r="C1" s="2"/>
    </row>
    <row r="2" spans="1:4">
      <c r="A2" s="1" t="s">
        <v>66</v>
      </c>
      <c r="B2" s="1" t="s">
        <v>67</v>
      </c>
      <c r="C2" s="1">
        <f>C52</f>
        <v>2048</v>
      </c>
    </row>
    <row r="3" spans="1:4">
      <c r="A3" s="1" t="s">
        <v>68</v>
      </c>
      <c r="B3" s="1" t="s">
        <v>69</v>
      </c>
      <c r="C3" s="1">
        <f>C53</f>
        <v>1536</v>
      </c>
    </row>
    <row r="4" spans="1:4">
      <c r="A4" s="1" t="s">
        <v>70</v>
      </c>
      <c r="B4" s="1" t="s">
        <v>71</v>
      </c>
      <c r="C4" s="2">
        <v>2048</v>
      </c>
      <c r="D4" s="3" t="str">
        <f>IF(OR(C4&gt;C2,C4&lt;64),J69,"")</f>
        <v/>
      </c>
    </row>
    <row r="5" spans="1:4">
      <c r="A5" s="1" t="s">
        <v>72</v>
      </c>
      <c r="B5" s="1" t="s">
        <v>73</v>
      </c>
      <c r="C5" s="2">
        <v>1536</v>
      </c>
      <c r="D5" s="3" t="str">
        <f>IF(OR(C5&gt;C3,C5&lt;64),J70,"")</f>
        <v/>
      </c>
    </row>
    <row r="6" spans="1:4">
      <c r="A6" s="1" t="s">
        <v>74</v>
      </c>
      <c r="B6" s="1" t="s">
        <v>75</v>
      </c>
      <c r="C6" s="2">
        <v>1</v>
      </c>
    </row>
    <row r="7" spans="1:4">
      <c r="A7" s="1" t="s">
        <v>76</v>
      </c>
      <c r="B7" s="1" t="s">
        <v>77</v>
      </c>
      <c r="C7" s="2">
        <v>1</v>
      </c>
    </row>
    <row r="8" spans="1:4">
      <c r="A8" s="1" t="s">
        <v>78</v>
      </c>
      <c r="B8" s="1" t="s">
        <v>79</v>
      </c>
      <c r="C8" s="2">
        <v>1</v>
      </c>
    </row>
    <row r="9" spans="1:4">
      <c r="A9" s="1" t="s">
        <v>80</v>
      </c>
      <c r="B9" s="1" t="s">
        <v>81</v>
      </c>
      <c r="C9" s="2">
        <v>1</v>
      </c>
    </row>
    <row r="10" spans="1:4">
      <c r="A10" s="1" t="s">
        <v>82</v>
      </c>
      <c r="B10" s="1" t="s">
        <v>83</v>
      </c>
      <c r="C10" s="2">
        <v>20000</v>
      </c>
    </row>
    <row r="11" spans="1:4">
      <c r="A11" s="1" t="s">
        <v>84</v>
      </c>
      <c r="B11" s="1" t="s">
        <v>85</v>
      </c>
      <c r="C11" s="2">
        <v>0</v>
      </c>
    </row>
    <row r="12" spans="1:4">
      <c r="A12" s="1" t="s">
        <v>86</v>
      </c>
      <c r="B12" s="1" t="s">
        <v>143</v>
      </c>
      <c r="C12" s="2">
        <v>8</v>
      </c>
    </row>
    <row r="13" spans="1:4">
      <c r="A13" s="1" t="s">
        <v>88</v>
      </c>
      <c r="B13" s="1" t="s">
        <v>89</v>
      </c>
      <c r="C13" s="2">
        <v>1500</v>
      </c>
    </row>
    <row r="14" spans="1:4">
      <c r="A14" s="1" t="s">
        <v>90</v>
      </c>
      <c r="B14" s="1" t="s">
        <v>91</v>
      </c>
      <c r="C14" s="2">
        <v>0</v>
      </c>
    </row>
    <row r="15" spans="1:4">
      <c r="A15" s="1" t="s">
        <v>92</v>
      </c>
      <c r="B15" s="1" t="s">
        <v>93</v>
      </c>
      <c r="C15" s="1">
        <f>C42</f>
        <v>180000</v>
      </c>
    </row>
    <row r="16" spans="1:4">
      <c r="A16" s="1" t="s">
        <v>94</v>
      </c>
      <c r="B16" s="1" t="s">
        <v>95</v>
      </c>
      <c r="C16" s="2">
        <v>34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10</v>
      </c>
    </row>
    <row r="20" spans="1:3">
      <c r="A20" s="1" t="s">
        <v>102</v>
      </c>
      <c r="B20" s="1" t="s">
        <v>103</v>
      </c>
      <c r="C20" s="1">
        <f>C45</f>
        <v>99</v>
      </c>
    </row>
    <row r="21" spans="1:3">
      <c r="A21" s="1"/>
      <c r="B21" s="1"/>
      <c r="C21" s="1"/>
    </row>
    <row r="22" spans="1:3" hidden="1">
      <c r="A22" s="4" t="s">
        <v>123</v>
      </c>
      <c r="B22" s="1"/>
      <c r="C22" s="127">
        <v>16400</v>
      </c>
    </row>
    <row r="23" spans="1:3" hidden="1">
      <c r="A23" s="4" t="s">
        <v>105</v>
      </c>
      <c r="B23" s="1"/>
      <c r="C23" s="127">
        <f>C16*10</f>
        <v>340</v>
      </c>
    </row>
    <row r="24" spans="1:3" hidden="1">
      <c r="A24" s="128" t="s">
        <v>106</v>
      </c>
      <c r="B24" s="8"/>
      <c r="C24" s="8">
        <f>(C57+19)+32</f>
        <v>1587</v>
      </c>
    </row>
    <row r="25" spans="1:3" hidden="1">
      <c r="A25" s="4" t="s">
        <v>107</v>
      </c>
      <c r="B25" s="6"/>
      <c r="C25" s="127">
        <f>MAX(ROUNDUP(((1000*C10-13730)/C22),0),1)</f>
        <v>1219</v>
      </c>
    </row>
    <row r="26" spans="1:3" hidden="1">
      <c r="A26" s="4" t="s">
        <v>108</v>
      </c>
      <c r="B26" s="6"/>
      <c r="C26" s="127">
        <f>ROUNDDOWN(C11*1000/C22,0)</f>
        <v>0</v>
      </c>
    </row>
    <row r="27" spans="1:3" hidden="1">
      <c r="A27" s="128" t="s">
        <v>109</v>
      </c>
      <c r="B27" s="8"/>
      <c r="C27" s="8">
        <f>C25+C26+12</f>
        <v>1231</v>
      </c>
    </row>
    <row r="28" spans="1:3" hidden="1">
      <c r="A28" s="129" t="s">
        <v>159</v>
      </c>
      <c r="B28" s="127"/>
      <c r="C28" s="127">
        <v>1250</v>
      </c>
    </row>
    <row r="29" spans="1:3" hidden="1">
      <c r="A29" s="4" t="s">
        <v>110</v>
      </c>
      <c r="B29" s="6"/>
      <c r="C29" s="127">
        <v>0</v>
      </c>
    </row>
    <row r="30" spans="1:3" hidden="1">
      <c r="A30" s="4" t="s">
        <v>160</v>
      </c>
      <c r="B30" s="6"/>
      <c r="C30" s="7">
        <f>C4*C5*IF(C12=8,1,2)+C29*32</f>
        <v>3145728</v>
      </c>
    </row>
    <row r="31" spans="1:3" hidden="1">
      <c r="A31" s="4" t="s">
        <v>111</v>
      </c>
      <c r="B31" s="6"/>
      <c r="C31" s="127">
        <f>ROUNDDOWN((C4*C5*ROUNDUP(C12/8,0)+C29*36)/(C13-36),0)</f>
        <v>2148</v>
      </c>
    </row>
    <row r="32" spans="1:3" hidden="1">
      <c r="A32" s="4" t="s">
        <v>161</v>
      </c>
      <c r="B32" s="6"/>
      <c r="C32" s="6">
        <f>IF(C29=0,36,12)</f>
        <v>36</v>
      </c>
    </row>
    <row r="33" spans="1:3" hidden="1">
      <c r="A33" s="4" t="s">
        <v>112</v>
      </c>
      <c r="B33" s="6"/>
      <c r="C33" s="127">
        <f>C4*C5*ROUNDUP(C12/8,0)+C29*32-(C13-36)*C31</f>
        <v>1056</v>
      </c>
    </row>
    <row r="34" spans="1:3" hidden="1">
      <c r="A34" s="127" t="s">
        <v>113</v>
      </c>
      <c r="B34" s="127"/>
      <c r="C34" s="127">
        <f>ROUNDUP((ROUNDDOWN((((62+(C13-36))*C31+62+C33+(168-C29*24))+(C14+12)*(C31+3)),0)*1000/C37)*10/C22,0)</f>
        <v>1792</v>
      </c>
    </row>
    <row r="35" spans="1:3" hidden="1">
      <c r="A35" s="127" t="s">
        <v>162</v>
      </c>
      <c r="B35" s="127"/>
      <c r="C35" s="127">
        <f>ROUNDUP((C30+C32+10)*10*1000/C28/C22,0)</f>
        <v>1535</v>
      </c>
    </row>
    <row r="36" spans="1:3" hidden="1">
      <c r="A36" s="8" t="s">
        <v>163</v>
      </c>
      <c r="B36" s="8"/>
      <c r="C36" s="8">
        <f>MAX(C34,C35)</f>
        <v>1792</v>
      </c>
    </row>
    <row r="37" spans="1:3" hidden="1">
      <c r="A37" s="6" t="s">
        <v>164</v>
      </c>
      <c r="B37" s="6"/>
      <c r="C37" s="127">
        <f>INT(C18*(100-C19)/80)</f>
        <v>1125</v>
      </c>
    </row>
    <row r="38" spans="1:3" hidden="1">
      <c r="A38" s="8" t="s">
        <v>114</v>
      </c>
      <c r="B38" s="8"/>
      <c r="C38" s="8">
        <f>ROUNDUP((1000000000/C16)/C22,0)</f>
        <v>1794</v>
      </c>
    </row>
    <row r="39" spans="1:3" hidden="1">
      <c r="A39" s="8" t="s">
        <v>115</v>
      </c>
      <c r="B39" s="8"/>
      <c r="C39" s="8">
        <f>IF(C17=1,MAX(C24,C27,C36,C38),MAX(C24,C27,C36))</f>
        <v>1792</v>
      </c>
    </row>
    <row r="40" spans="1:3" hidden="1">
      <c r="A40" s="6" t="s">
        <v>116</v>
      </c>
      <c r="B40" s="6"/>
      <c r="C40" s="127">
        <f>1000000/C47</f>
        <v>34.026336384361493</v>
      </c>
    </row>
    <row r="41" spans="1:3" hidden="1">
      <c r="A41" s="6" t="s">
        <v>117</v>
      </c>
      <c r="B41" s="6"/>
      <c r="C41" s="127">
        <f>12500*C18*(100-C19)</f>
        <v>1125000000</v>
      </c>
    </row>
    <row r="42" spans="1:3" hidden="1">
      <c r="A42" s="6" t="s">
        <v>118</v>
      </c>
      <c r="B42" s="6"/>
      <c r="C42" s="127">
        <f>IF((ROUNDDOWN((C41-(62+C13-36)*C31-62-C33-168+C29*24)/(C31+3),0)-12)&gt;180000,180000,ROUNDDOWN((C41-(62+C13-36)*C31-62-C33-168+C29*24)/(C31+3),0)-12)</f>
        <v>180000</v>
      </c>
    </row>
    <row r="43" spans="1:3" hidden="1">
      <c r="A43" s="6" t="s">
        <v>120</v>
      </c>
      <c r="B43" s="6"/>
      <c r="C43" s="127">
        <f>((62+(C13-36))*C31+62+C33+168)+(C14+12)*(C31+3)</f>
        <v>3304946</v>
      </c>
    </row>
    <row r="44" spans="1:3" hidden="1">
      <c r="A44" s="6" t="s">
        <v>117</v>
      </c>
      <c r="B44" s="6"/>
      <c r="C44" s="127">
        <f>125000*C18</f>
        <v>125000000</v>
      </c>
    </row>
    <row r="45" spans="1:3" hidden="1">
      <c r="A45" s="6" t="s">
        <v>121</v>
      </c>
      <c r="B45" s="6"/>
      <c r="C45" s="127">
        <f>IF((100-ROUNDDOWN(C43*10/(1250000*C18/10),0)-1)&lt;0,0,(100-ROUNDDOWN(C43*10/(1250000*C18/10),0)-1))</f>
        <v>99</v>
      </c>
    </row>
    <row r="46" spans="1:3" hidden="1">
      <c r="A46" s="6" t="s">
        <v>122</v>
      </c>
      <c r="B46" s="6"/>
      <c r="C46" s="127">
        <f>ROUNDDOWN((C41-(62+C13-36)*C31-62-C33-168+C29*24)/(C31+3),0)-12</f>
        <v>521476</v>
      </c>
    </row>
    <row r="47" spans="1:3" hidden="1">
      <c r="A47" s="6" t="s">
        <v>165</v>
      </c>
      <c r="B47" s="6"/>
      <c r="C47" s="127">
        <f>ROUNDUP(C39*C22/1000,0)</f>
        <v>29389</v>
      </c>
    </row>
    <row r="48" spans="1:3" hidden="1">
      <c r="A48" s="6" t="s">
        <v>166</v>
      </c>
      <c r="B48" s="6"/>
      <c r="C48" s="127">
        <f>ROUNDDOWN(1000000000/C47,0)</f>
        <v>34026</v>
      </c>
    </row>
    <row r="49" spans="1:3" hidden="1">
      <c r="A49" s="6" t="s">
        <v>148</v>
      </c>
      <c r="B49" s="6"/>
      <c r="C49" s="127">
        <f>ROUNDDOWN(C4*C48/10*IF(C12=8,1,2)/10*C5/10,0)</f>
        <v>107036540</v>
      </c>
    </row>
    <row r="50" spans="1:3" hidden="1">
      <c r="A50" s="6" t="s">
        <v>149</v>
      </c>
      <c r="B50" s="6"/>
      <c r="C50" s="127">
        <f>ROUNDDOWN((C49*10/(100-C19)*10),)</f>
        <v>118929488</v>
      </c>
    </row>
    <row r="51" spans="1:3" hidden="1">
      <c r="A51" s="6"/>
      <c r="B51" s="6"/>
      <c r="C51" s="127"/>
    </row>
    <row r="52" spans="1:3" hidden="1">
      <c r="A52" s="6" t="s">
        <v>125</v>
      </c>
      <c r="B52" s="6"/>
      <c r="C52" s="127">
        <f>ROUNDDOWN(2048/(4*C54),0)*4</f>
        <v>2048</v>
      </c>
    </row>
    <row r="53" spans="1:3" hidden="1">
      <c r="A53" s="6" t="s">
        <v>126</v>
      </c>
      <c r="B53" s="6"/>
      <c r="C53" s="127">
        <f>ROUNDDOWN(1536/(2*C55),0)*2</f>
        <v>1536</v>
      </c>
    </row>
    <row r="54" spans="1:3" hidden="1">
      <c r="A54" s="6" t="s">
        <v>127</v>
      </c>
      <c r="B54" s="6"/>
      <c r="C54" s="127">
        <f>IF(C6=1,C8,C6)</f>
        <v>1</v>
      </c>
    </row>
    <row r="55" spans="1:3" hidden="1">
      <c r="A55" s="6" t="s">
        <v>128</v>
      </c>
      <c r="B55" s="6"/>
      <c r="C55" s="127">
        <f>IF(C7=1,C9,C7)</f>
        <v>1</v>
      </c>
    </row>
    <row r="56" spans="1:3" hidden="1">
      <c r="A56" s="6" t="s">
        <v>129</v>
      </c>
      <c r="B56" s="6"/>
      <c r="C56" s="127">
        <f>ROUNDDOWN(C60/4,0)*4*C54</f>
        <v>2048</v>
      </c>
    </row>
    <row r="57" spans="1:3" hidden="1">
      <c r="A57" s="6" t="s">
        <v>130</v>
      </c>
      <c r="B57" s="6"/>
      <c r="C57" s="127">
        <f>ROUNDDOWN(C61/2,0)*2*C55</f>
        <v>1536</v>
      </c>
    </row>
    <row r="58" spans="1:3" hidden="1">
      <c r="A58" s="6" t="s">
        <v>131</v>
      </c>
      <c r="B58" s="6"/>
      <c r="C58" s="127">
        <f>ROUNDDOWN(C4/4,0)*4*C54</f>
        <v>2048</v>
      </c>
    </row>
    <row r="59" spans="1:3" hidden="1">
      <c r="A59" s="6" t="s">
        <v>132</v>
      </c>
      <c r="B59" s="6"/>
      <c r="C59" s="127">
        <f>ROUNDDOWN(C5/2,0)*2*C55</f>
        <v>1536</v>
      </c>
    </row>
    <row r="60" spans="1:3" hidden="1">
      <c r="A60" s="6" t="s">
        <v>133</v>
      </c>
      <c r="B60" s="6"/>
      <c r="C60" s="127">
        <f>ROUNDDOWN(C58/(4*C54),0)*4</f>
        <v>2048</v>
      </c>
    </row>
    <row r="61" spans="1:3" hidden="1">
      <c r="A61" s="6" t="s">
        <v>134</v>
      </c>
      <c r="B61" s="6"/>
      <c r="C61" s="127">
        <f>ROUNDDOWN(C59/(2*C55),0)*2</f>
        <v>1536</v>
      </c>
    </row>
    <row r="62" spans="1:3" hidden="1">
      <c r="A62" s="6"/>
      <c r="B62" s="6"/>
      <c r="C62" s="127"/>
    </row>
    <row r="63" spans="1:3">
      <c r="A63" s="6"/>
      <c r="B63" s="6"/>
      <c r="C63" s="127"/>
    </row>
    <row r="64" spans="1:3" ht="14.25">
      <c r="A64" s="11" t="s">
        <v>135</v>
      </c>
      <c r="B64" s="11"/>
      <c r="C64" s="11"/>
    </row>
    <row r="65" spans="1:10" ht="14.25">
      <c r="A65" s="11" t="s">
        <v>116</v>
      </c>
      <c r="B65" s="11" t="s">
        <v>167</v>
      </c>
      <c r="C65" s="11">
        <f>ROUND(C40,2)</f>
        <v>34.03</v>
      </c>
      <c r="D65" s="10" t="str">
        <f>IF(J75=1,J71,"")</f>
        <v/>
      </c>
    </row>
    <row r="68" spans="1:10">
      <c r="J68" t="s">
        <v>150</v>
      </c>
    </row>
    <row r="69" spans="1:10">
      <c r="J69" t="s">
        <v>151</v>
      </c>
    </row>
    <row r="70" spans="1:10">
      <c r="J70" t="s">
        <v>152</v>
      </c>
    </row>
    <row r="71" spans="1:10">
      <c r="J71" t="s">
        <v>153</v>
      </c>
    </row>
    <row r="74" spans="1:10">
      <c r="J74" t="s">
        <v>156</v>
      </c>
    </row>
    <row r="75" spans="1:10">
      <c r="J75">
        <f>IF(OR(OR(C4&gt;C2,C4&lt;64),OR(C5&gt;C3,C5&lt;64)),1,0)</f>
        <v>0</v>
      </c>
    </row>
  </sheetData>
  <sheetProtection algorithmName="SHA-512" hashValue="4A4rofCD73HTbLrh3JxqQR/URkhET0eYGa2wjKaPYgD4NNbULqwEuRAcrQqDhuW9LiPTcEx30U8ZdXlYBXo4fA==" saltValue="aLQTBtSRKOEGWXsjViFFfw==" spinCount="100000" sheet="1" objects="1" scenarios="1"/>
  <phoneticPr fontId="10" type="noConversion"/>
  <conditionalFormatting sqref="C4">
    <cfRule type="cellIs" dxfId="14" priority="1" operator="lessThan">
      <formula>64</formula>
    </cfRule>
    <cfRule type="cellIs" dxfId="13" priority="2" operator="greaterThan">
      <formula>$C$2</formula>
    </cfRule>
  </conditionalFormatting>
  <conditionalFormatting sqref="C5">
    <cfRule type="cellIs" dxfId="12" priority="3" stopIfTrue="1" operator="lessThan">
      <formula>64</formula>
    </cfRule>
    <cfRule type="cellIs" dxfId="11" priority="4" stopIfTrue="1" operator="greaterThan">
      <formula>$C$3</formula>
    </cfRule>
  </conditionalFormatting>
  <conditionalFormatting sqref="C65">
    <cfRule type="expression" dxfId="10" priority="5" stopIfTrue="1">
      <formula>$J$8=1</formula>
    </cfRule>
  </conditionalFormatting>
  <dataValidations count="19">
    <dataValidation type="custom" allowBlank="1" showInputMessage="1" showErrorMessage="1" error="输入范围是64~图像高度最大值，步长为2" sqref="C5">
      <formula1>AND((C5&lt;=C3),(C5&gt;=64),(MOD(C5,2)=0))</formula1>
    </dataValidation>
    <dataValidation allowBlank="1" showErrorMessage="1" promptTitle="参数变化" prompt="该参数会根据当前生效的水平像素Binning、水平像素抽样变化" sqref="C2"/>
    <dataValidation allowBlank="1" showErrorMessage="1" promptTitle="参数变化" prompt="该参数会根据当前生效的垂直像素Binning、垂直像素抽样变化" sqref="C3"/>
    <dataValidation type="whole" allowBlank="1" showInputMessage="1" showErrorMessage="1" errorTitle="Input parameter error" error="Input range:[20, 1000000]" sqref="C10">
      <formula1>20</formula1>
      <formula2>1000000</formula2>
    </dataValidation>
    <dataValidation type="custom" allowBlank="1" showInputMessage="1" showErrorMessage="1" errorTitle="Input parameter error" error="Input 1 or 2 or 4, and can not be entered when the 'BinningHorizontal' is not 1" sqref="C8">
      <formula1>AND(OR((C8=1),(C8=2),(C8=4)),C6=1)</formula1>
    </dataValidation>
    <dataValidation type="custom" allowBlank="1" showInputMessage="1" showErrorMessage="1" errorTitle="Input parameter error" error="Input range:[64, 'WidthMax'],and is an integer multiple of 8" sqref="C4">
      <formula1>AND((C4&lt;=C2),(C4&gt;=64),(MOD(C4,8)=0))</formula1>
    </dataValidation>
    <dataValidation type="whole" allowBlank="1" error="设置值超过包间隔范围" prompt="设置值应在预留带宽范围内" sqref="C20">
      <formula1>0</formula1>
      <formula2>C41</formula2>
    </dataValidation>
    <dataValidation type="custom" allowBlank="1" showInputMessage="1" showErrorMessage="1" errorTitle="Input parameter error" error="Input 1 or 2 ro 4, and can not be entered when the 'DecimationHorizontal' is not 1" sqref="C6">
      <formula1>AND(OR((C6=1),(C6=2),(C6=4)),C8=1)</formula1>
    </dataValidation>
    <dataValidation type="custom" allowBlank="1" showInputMessage="1" showErrorMessage="1" errorTitle="Input parameter error" error="Input 1 or 2 or 4, and can not be entered when the 'BinningVertical' is not 1" sqref="C9">
      <formula1>AND(OR((C9=1),(C9=2),(C9=4)),C7=1)</formula1>
    </dataValidation>
    <dataValidation type="custom" allowBlank="1" showInputMessage="1" showErrorMessage="1" errorTitle="Input parameter error" error="Input 1 or 2 or 4, and can not be entered when the 'DecimationVertical' is not 1" sqref="C7">
      <formula1>AND(OR((C7=1),(C7=2),(C7=4)),C9=1)</formula1>
    </dataValidation>
    <dataValidation type="whole" allowBlank="1" showInputMessage="1" showErrorMessage="1" errorTitle="Input parameter error" error="Input range:[0, 5000]" sqref="C11">
      <formula1>0</formula1>
      <formula2>5000</formula2>
    </dataValidation>
    <dataValidation type="custom" allowBlank="1" showInputMessage="1" showErrorMessage="1" errorTitle="Input parameter error" error="Input 8 or 10" sqref="C12">
      <formula1>OR((C12=8),(C12=10))</formula1>
    </dataValidation>
    <dataValidation type="custom" allowBlank="1" showInputMessage="1" showErrorMessage="1" errorTitle="Input parameter error" error="Input range:[512, 8192],and is an integer multiple of 4" sqref="C13">
      <formula1>AND((C13&lt;=8192),(C13&gt;=512),(MOD(C13,4)=0))</formula1>
    </dataValidation>
    <dataValidation type="whole" allowBlank="1" showInputMessage="1" showErrorMessage="1" errorTitle="Input parameter error" error="Input range:[0, 'GevSCPDMaxValue'], and is an integer multiple of 1" sqref="C14">
      <formula1>0</formula1>
      <formula2>C15</formula2>
    </dataValidation>
    <dataValidation type="whole" allowBlank="1" showErrorMessage="1" error="设置值超过最大值" prompt="应在包间隔范围内" sqref="C15">
      <formula1>0</formula1>
      <formula2>C42</formula2>
    </dataValidation>
    <dataValidation type="custom" allowBlank="1" showErrorMessage="1" errorTitle="Input parameter error" error="Input range:[0.1, 10000]" prompt="应在包间隔范围内" sqref="C16">
      <formula1>AND(TRUNC(C16,1)=C16,(C16&gt;=0.1),(C16&lt;=10000))</formula1>
    </dataValidation>
    <dataValidation type="custom" allowBlank="1" showErrorMessage="1" errorTitle="Input parameter error" error="Input 0 or 1" prompt="应在包间隔范围内" sqref="C17">
      <formula1>OR((C17=0),(C17=1))</formula1>
    </dataValidation>
    <dataValidation type="custom" allowBlank="1" showInputMessage="1" showErrorMessage="1" errorTitle="Input parameter error" error="Input 1000 or 100" sqref="C18">
      <formula1>OR((C18=1000),(C18=100))</formula1>
    </dataValidation>
    <dataValidation type="whole" allowBlank="1" showInputMessage="1" showErrorMessage="1" errorTitle="Input parameter error" error="Input range:[0, 'BandwidthReserveMaxValue'], and is an integer multiple of 1" sqref="C19">
      <formula1>0</formula1>
      <formula2>C20</formula2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" workbookViewId="0">
      <selection activeCell="C4" sqref="C4"/>
    </sheetView>
  </sheetViews>
  <sheetFormatPr defaultColWidth="9" defaultRowHeight="13.5"/>
  <cols>
    <col min="1" max="1" width="21.5" hidden="1" customWidth="1"/>
    <col min="2" max="2" width="28.5" customWidth="1"/>
    <col min="3" max="3" width="16.375" customWidth="1"/>
    <col min="9" max="9" width="9" customWidth="1"/>
    <col min="10" max="10" width="9" hidden="1" customWidth="1"/>
  </cols>
  <sheetData>
    <row r="1" spans="1:4" ht="15.75" customHeight="1">
      <c r="A1" s="1" t="s">
        <v>65</v>
      </c>
      <c r="B1" s="1"/>
      <c r="C1" s="2"/>
    </row>
    <row r="2" spans="1:4">
      <c r="A2" s="1" t="s">
        <v>66</v>
      </c>
      <c r="B2" s="1" t="s">
        <v>67</v>
      </c>
      <c r="C2" s="1">
        <f>C45</f>
        <v>2448</v>
      </c>
    </row>
    <row r="3" spans="1:4">
      <c r="A3" s="1" t="s">
        <v>68</v>
      </c>
      <c r="B3" s="1" t="s">
        <v>69</v>
      </c>
      <c r="C3" s="1">
        <f>C46</f>
        <v>2048</v>
      </c>
    </row>
    <row r="4" spans="1:4">
      <c r="A4" s="1" t="s">
        <v>70</v>
      </c>
      <c r="B4" s="1" t="s">
        <v>71</v>
      </c>
      <c r="C4" s="2">
        <v>2448</v>
      </c>
      <c r="D4" s="3" t="str">
        <f>IF(OR(C4&gt;C2,C4&lt;64),J62,"")</f>
        <v/>
      </c>
    </row>
    <row r="5" spans="1:4">
      <c r="A5" s="1" t="s">
        <v>72</v>
      </c>
      <c r="B5" s="1" t="s">
        <v>73</v>
      </c>
      <c r="C5" s="2">
        <v>2048</v>
      </c>
      <c r="D5" s="3" t="str">
        <f>IF(OR(C5&gt;C3,C5&lt;64),J63,"")</f>
        <v/>
      </c>
    </row>
    <row r="6" spans="1:4">
      <c r="A6" s="1" t="s">
        <v>74</v>
      </c>
      <c r="B6" s="1" t="s">
        <v>75</v>
      </c>
      <c r="C6" s="2">
        <v>1</v>
      </c>
    </row>
    <row r="7" spans="1:4">
      <c r="A7" s="1" t="s">
        <v>76</v>
      </c>
      <c r="B7" s="1" t="s">
        <v>77</v>
      </c>
      <c r="C7" s="2">
        <v>1</v>
      </c>
    </row>
    <row r="8" spans="1:4">
      <c r="A8" s="1" t="s">
        <v>78</v>
      </c>
      <c r="B8" s="1" t="s">
        <v>79</v>
      </c>
      <c r="C8" s="2">
        <v>1</v>
      </c>
    </row>
    <row r="9" spans="1:4">
      <c r="A9" s="1" t="s">
        <v>80</v>
      </c>
      <c r="B9" s="1" t="s">
        <v>81</v>
      </c>
      <c r="C9" s="2">
        <v>1</v>
      </c>
    </row>
    <row r="10" spans="1:4">
      <c r="A10" s="1" t="s">
        <v>82</v>
      </c>
      <c r="B10" s="1" t="s">
        <v>83</v>
      </c>
      <c r="C10" s="2">
        <v>40000</v>
      </c>
    </row>
    <row r="11" spans="1:4">
      <c r="A11" s="1" t="s">
        <v>84</v>
      </c>
      <c r="B11" s="1" t="s">
        <v>85</v>
      </c>
      <c r="C11" s="2">
        <v>0</v>
      </c>
    </row>
    <row r="12" spans="1:4">
      <c r="A12" s="1" t="s">
        <v>86</v>
      </c>
      <c r="B12" s="1" t="s">
        <v>143</v>
      </c>
      <c r="C12" s="2">
        <v>8</v>
      </c>
    </row>
    <row r="13" spans="1:4">
      <c r="A13" s="1" t="s">
        <v>88</v>
      </c>
      <c r="B13" s="1" t="s">
        <v>89</v>
      </c>
      <c r="C13" s="2">
        <v>1500</v>
      </c>
    </row>
    <row r="14" spans="1:4">
      <c r="A14" s="1" t="s">
        <v>90</v>
      </c>
      <c r="B14" s="1" t="s">
        <v>91</v>
      </c>
      <c r="C14" s="2">
        <v>0</v>
      </c>
    </row>
    <row r="15" spans="1:4">
      <c r="A15" s="1" t="s">
        <v>92</v>
      </c>
      <c r="B15" s="1" t="s">
        <v>93</v>
      </c>
      <c r="C15" s="1">
        <f>C36</f>
        <v>180000</v>
      </c>
    </row>
    <row r="16" spans="1:4">
      <c r="A16" s="1" t="s">
        <v>94</v>
      </c>
      <c r="B16" s="1" t="s">
        <v>95</v>
      </c>
      <c r="C16" s="2">
        <v>21.4</v>
      </c>
    </row>
    <row r="17" spans="1:3">
      <c r="A17" s="1" t="s">
        <v>96</v>
      </c>
      <c r="B17" s="1" t="s">
        <v>97</v>
      </c>
      <c r="C17" s="2">
        <v>0</v>
      </c>
    </row>
    <row r="18" spans="1:3">
      <c r="A18" s="1" t="s">
        <v>98</v>
      </c>
      <c r="B18" s="1" t="s">
        <v>99</v>
      </c>
      <c r="C18" s="2">
        <v>1000</v>
      </c>
    </row>
    <row r="19" spans="1:3">
      <c r="A19" s="1" t="s">
        <v>100</v>
      </c>
      <c r="B19" s="1" t="s">
        <v>101</v>
      </c>
      <c r="C19" s="2">
        <v>10</v>
      </c>
    </row>
    <row r="20" spans="1:3">
      <c r="A20" s="1" t="s">
        <v>102</v>
      </c>
      <c r="B20" s="1" t="s">
        <v>103</v>
      </c>
      <c r="C20" s="1">
        <f>C40</f>
        <v>99</v>
      </c>
    </row>
    <row r="21" spans="1:3" ht="14.25" hidden="1" customHeight="1">
      <c r="A21" s="1"/>
      <c r="B21" s="1"/>
      <c r="C21" s="1"/>
    </row>
    <row r="22" spans="1:3" hidden="1">
      <c r="A22" s="4"/>
      <c r="B22" s="1"/>
      <c r="C22" s="1"/>
    </row>
    <row r="23" spans="1:3" hidden="1">
      <c r="A23" s="4" t="s">
        <v>105</v>
      </c>
      <c r="B23" s="1"/>
      <c r="C23" s="6">
        <f>C16*10</f>
        <v>214</v>
      </c>
    </row>
    <row r="24" spans="1:3" hidden="1">
      <c r="A24" s="4" t="s">
        <v>106</v>
      </c>
      <c r="B24" s="6"/>
      <c r="C24" s="6">
        <f>(C5+32)</f>
        <v>2080</v>
      </c>
    </row>
    <row r="25" spans="1:3" hidden="1">
      <c r="A25" s="4" t="s">
        <v>107</v>
      </c>
      <c r="B25" s="6"/>
      <c r="C25" s="6">
        <f>MAX(ROUND((C10*1000-13730)/C42,0),1)</f>
        <v>2966</v>
      </c>
    </row>
    <row r="26" spans="1:3" hidden="1">
      <c r="A26" s="4" t="s">
        <v>108</v>
      </c>
      <c r="B26" s="6"/>
      <c r="C26" s="6">
        <f>ROUNDUP(C11*1000/C42,0)</f>
        <v>0</v>
      </c>
    </row>
    <row r="27" spans="1:3" hidden="1">
      <c r="A27" s="4" t="s">
        <v>109</v>
      </c>
      <c r="B27" s="6"/>
      <c r="C27" s="6">
        <f>C25+C26+12</f>
        <v>2978</v>
      </c>
    </row>
    <row r="28" spans="1:3" hidden="1">
      <c r="A28" s="4" t="s">
        <v>110</v>
      </c>
      <c r="B28" s="6"/>
      <c r="C28" s="6">
        <v>0</v>
      </c>
    </row>
    <row r="29" spans="1:3" hidden="1">
      <c r="A29" s="4" t="s">
        <v>111</v>
      </c>
      <c r="B29" s="6"/>
      <c r="C29" s="6">
        <f>ROUNDDOWN((C4*C5*ROUNDUP(C12/8,0)+C28*32)/(C13-36),0)</f>
        <v>3424</v>
      </c>
    </row>
    <row r="30" spans="1:3" hidden="1">
      <c r="A30" s="4" t="s">
        <v>112</v>
      </c>
      <c r="B30" s="6"/>
      <c r="C30" s="6">
        <f>C4*C5*ROUNDUP(C12/8,0)+C28*32-(C13-36)*C29</f>
        <v>768</v>
      </c>
    </row>
    <row r="31" spans="1:3" hidden="1">
      <c r="A31" s="6" t="s">
        <v>113</v>
      </c>
      <c r="B31" s="6"/>
      <c r="C31" s="6">
        <f>ROUNDDOWN((ROUNDUP((((62+(C13-36))*C29+62+C30+(168-C28*24))+(C14+12)*(C29+3))/ROUNDDOWN(C18*(100-C19)/100,0),0)*8)*540/C43/10,0)</f>
        <v>3473</v>
      </c>
    </row>
    <row r="32" spans="1:3" hidden="1">
      <c r="A32" s="6" t="s">
        <v>114</v>
      </c>
      <c r="B32" s="6"/>
      <c r="C32" s="6">
        <f>ROUNDUP(10000000000/C23/C42,0)</f>
        <v>3467</v>
      </c>
    </row>
    <row r="33" spans="1:3" hidden="1">
      <c r="A33" s="6" t="s">
        <v>115</v>
      </c>
      <c r="B33" s="6"/>
      <c r="C33" s="6">
        <f>IF(C17=1,MAX(C24,C27,C31,C32),MAX(C24,C27,C31))</f>
        <v>3473</v>
      </c>
    </row>
    <row r="34" spans="1:3" hidden="1">
      <c r="A34" s="6" t="s">
        <v>116</v>
      </c>
      <c r="B34" s="6"/>
      <c r="C34" s="6">
        <f>ROUND(1000000/ROUNDDOWN(C33*10*C43/540,0),2)</f>
        <v>21.36</v>
      </c>
    </row>
    <row r="35" spans="1:3" hidden="1">
      <c r="A35" s="6" t="s">
        <v>117</v>
      </c>
      <c r="B35" s="6"/>
      <c r="C35" s="6">
        <f>12500*C18*(100-C19)</f>
        <v>1125000000</v>
      </c>
    </row>
    <row r="36" spans="1:3" hidden="1">
      <c r="A36" s="6" t="s">
        <v>118</v>
      </c>
      <c r="B36" s="6"/>
      <c r="C36" s="6">
        <f>IF((ROUNDDOWN((C35-(62+C13-36)*C29-62-C30-168+C28*24)/(C29+3),0)-12)&gt;C37,C37,ROUNDDOWN((C35-(62+C13-36)*C29-62-C30-168+C28*24)/(C29+3),0)-12)</f>
        <v>180000</v>
      </c>
    </row>
    <row r="37" spans="1:3" hidden="1">
      <c r="A37" s="6" t="s">
        <v>119</v>
      </c>
      <c r="B37" s="6"/>
      <c r="C37" s="6">
        <f>IF(C18=1000,180000,18000)</f>
        <v>180000</v>
      </c>
    </row>
    <row r="38" spans="1:3" hidden="1">
      <c r="A38" s="6" t="s">
        <v>120</v>
      </c>
      <c r="B38" s="6"/>
      <c r="C38" s="6">
        <f>((62+(C13-36))*C29+62+C30+168)+(C14+12)*(C29+3)</f>
        <v>5267146</v>
      </c>
    </row>
    <row r="39" spans="1:3" hidden="1">
      <c r="A39" s="6" t="s">
        <v>117</v>
      </c>
      <c r="B39" s="6"/>
      <c r="C39" s="6">
        <f>125000*C18</f>
        <v>125000000</v>
      </c>
    </row>
    <row r="40" spans="1:3" hidden="1">
      <c r="A40" s="6" t="s">
        <v>121</v>
      </c>
      <c r="B40" s="6"/>
      <c r="C40" s="6">
        <f>IF((100-ROUNDDOWN(C38*10/(1250000*C18/10),0)-1)&lt;0,0,(100-ROUNDDOWN(C38*10/(1250000*C18/10),0)-1))</f>
        <v>99</v>
      </c>
    </row>
    <row r="41" spans="1:3" hidden="1">
      <c r="A41" s="6" t="s">
        <v>122</v>
      </c>
      <c r="B41" s="6"/>
      <c r="C41" s="6">
        <f>ROUNDDOWN((C35-(62+C13-36)*C29-62-C30-168+C28*24)/(C29+3),0)-12</f>
        <v>326738</v>
      </c>
    </row>
    <row r="42" spans="1:3" hidden="1">
      <c r="A42" s="6" t="s">
        <v>123</v>
      </c>
      <c r="B42" s="6"/>
      <c r="C42" s="6">
        <f>ROUNDUP(1000000*C43/54000,0)</f>
        <v>13482</v>
      </c>
    </row>
    <row r="43" spans="1:3" hidden="1">
      <c r="A43" s="6" t="s">
        <v>124</v>
      </c>
      <c r="B43" s="6"/>
      <c r="C43" s="6">
        <f>728*ROUNDUP(C12/8,0)</f>
        <v>728</v>
      </c>
    </row>
    <row r="44" spans="1:3" s="116" customFormat="1" ht="15" hidden="1" customHeight="1">
      <c r="A44" s="122"/>
      <c r="B44" s="122"/>
      <c r="C44" s="122"/>
    </row>
    <row r="45" spans="1:3" hidden="1">
      <c r="A45" s="6" t="s">
        <v>125</v>
      </c>
      <c r="B45" s="6"/>
      <c r="C45" s="6">
        <f>ROUNDDOWN(2448/(4*C47),0)*4</f>
        <v>2448</v>
      </c>
    </row>
    <row r="46" spans="1:3" hidden="1">
      <c r="A46" s="6" t="s">
        <v>126</v>
      </c>
      <c r="B46" s="6"/>
      <c r="C46" s="6">
        <f>ROUNDDOWN(2048/(2*C48),0)*2</f>
        <v>2048</v>
      </c>
    </row>
    <row r="47" spans="1:3" hidden="1">
      <c r="A47" s="6" t="s">
        <v>127</v>
      </c>
      <c r="B47" s="6"/>
      <c r="C47" s="6">
        <f>IF(C6=1,C8,C6)</f>
        <v>1</v>
      </c>
    </row>
    <row r="48" spans="1:3" hidden="1">
      <c r="A48" s="6" t="s">
        <v>128</v>
      </c>
      <c r="B48" s="6"/>
      <c r="C48" s="6">
        <f>IF(C7=1,C9,C7)</f>
        <v>1</v>
      </c>
    </row>
    <row r="49" spans="1:10" hidden="1">
      <c r="A49" s="6" t="s">
        <v>129</v>
      </c>
      <c r="B49" s="6"/>
      <c r="C49" s="6">
        <f>ROUNDDOWN(C53/4,0)*4*C47</f>
        <v>2448</v>
      </c>
    </row>
    <row r="50" spans="1:10" hidden="1">
      <c r="A50" s="6" t="s">
        <v>130</v>
      </c>
      <c r="B50" s="6"/>
      <c r="C50" s="6">
        <f>ROUNDDOWN(C54/2,0)*2*C48</f>
        <v>2048</v>
      </c>
    </row>
    <row r="51" spans="1:10" hidden="1">
      <c r="A51" s="6" t="s">
        <v>131</v>
      </c>
      <c r="B51" s="6"/>
      <c r="C51" s="6">
        <f>ROUNDDOWN(C4/4,0)*4*C47</f>
        <v>2448</v>
      </c>
    </row>
    <row r="52" spans="1:10" hidden="1">
      <c r="A52" s="6" t="s">
        <v>132</v>
      </c>
      <c r="B52" s="6"/>
      <c r="C52" s="6">
        <f>ROUNDDOWN(C5/2,0)*2*C48</f>
        <v>2048</v>
      </c>
    </row>
    <row r="53" spans="1:10" hidden="1">
      <c r="A53" s="6" t="s">
        <v>133</v>
      </c>
      <c r="B53" s="6"/>
      <c r="C53" s="6">
        <f>ROUNDDOWN(C51/(4*C47),0)*4</f>
        <v>2448</v>
      </c>
    </row>
    <row r="54" spans="1:10" hidden="1">
      <c r="A54" s="6" t="s">
        <v>134</v>
      </c>
      <c r="B54" s="6"/>
      <c r="C54" s="6">
        <f>ROUNDDOWN(C52/(2*C48),0)*2</f>
        <v>2048</v>
      </c>
    </row>
    <row r="55" spans="1:10" hidden="1">
      <c r="A55" s="6"/>
      <c r="B55" s="6"/>
      <c r="C55" s="6"/>
    </row>
    <row r="56" spans="1:10" ht="14.25">
      <c r="A56" s="11" t="s">
        <v>135</v>
      </c>
      <c r="B56" s="11"/>
      <c r="C56" s="11"/>
    </row>
    <row r="57" spans="1:10" ht="14.25">
      <c r="A57" s="11" t="s">
        <v>116</v>
      </c>
      <c r="B57" s="11" t="s">
        <v>136</v>
      </c>
      <c r="C57" s="11">
        <f>C34</f>
        <v>21.36</v>
      </c>
      <c r="D57" s="3" t="str">
        <f>IF(J68=1,J64,"")</f>
        <v/>
      </c>
    </row>
    <row r="61" spans="1:10" ht="40.5">
      <c r="J61" s="55" t="s">
        <v>137</v>
      </c>
    </row>
    <row r="62" spans="1:10">
      <c r="J62" t="s">
        <v>138</v>
      </c>
    </row>
    <row r="63" spans="1:10">
      <c r="J63" t="s">
        <v>139</v>
      </c>
    </row>
    <row r="64" spans="1:10">
      <c r="J64" t="s">
        <v>140</v>
      </c>
    </row>
    <row r="67" spans="1:10">
      <c r="J67" t="s">
        <v>141</v>
      </c>
    </row>
    <row r="68" spans="1:10">
      <c r="A68" t="str">
        <f>IF(J95=1,J91,"")</f>
        <v/>
      </c>
      <c r="J68">
        <f>IF(OR(OR(C4&gt;C2,C4&lt;64),OR(C5&gt;C3,C5&lt;64)),1,0)</f>
        <v>0</v>
      </c>
    </row>
  </sheetData>
  <sheetProtection algorithmName="SHA-512" hashValue="JNBKLFNlGypGvg1zD80JlphIGi1oxIz6DNRW+P08qnHUY/0iEopPHZP7QVn1JR7i5i8xRwLmF5SHny2T6fGrvg==" saltValue="f5pdZk1jL3LLTJJJDeYPMQ==" spinCount="100000" sheet="1" objects="1" scenarios="1" selectLockedCells="1"/>
  <phoneticPr fontId="10" type="noConversion"/>
  <dataValidations count="19">
    <dataValidation type="whole" allowBlank="1" showInputMessage="1" showErrorMessage="1" error="The input range :[20,1000000]" sqref="C10">
      <formula1>20</formula1>
      <formula2>1000000</formula2>
    </dataValidation>
    <dataValidation type="custom" allowBlank="1" showInputMessage="1" showErrorMessage="1" error="The input parameter value is 1 or 2 and cannot be entered when the vertical pixel Binning is not 1" sqref="C9">
      <formula1>AND(OR((C9=1),(C9=2)),C7=1)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The input parameter value is 1 or 2, and cannot be entered if the horizontal pixel sampling is not 1" sqref="C6">
      <formula1>AND(OR((C6=1),(C6=2)),C8=1)</formula1>
    </dataValidation>
    <dataValidation type="custom" allowBlank="1" showInputMessage="1" showErrorMessage="1" error="The input parameter has a value of 1 or 2 and cannot be entered when the horizontal pixel Binning is not 1" sqref="C8">
      <formula1>AND(OR((C8=1),(C8=2)),C6=1)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Input range:[64,'HeightMax'],and is an integer multiple of 4" sqref="C5">
      <formula1>AND((C5&lt;=C3),(C5&gt;=64),(MOD(C5,2)=0))</formula1>
    </dataValidation>
    <dataValidation type="custom" allowBlank="1" showInputMessage="1" showErrorMessage="1" error="Input range:[64,'WidthMax'],and is an integer multiple of 4" sqref="C4">
      <formula1>AND((C4&lt;=C2),(C4&gt;=64),(MOD(C4,4)=0))</formula1>
    </dataValidation>
    <dataValidation type="custom" allowBlank="1" showInputMessage="1" showErrorMessage="1" error="The input parameter value is 1 or 2, and cannot be entered if the vertical pixel sampling is not 1" sqref="C7">
      <formula1>AND(OR((C7=1),(C7=2)),C9=1)</formula1>
    </dataValidation>
    <dataValidation type="whole" allowBlank="1" showInputMessage="1" showErrorMessage="1" error="The input range: [0,5000]" sqref="C11">
      <formula1>0</formula1>
      <formula2>5000</formula2>
    </dataValidation>
    <dataValidation type="whole" allowBlank="1" showInputMessage="1" showErrorMessage="1" error="Set the value range:[ 0,'GevSCPDMaxValue']" sqref="C14">
      <formula1>0</formula1>
      <formula2>C15</formula2>
    </dataValidation>
    <dataValidation type="custom" allowBlank="1" showInputMessage="1" showErrorMessage="1" error="Please enter 8 or 10" sqref="C12">
      <formula1>OR((C12=8),(C12=10))</formula1>
    </dataValidation>
    <dataValidation type="custom" allowBlank="1" showInputMessage="1" showErrorMessage="1" error="The input range :[512,8192], and the step size is 4" sqref="C13">
      <formula1>AND((C13&lt;=8192),(C13&gt;=512),(MOD(C13,4)=0))</formula1>
    </dataValidation>
    <dataValidation type="whole" allowBlank="1" showErrorMessage="1" error="Set the value to exceed the maximum" prompt="应在包间隔范围内" sqref="C15">
      <formula1>0</formula1>
      <formula2>C36</formula2>
    </dataValidation>
    <dataValidation type="custom" allowBlank="1" showErrorMessage="1" error="Set the value range :[ 0.1,10000.0], accurate to one decimal" prompt="应在包间隔范围内" sqref="C16">
      <formula1>AND(TRUNC(C16,1)=C16,(C16&gt;=0.1),(C16&lt;=10000))</formula1>
    </dataValidation>
    <dataValidation type="custom" allowBlank="1" showErrorMessage="1" error="Please enter a 0 or 1" prompt="应在包间隔范围内" sqref="C17">
      <formula1>OR((C17=0),(C17=1))</formula1>
    </dataValidation>
    <dataValidation type="custom" allowBlank="1" showInputMessage="1" showErrorMessage="1" error="Please enter 1000 or 100" sqref="C18">
      <formula1>OR((C18=1000),(C18=100))</formula1>
    </dataValidation>
    <dataValidation type="whole" allowBlank="1" showInputMessage="1" showErrorMessage="1" error="Set the value range [ 0,'BandwidthReserveMaxValue']" sqref="C19">
      <formula1>0</formula1>
      <formula2>C20</formula2>
    </dataValidation>
    <dataValidation type="whole" allowBlank="1" showErrorMessage="1" error="The setting value exceeds the reserved bandwidth range" prompt="设置值应在预留带宽范围内" sqref="C20">
      <formula1>0</formula1>
      <formula2>C40</formula2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B1" workbookViewId="0">
      <selection activeCell="G96" sqref="G96"/>
    </sheetView>
  </sheetViews>
  <sheetFormatPr defaultColWidth="9" defaultRowHeight="13.5"/>
  <cols>
    <col min="1" max="1" width="21.25" style="117" hidden="1" customWidth="1"/>
    <col min="2" max="2" width="23.375" style="117" customWidth="1"/>
    <col min="3" max="3" width="14.75" style="117" customWidth="1"/>
    <col min="4" max="4" width="14.125" style="117" customWidth="1"/>
    <col min="5" max="5" width="17.375" style="117" customWidth="1"/>
    <col min="6" max="9" width="9" style="117"/>
    <col min="10" max="10" width="9" style="117" hidden="1" customWidth="1"/>
    <col min="11" max="16384" width="9" style="117"/>
  </cols>
  <sheetData>
    <row r="1" spans="1:4" s="116" customFormat="1">
      <c r="A1" s="118" t="s">
        <v>65</v>
      </c>
      <c r="B1" s="118"/>
      <c r="C1" s="119"/>
    </row>
    <row r="2" spans="1:4" customFormat="1">
      <c r="A2" s="1" t="s">
        <v>66</v>
      </c>
      <c r="B2" s="1" t="s">
        <v>67</v>
      </c>
      <c r="C2" s="1">
        <f>C69</f>
        <v>3088</v>
      </c>
    </row>
    <row r="3" spans="1:4" customFormat="1">
      <c r="A3" s="1" t="s">
        <v>68</v>
      </c>
      <c r="B3" s="1" t="s">
        <v>69</v>
      </c>
      <c r="C3" s="1">
        <f>C70</f>
        <v>2064</v>
      </c>
    </row>
    <row r="4" spans="1:4" s="116" customFormat="1">
      <c r="A4" s="118" t="s">
        <v>70</v>
      </c>
      <c r="B4" s="118" t="s">
        <v>71</v>
      </c>
      <c r="C4" s="119">
        <v>3088</v>
      </c>
      <c r="D4" s="3" t="str">
        <f>IF(OR(C4&gt;C2,C4&lt;64),J89,"")</f>
        <v/>
      </c>
    </row>
    <row r="5" spans="1:4" s="116" customFormat="1">
      <c r="A5" s="118" t="s">
        <v>72</v>
      </c>
      <c r="B5" s="118" t="s">
        <v>73</v>
      </c>
      <c r="C5" s="119">
        <v>2064</v>
      </c>
      <c r="D5" s="120" t="str">
        <f>IF(OR(C5&gt;C3,C5&lt;64),J90,"")</f>
        <v/>
      </c>
    </row>
    <row r="6" spans="1:4" customFormat="1">
      <c r="A6" s="1" t="s">
        <v>74</v>
      </c>
      <c r="B6" s="1" t="s">
        <v>75</v>
      </c>
      <c r="C6" s="2">
        <v>1</v>
      </c>
    </row>
    <row r="7" spans="1:4" customFormat="1">
      <c r="A7" s="1" t="s">
        <v>76</v>
      </c>
      <c r="B7" s="1" t="s">
        <v>77</v>
      </c>
      <c r="C7" s="2">
        <v>1</v>
      </c>
    </row>
    <row r="8" spans="1:4" customFormat="1">
      <c r="A8" s="1" t="s">
        <v>78</v>
      </c>
      <c r="B8" s="1" t="s">
        <v>79</v>
      </c>
      <c r="C8" s="2">
        <v>1</v>
      </c>
    </row>
    <row r="9" spans="1:4" customFormat="1">
      <c r="A9" s="1" t="s">
        <v>80</v>
      </c>
      <c r="B9" s="1" t="s">
        <v>81</v>
      </c>
      <c r="C9" s="2">
        <v>1</v>
      </c>
    </row>
    <row r="10" spans="1:4" s="116" customFormat="1">
      <c r="A10" s="118" t="s">
        <v>82</v>
      </c>
      <c r="B10" s="118" t="s">
        <v>83</v>
      </c>
      <c r="C10" s="119">
        <v>50000</v>
      </c>
    </row>
    <row r="11" spans="1:4" s="116" customFormat="1">
      <c r="A11" s="118" t="s">
        <v>86</v>
      </c>
      <c r="B11" s="118" t="s">
        <v>87</v>
      </c>
      <c r="C11" s="119">
        <v>8</v>
      </c>
    </row>
    <row r="12" spans="1:4" s="116" customFormat="1">
      <c r="A12" s="118" t="s">
        <v>88</v>
      </c>
      <c r="B12" s="118" t="s">
        <v>89</v>
      </c>
      <c r="C12" s="119">
        <v>8192</v>
      </c>
    </row>
    <row r="13" spans="1:4" s="116" customFormat="1">
      <c r="A13" s="118" t="s">
        <v>90</v>
      </c>
      <c r="B13" s="118" t="s">
        <v>91</v>
      </c>
      <c r="C13" s="119">
        <v>0</v>
      </c>
    </row>
    <row r="14" spans="1:4" s="116" customFormat="1">
      <c r="A14" s="118" t="s">
        <v>92</v>
      </c>
      <c r="B14" s="118" t="s">
        <v>93</v>
      </c>
      <c r="C14" s="118">
        <f>C54</f>
        <v>180000</v>
      </c>
    </row>
    <row r="15" spans="1:4" s="116" customFormat="1">
      <c r="A15" s="118" t="s">
        <v>98</v>
      </c>
      <c r="B15" s="118" t="s">
        <v>99</v>
      </c>
      <c r="C15" s="119">
        <v>1000</v>
      </c>
    </row>
    <row r="16" spans="1:4" s="116" customFormat="1">
      <c r="A16" s="118" t="s">
        <v>100</v>
      </c>
      <c r="B16" s="118" t="s">
        <v>101</v>
      </c>
      <c r="C16" s="119">
        <v>5</v>
      </c>
    </row>
    <row r="17" spans="1:3" s="116" customFormat="1">
      <c r="A17" s="118" t="s">
        <v>102</v>
      </c>
      <c r="B17" s="118" t="s">
        <v>103</v>
      </c>
      <c r="C17" s="118">
        <f>C57</f>
        <v>99</v>
      </c>
    </row>
    <row r="18" spans="1:3" s="116" customFormat="1">
      <c r="A18" s="118" t="s">
        <v>144</v>
      </c>
      <c r="B18" s="119" t="s">
        <v>104</v>
      </c>
      <c r="C18" s="119">
        <v>0</v>
      </c>
    </row>
    <row r="19" spans="1:3" s="116" customFormat="1" ht="15" customHeight="1">
      <c r="A19" s="118" t="s">
        <v>94</v>
      </c>
      <c r="B19" s="118" t="s">
        <v>95</v>
      </c>
      <c r="C19" s="119">
        <v>18.399999999999999</v>
      </c>
    </row>
    <row r="20" spans="1:3" s="116" customFormat="1">
      <c r="A20" s="118" t="s">
        <v>96</v>
      </c>
      <c r="B20" s="118" t="s">
        <v>97</v>
      </c>
      <c r="C20" s="119">
        <v>0</v>
      </c>
    </row>
    <row r="21" spans="1:3" s="116" customFormat="1" hidden="1">
      <c r="A21" s="118"/>
      <c r="B21" s="118"/>
      <c r="C21" s="118"/>
    </row>
    <row r="22" spans="1:3" s="116" customFormat="1" hidden="1">
      <c r="A22" s="121" t="s">
        <v>168</v>
      </c>
      <c r="B22" s="121" t="s">
        <v>169</v>
      </c>
      <c r="C22" s="121">
        <v>37500</v>
      </c>
    </row>
    <row r="23" spans="1:3" s="116" customFormat="1" hidden="1">
      <c r="A23" s="121" t="s">
        <v>170</v>
      </c>
      <c r="B23" s="121" t="s">
        <v>171</v>
      </c>
      <c r="C23" s="121">
        <v>720</v>
      </c>
    </row>
    <row r="24" spans="1:3" s="116" customFormat="1" hidden="1">
      <c r="A24" s="121" t="s">
        <v>172</v>
      </c>
      <c r="B24" s="121" t="s">
        <v>173</v>
      </c>
      <c r="C24" s="121">
        <f>ROUNDUP(C23*(1000000/C22),0)</f>
        <v>19200</v>
      </c>
    </row>
    <row r="25" spans="1:3" s="116" customFormat="1" hidden="1">
      <c r="A25" s="121" t="s">
        <v>174</v>
      </c>
      <c r="B25" s="121" t="s">
        <v>175</v>
      </c>
      <c r="C25" s="121">
        <v>38</v>
      </c>
    </row>
    <row r="26" spans="1:3" s="116" customFormat="1" ht="27" hidden="1">
      <c r="A26" s="121" t="s">
        <v>176</v>
      </c>
      <c r="B26" s="121" t="s">
        <v>177</v>
      </c>
      <c r="C26" s="121">
        <v>28</v>
      </c>
    </row>
    <row r="27" spans="1:3" s="116" customFormat="1" ht="54" hidden="1">
      <c r="A27" s="121" t="s">
        <v>178</v>
      </c>
      <c r="B27" s="121" t="s">
        <v>179</v>
      </c>
      <c r="C27" s="121">
        <v>7</v>
      </c>
    </row>
    <row r="28" spans="1:3" s="116" customFormat="1" hidden="1">
      <c r="A28" s="121" t="s">
        <v>180</v>
      </c>
      <c r="B28" s="121" t="s">
        <v>180</v>
      </c>
      <c r="C28" s="121">
        <v>8</v>
      </c>
    </row>
    <row r="29" spans="1:3" s="116" customFormat="1" ht="27" hidden="1">
      <c r="A29" s="121" t="s">
        <v>181</v>
      </c>
      <c r="B29" s="121" t="s">
        <v>182</v>
      </c>
      <c r="C29" s="121">
        <v>2000</v>
      </c>
    </row>
    <row r="30" spans="1:3" s="116" customFormat="1" hidden="1">
      <c r="A30" s="121" t="s">
        <v>183</v>
      </c>
      <c r="B30" s="121" t="s">
        <v>184</v>
      </c>
      <c r="C30" s="121">
        <v>1200</v>
      </c>
    </row>
    <row r="31" spans="1:3" s="116" customFormat="1" hidden="1">
      <c r="A31" s="121" t="s">
        <v>185</v>
      </c>
      <c r="B31" s="121" t="s">
        <v>186</v>
      </c>
      <c r="C31" s="121">
        <v>320</v>
      </c>
    </row>
    <row r="32" spans="1:3" s="116" customFormat="1" hidden="1">
      <c r="A32" s="121" t="s">
        <v>187</v>
      </c>
      <c r="B32" s="118"/>
      <c r="C32" s="122">
        <v>16</v>
      </c>
    </row>
    <row r="33" spans="1:3" s="116" customFormat="1" hidden="1">
      <c r="A33" s="121" t="s">
        <v>106</v>
      </c>
      <c r="B33" s="122"/>
      <c r="C33" s="122">
        <f>C26+MAX(MAX(C5,C31)+C25-C26,2+C27)</f>
        <v>2102</v>
      </c>
    </row>
    <row r="34" spans="1:3" s="116" customFormat="1" hidden="1">
      <c r="A34" s="121" t="s">
        <v>114</v>
      </c>
      <c r="B34" s="122"/>
      <c r="C34" s="122">
        <f>ROUNDDOWN(1000000000/C19/C24,0)*C20</f>
        <v>0</v>
      </c>
    </row>
    <row r="35" spans="1:3" s="116" customFormat="1" hidden="1">
      <c r="A35" s="121" t="s">
        <v>109</v>
      </c>
      <c r="B35" s="122"/>
      <c r="C35" s="122">
        <f>ROUNDUP(C10*1000/C24,0)+C28</f>
        <v>2613</v>
      </c>
    </row>
    <row r="36" spans="1:3" s="116" customFormat="1" hidden="1">
      <c r="A36" s="121" t="s">
        <v>146</v>
      </c>
      <c r="B36" s="122"/>
      <c r="C36" s="122">
        <f>C33+C35+C32</f>
        <v>4731</v>
      </c>
    </row>
    <row r="37" spans="1:3" s="116" customFormat="1" hidden="1">
      <c r="A37" s="121"/>
      <c r="B37" s="122"/>
      <c r="C37" s="122"/>
    </row>
    <row r="38" spans="1:3" s="116" customFormat="1" hidden="1">
      <c r="A38" s="121" t="s">
        <v>188</v>
      </c>
      <c r="B38" s="122"/>
      <c r="C38" s="122">
        <v>0</v>
      </c>
    </row>
    <row r="39" spans="1:3" s="116" customFormat="1" hidden="1">
      <c r="A39" s="121" t="s">
        <v>160</v>
      </c>
      <c r="B39" s="122"/>
      <c r="C39" s="122">
        <f>C4*C5*IF(C11=8,1,2)+C38*32</f>
        <v>6373632</v>
      </c>
    </row>
    <row r="40" spans="1:3" s="116" customFormat="1" hidden="1">
      <c r="A40" s="121" t="s">
        <v>189</v>
      </c>
      <c r="B40" s="122"/>
      <c r="C40" s="122">
        <f>INT(C39/(C12-36))</f>
        <v>781</v>
      </c>
    </row>
    <row r="41" spans="1:3" s="116" customFormat="1" hidden="1">
      <c r="A41" s="121" t="s">
        <v>112</v>
      </c>
      <c r="B41" s="122"/>
      <c r="C41" s="122">
        <f>IF((C39-(C12-36)*C40)&lt;64,64,(C39-(C12-36)*C40))</f>
        <v>3796</v>
      </c>
    </row>
    <row r="42" spans="1:3" s="116" customFormat="1" hidden="1">
      <c r="A42" s="121" t="s">
        <v>190</v>
      </c>
      <c r="B42" s="122"/>
      <c r="C42" s="122">
        <f>IF(C41=0,0,1)</f>
        <v>1</v>
      </c>
    </row>
    <row r="43" spans="1:3" s="116" customFormat="1" hidden="1">
      <c r="A43" s="121" t="s">
        <v>161</v>
      </c>
      <c r="B43" s="122"/>
      <c r="C43" s="122">
        <f>IF(C38=0,36,12)</f>
        <v>36</v>
      </c>
    </row>
    <row r="44" spans="1:3" s="116" customFormat="1" ht="40.5" hidden="1">
      <c r="A44" s="121" t="s">
        <v>191</v>
      </c>
      <c r="B44" s="122"/>
      <c r="C44" s="122">
        <f>C40*(C12+26)+C42*(C41+26+36)</f>
        <v>6422116</v>
      </c>
    </row>
    <row r="45" spans="1:3" s="116" customFormat="1" hidden="1">
      <c r="A45" s="121" t="s">
        <v>192</v>
      </c>
      <c r="B45" s="122"/>
      <c r="C45" s="122">
        <f>(2+C42+C40)*(C13+12)</f>
        <v>9408</v>
      </c>
    </row>
    <row r="46" spans="1:3" s="116" customFormat="1" hidden="1">
      <c r="A46" s="121" t="s">
        <v>193</v>
      </c>
      <c r="B46" s="122"/>
      <c r="C46" s="122">
        <f>C44+C45+170-24*C38</f>
        <v>6431694</v>
      </c>
    </row>
    <row r="47" spans="1:3" s="116" customFormat="1" hidden="1">
      <c r="A47" s="121" t="s">
        <v>164</v>
      </c>
      <c r="B47" s="122"/>
      <c r="C47" s="122">
        <f>INT(C15*(100-C16)/80)</f>
        <v>1187</v>
      </c>
    </row>
    <row r="48" spans="1:3" s="116" customFormat="1" hidden="1">
      <c r="A48" s="121" t="s">
        <v>194</v>
      </c>
      <c r="B48" s="122"/>
      <c r="C48" s="122">
        <f>ROUNDUP(C46/C47*10*1000/C24,0)</f>
        <v>2823</v>
      </c>
    </row>
    <row r="49" spans="1:4" s="116" customFormat="1" ht="27" hidden="1">
      <c r="A49" s="121" t="s">
        <v>162</v>
      </c>
      <c r="B49" s="122"/>
      <c r="C49" s="122">
        <f>ROUNDUP((C39+C43+10)*10*1000/C30/C24,0)</f>
        <v>2767</v>
      </c>
    </row>
    <row r="50" spans="1:4" s="116" customFormat="1" hidden="1">
      <c r="A50" s="121" t="s">
        <v>163</v>
      </c>
      <c r="B50" s="122"/>
      <c r="C50" s="122">
        <f>MAX(C48,C49)</f>
        <v>2823</v>
      </c>
    </row>
    <row r="51" spans="1:4" s="116" customFormat="1" hidden="1">
      <c r="A51" s="121"/>
      <c r="B51" s="122"/>
      <c r="C51" s="122"/>
    </row>
    <row r="52" spans="1:4" s="116" customFormat="1" hidden="1">
      <c r="A52" s="122"/>
      <c r="B52" s="122"/>
      <c r="C52" s="122"/>
    </row>
    <row r="53" spans="1:4" s="116" customFormat="1" hidden="1">
      <c r="A53" s="122" t="s">
        <v>117</v>
      </c>
      <c r="B53" s="122"/>
      <c r="C53" s="122">
        <f>12500*C15*(100-C16)</f>
        <v>1187500000</v>
      </c>
    </row>
    <row r="54" spans="1:4" s="116" customFormat="1" hidden="1">
      <c r="A54" s="122" t="s">
        <v>118</v>
      </c>
      <c r="B54" s="122"/>
      <c r="C54" s="122">
        <f>IF((ROUNDDOWN((C53-(62+C12-36)*C40-62-C41-168+C38*24)/(C40+3),0)-12)&gt;180000,180000,ROUNDDOWN((C53-(62+C12-36)*C40-62-C41-168+C38*24)/(C40+3),0)-12)</f>
        <v>180000</v>
      </c>
    </row>
    <row r="55" spans="1:4" s="116" customFormat="1" hidden="1">
      <c r="A55" s="122" t="s">
        <v>120</v>
      </c>
      <c r="B55" s="122"/>
      <c r="C55" s="122">
        <f>((62+(C12-36))*C40+62+C41+168)+(C13+12)*(C40+3)</f>
        <v>6431692</v>
      </c>
    </row>
    <row r="56" spans="1:4" s="116" customFormat="1" hidden="1">
      <c r="A56" s="122" t="s">
        <v>117</v>
      </c>
      <c r="B56" s="122"/>
      <c r="C56" s="122">
        <f>125000*C15</f>
        <v>125000000</v>
      </c>
    </row>
    <row r="57" spans="1:4" s="116" customFormat="1" hidden="1">
      <c r="A57" s="122" t="s">
        <v>121</v>
      </c>
      <c r="B57" s="122"/>
      <c r="C57" s="122">
        <f>IF((100-ROUNDDOWN(C55*10/(1250000*C15/10),0)-1)&lt;0,0,(100-ROUNDDOWN(C55*10/(1250000*C15/10),0)-1))</f>
        <v>99</v>
      </c>
    </row>
    <row r="58" spans="1:4" s="116" customFormat="1" hidden="1">
      <c r="A58" s="122"/>
      <c r="B58" s="122"/>
      <c r="C58" s="122"/>
    </row>
    <row r="59" spans="1:4" s="116" customFormat="1" hidden="1">
      <c r="A59" s="123"/>
      <c r="B59" s="122"/>
      <c r="C59" s="122"/>
    </row>
    <row r="60" spans="1:4" s="116" customFormat="1" hidden="1">
      <c r="A60" s="124" t="s">
        <v>195</v>
      </c>
      <c r="B60" s="122"/>
      <c r="C60" s="125" t="str">
        <f>"0x"&amp;DEC2HEX(C23)</f>
        <v>0x2D0</v>
      </c>
      <c r="D60" s="116" t="s">
        <v>196</v>
      </c>
    </row>
    <row r="61" spans="1:4" s="116" customFormat="1" hidden="1">
      <c r="A61" s="121" t="s">
        <v>108</v>
      </c>
      <c r="B61" s="122"/>
      <c r="C61" s="122">
        <f>0</f>
        <v>0</v>
      </c>
    </row>
    <row r="62" spans="1:4" s="116" customFormat="1" hidden="1">
      <c r="A62" s="121" t="s">
        <v>107</v>
      </c>
      <c r="B62" s="122"/>
      <c r="C62" s="125" t="str">
        <f>"0x"&amp;DEC2HEX(ROUNDUP(C10*1000/C24,0))</f>
        <v>0xA2D</v>
      </c>
      <c r="D62" s="116" t="s">
        <v>197</v>
      </c>
    </row>
    <row r="63" spans="1:4" s="116" customFormat="1" hidden="1">
      <c r="A63" s="121" t="s">
        <v>198</v>
      </c>
      <c r="B63" s="122"/>
      <c r="C63" s="125" t="str">
        <f>"0x"&amp;DEC2HEX(C65)</f>
        <v>0xB07</v>
      </c>
      <c r="D63" s="116" t="s">
        <v>199</v>
      </c>
    </row>
    <row r="64" spans="1:4" s="116" customFormat="1" hidden="1">
      <c r="A64" s="121"/>
      <c r="B64" s="122"/>
      <c r="C64" s="125"/>
    </row>
    <row r="65" spans="1:3" s="116" customFormat="1" hidden="1">
      <c r="A65" s="122" t="s">
        <v>200</v>
      </c>
      <c r="B65" s="122"/>
      <c r="C65" s="122">
        <f>IF(C18=0,MAX(C33,C34,C35,C50),MAX(C34,C36,C50))</f>
        <v>2823</v>
      </c>
    </row>
    <row r="66" spans="1:3" s="116" customFormat="1" hidden="1">
      <c r="A66" s="122" t="s">
        <v>201</v>
      </c>
      <c r="B66" s="122"/>
      <c r="C66" s="122">
        <f>ROUNDUP(C65*C23/(C22/1000),0)</f>
        <v>54202</v>
      </c>
    </row>
    <row r="67" spans="1:3" s="116" customFormat="1" hidden="1">
      <c r="A67" s="122" t="s">
        <v>149</v>
      </c>
      <c r="B67" s="122"/>
      <c r="C67" s="122">
        <f>INT(INT(INT(INT(C4*INT(1000000000/C66)/10)*IF(C11=8,1,2)/10)*C5/10)*10/(100-C16))*10</f>
        <v>123775900</v>
      </c>
    </row>
    <row r="68" spans="1:3" s="116" customFormat="1" ht="15" hidden="1" customHeight="1">
      <c r="A68" s="122"/>
      <c r="B68" s="122"/>
      <c r="C68" s="122"/>
    </row>
    <row r="69" spans="1:3" customFormat="1" hidden="1">
      <c r="A69" s="6" t="s">
        <v>125</v>
      </c>
      <c r="B69" s="6"/>
      <c r="C69" s="6">
        <f>ROUNDDOWN(3088/(4*C71),0)*4</f>
        <v>3088</v>
      </c>
    </row>
    <row r="70" spans="1:3" customFormat="1" hidden="1">
      <c r="A70" s="6" t="s">
        <v>126</v>
      </c>
      <c r="B70" s="6"/>
      <c r="C70" s="6">
        <f>ROUNDDOWN(2064/(2*C72),0)*2</f>
        <v>2064</v>
      </c>
    </row>
    <row r="71" spans="1:3" customFormat="1" hidden="1">
      <c r="A71" s="6" t="s">
        <v>127</v>
      </c>
      <c r="B71" s="6"/>
      <c r="C71" s="6">
        <f>IF(C6=1,C8,C6)</f>
        <v>1</v>
      </c>
    </row>
    <row r="72" spans="1:3" customFormat="1" hidden="1">
      <c r="A72" s="6" t="s">
        <v>128</v>
      </c>
      <c r="B72" s="6"/>
      <c r="C72" s="6">
        <f>IF(C7=1,C9,C7)</f>
        <v>1</v>
      </c>
    </row>
    <row r="73" spans="1:3" customFormat="1" hidden="1">
      <c r="A73" s="6" t="s">
        <v>129</v>
      </c>
      <c r="B73" s="6"/>
      <c r="C73" s="6">
        <f>ROUNDDOWN(C77/4,0)*4*C71</f>
        <v>3088</v>
      </c>
    </row>
    <row r="74" spans="1:3" customFormat="1" hidden="1">
      <c r="A74" s="6" t="s">
        <v>130</v>
      </c>
      <c r="B74" s="6"/>
      <c r="C74" s="6">
        <f>ROUNDDOWN(C78/2,0)*2*C72</f>
        <v>2064</v>
      </c>
    </row>
    <row r="75" spans="1:3" customFormat="1" hidden="1">
      <c r="A75" s="6" t="s">
        <v>131</v>
      </c>
      <c r="B75" s="6"/>
      <c r="C75" s="6">
        <f>ROUNDDOWN(C4/4,0)*4*C71</f>
        <v>3088</v>
      </c>
    </row>
    <row r="76" spans="1:3" customFormat="1" hidden="1">
      <c r="A76" s="6" t="s">
        <v>132</v>
      </c>
      <c r="B76" s="6"/>
      <c r="C76" s="6">
        <f>ROUNDDOWN(C5/2,0)*2*C72</f>
        <v>2064</v>
      </c>
    </row>
    <row r="77" spans="1:3" customFormat="1" hidden="1">
      <c r="A77" s="6" t="s">
        <v>133</v>
      </c>
      <c r="B77" s="6"/>
      <c r="C77" s="6">
        <f>ROUNDDOWN(C75/(4*C71),0)*4</f>
        <v>3088</v>
      </c>
    </row>
    <row r="78" spans="1:3" customFormat="1" hidden="1">
      <c r="A78" s="6" t="s">
        <v>134</v>
      </c>
      <c r="B78" s="6"/>
      <c r="C78" s="6">
        <f>ROUNDDOWN(C76/(2*C72),0)*2</f>
        <v>2064</v>
      </c>
    </row>
    <row r="79" spans="1:3" s="116" customFormat="1" ht="12.75" hidden="1" customHeight="1">
      <c r="A79" s="122"/>
      <c r="B79" s="122"/>
      <c r="C79" s="122"/>
    </row>
    <row r="80" spans="1:3" s="116" customFormat="1" ht="12.75" hidden="1" customHeight="1">
      <c r="A80" s="122"/>
      <c r="B80" s="122"/>
      <c r="C80" s="122"/>
    </row>
    <row r="81" spans="1:10" s="116" customFormat="1" ht="14.25">
      <c r="A81" s="126" t="s">
        <v>135</v>
      </c>
      <c r="B81" s="126"/>
      <c r="C81" s="126"/>
    </row>
    <row r="82" spans="1:10" s="116" customFormat="1" ht="14.25">
      <c r="A82" s="126" t="s">
        <v>116</v>
      </c>
      <c r="B82" s="126" t="s">
        <v>167</v>
      </c>
      <c r="C82" s="126">
        <f>ROUND(1000000/C66,2)</f>
        <v>18.45</v>
      </c>
      <c r="D82" s="120" t="str">
        <f>IF(J95=1,J91,"")</f>
        <v/>
      </c>
    </row>
    <row r="88" spans="1:10">
      <c r="J88" t="s">
        <v>202</v>
      </c>
    </row>
    <row r="89" spans="1:10">
      <c r="J89" t="s">
        <v>203</v>
      </c>
    </row>
    <row r="90" spans="1:10">
      <c r="J90" t="s">
        <v>204</v>
      </c>
    </row>
    <row r="91" spans="1:10">
      <c r="J91" t="s">
        <v>205</v>
      </c>
    </row>
    <row r="92" spans="1:10">
      <c r="J92"/>
    </row>
    <row r="93" spans="1:10">
      <c r="J93"/>
    </row>
    <row r="94" spans="1:10">
      <c r="J94" t="s">
        <v>206</v>
      </c>
    </row>
    <row r="95" spans="1:10">
      <c r="J95">
        <f>IF(OR(OR(C4&gt;C2,C4&lt;64),OR(C5&gt;C3,C5&lt;64)),1,0)</f>
        <v>0</v>
      </c>
    </row>
  </sheetData>
  <sheetProtection algorithmName="SHA-512" hashValue="eEbjZlkwWKk0pWQpZ7A8J/sDZiT6uYc+7oOXMfxcJgndXGEOs5Yo2BYYXZCXJoErrJXsh6V5wPZyUrj2kgFmIQ==" saltValue="FUgy9NVfKNtA63zMwJuB7w==" spinCount="100000" sheet="1" objects="1" scenarios="1"/>
  <phoneticPr fontId="10" type="noConversion"/>
  <dataValidations count="18">
    <dataValidation type="custom" allowBlank="1" showInputMessage="1" showErrorMessage="1" error="输入范围是64~图像高度最大值，步长为2" sqref="C5">
      <formula1>AND((C5&lt;=C3),(C5&gt;=64),(MOD(C5,2)=0))</formula1>
    </dataValidation>
    <dataValidation type="custom" allowBlank="1" showInputMessage="1" showErrorMessage="1" error="输入范围是64~图像宽度最大值，步长为4" sqref="C4">
      <formula1>AND((C4&lt;=C2),(C4&gt;=64),(MOD(C4,4)=0))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输入参数值为1、2或者4，并且当垂直像素Binning不为1时不能输入" sqref="C9">
      <formula1>AND(OR((C9=1),(C9=2),(C9=4)),C7=1)</formula1>
    </dataValidation>
    <dataValidation type="custom" allowBlank="1" showInputMessage="1" showErrorMessage="1" error="输入范围是512~8192，步长为4" sqref="C12">
      <formula1>AND((C12&lt;=8192),(C12&gt;=512),(MOD(C12,4)=0))</formula1>
    </dataValidation>
    <dataValidation allowBlank="1" showErrorMessage="1" promptTitle="参数变化" prompt="该参数会根据当前生效的垂直像素Binning、垂直像素抽样变化" sqref="C3"/>
    <dataValidation type="custom" allowBlank="1" showInputMessage="1" showErrorMessage="1" error="输入参数值为1、2或者4，并且当水平像素Binning不为1时不能输入" sqref="C8">
      <formula1>AND(OR((C8=1),(C8=2),(C8=4)),C6=1)</formula1>
    </dataValidation>
    <dataValidation type="custom" allowBlank="1" showInputMessage="1" showErrorMessage="1" error="输入参数值为1、2或者4，并且当水平像素抽样不为1时不能输入" sqref="C6">
      <formula1>AND(OR((C6=1),(C6=2),(C6=4)),C8=1)</formula1>
    </dataValidation>
    <dataValidation type="custom" allowBlank="1" showInputMessage="1" showErrorMessage="1" error="输入参数值为1、2或者4，并且当垂直像素抽样不为1时不能输入" sqref="C7">
      <formula1>AND(OR((C7=1),(C7=2),(C7=4)),C9=1)</formula1>
    </dataValidation>
    <dataValidation type="whole" allowBlank="1" showInputMessage="1" showErrorMessage="1" error="输入范围是19~1000000" sqref="C10">
      <formula1>19</formula1>
      <formula2>1000000</formula2>
    </dataValidation>
    <dataValidation type="list" allowBlank="1" showInputMessage="1" showErrorMessage="1" error="请输入8或者12" sqref="C11">
      <formula1>"8,12"</formula1>
    </dataValidation>
    <dataValidation type="whole" allowBlank="1" showInputMessage="1" showErrorMessage="1" error="设置值范围为0~包间隔最大值" sqref="C13">
      <formula1>0</formula1>
      <formula2>C14</formula2>
    </dataValidation>
    <dataValidation type="whole" allowBlank="1" showErrorMessage="1" error="设置值超过最大值" prompt="应在包间隔范围内" sqref="C14">
      <formula1>0</formula1>
      <formula2>C54</formula2>
    </dataValidation>
    <dataValidation type="custom" allowBlank="1" showInputMessage="1" showErrorMessage="1" error="请输入1000或者100" sqref="C15">
      <formula1>OR((C15=1000),(C15=100))</formula1>
    </dataValidation>
    <dataValidation type="whole" allowBlank="1" showInputMessage="1" showErrorMessage="1" error="设置值范围为0~预估带宽最大值" sqref="C16">
      <formula1>0</formula1>
      <formula2>C17</formula2>
    </dataValidation>
    <dataValidation type="whole" allowBlank="1" error="设置值超过包间隔范围" prompt="设置值应在预留带宽范围内" sqref="C17">
      <formula1>0</formula1>
      <formula2>C57</formula2>
    </dataValidation>
    <dataValidation type="list" allowBlank="1" showErrorMessage="1" error="请输入0或者1" prompt="应在包间隔范围内" sqref="C18 C20">
      <formula1>"0,1"</formula1>
    </dataValidation>
    <dataValidation type="custom" allowBlank="1" showErrorMessage="1" error="设置值范围0.1~10000.0，精确到一位小数" prompt="应在包间隔范围内" sqref="C19">
      <formula1>AND(TRUNC(C19,1)=C19,(C19&gt;0),(C19&lt;=10000))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B1" workbookViewId="0">
      <selection activeCell="C2" sqref="C2"/>
    </sheetView>
  </sheetViews>
  <sheetFormatPr defaultColWidth="9" defaultRowHeight="13.5"/>
  <cols>
    <col min="1" max="1" width="22.375" style="104" hidden="1" customWidth="1"/>
    <col min="2" max="2" width="30.875" style="104" customWidth="1"/>
    <col min="3" max="3" width="18.625" style="104" customWidth="1"/>
    <col min="4" max="4" width="10.5" style="104" customWidth="1"/>
    <col min="5" max="8" width="9" style="104"/>
    <col min="9" max="9" width="9" style="104" customWidth="1"/>
    <col min="10" max="10" width="9" style="104" hidden="1" customWidth="1"/>
    <col min="11" max="15" width="9" style="104" customWidth="1"/>
    <col min="16" max="16384" width="9" style="104"/>
  </cols>
  <sheetData>
    <row r="1" spans="1:6">
      <c r="A1" s="105" t="s">
        <v>65</v>
      </c>
      <c r="B1" s="105"/>
      <c r="C1" s="106"/>
    </row>
    <row r="2" spans="1:6">
      <c r="A2" s="105" t="s">
        <v>66</v>
      </c>
      <c r="B2" s="105" t="s">
        <v>67</v>
      </c>
      <c r="C2" s="105">
        <v>4024</v>
      </c>
    </row>
    <row r="3" spans="1:6">
      <c r="A3" s="105" t="s">
        <v>68</v>
      </c>
      <c r="B3" s="105" t="s">
        <v>69</v>
      </c>
      <c r="C3" s="105">
        <f>C55</f>
        <v>3036</v>
      </c>
    </row>
    <row r="4" spans="1:6">
      <c r="A4" s="105" t="s">
        <v>70</v>
      </c>
      <c r="B4" s="105" t="s">
        <v>71</v>
      </c>
      <c r="C4" s="106">
        <v>4024</v>
      </c>
      <c r="D4" s="107" t="str">
        <f>IF(OR(C4&gt;C2,C4&lt;64),J74,"")</f>
        <v/>
      </c>
    </row>
    <row r="5" spans="1:6">
      <c r="A5" s="105" t="s">
        <v>72</v>
      </c>
      <c r="B5" s="105" t="s">
        <v>73</v>
      </c>
      <c r="C5" s="106">
        <v>3036</v>
      </c>
      <c r="D5" s="107" t="str">
        <f>IF(OR(C5&gt;C3,C5&lt;64),J75,"")</f>
        <v/>
      </c>
    </row>
    <row r="6" spans="1:6" hidden="1">
      <c r="A6" s="105" t="s">
        <v>74</v>
      </c>
      <c r="B6" s="105" t="s">
        <v>75</v>
      </c>
      <c r="C6" s="106">
        <v>1</v>
      </c>
    </row>
    <row r="7" spans="1:6" hidden="1">
      <c r="A7" s="105" t="s">
        <v>76</v>
      </c>
      <c r="B7" s="105" t="s">
        <v>77</v>
      </c>
      <c r="C7" s="106">
        <v>1</v>
      </c>
    </row>
    <row r="8" spans="1:6" hidden="1">
      <c r="A8" s="105" t="s">
        <v>78</v>
      </c>
      <c r="B8" s="105" t="s">
        <v>79</v>
      </c>
      <c r="C8" s="106">
        <v>1</v>
      </c>
    </row>
    <row r="9" spans="1:6" hidden="1">
      <c r="A9" s="105" t="s">
        <v>80</v>
      </c>
      <c r="B9" s="105" t="s">
        <v>81</v>
      </c>
      <c r="C9" s="106">
        <v>1</v>
      </c>
    </row>
    <row r="10" spans="1:6">
      <c r="A10" s="105" t="s">
        <v>82</v>
      </c>
      <c r="B10" s="105" t="s">
        <v>83</v>
      </c>
      <c r="C10" s="106">
        <v>60000</v>
      </c>
    </row>
    <row r="11" spans="1:6" hidden="1">
      <c r="A11" s="105" t="s">
        <v>84</v>
      </c>
      <c r="B11" s="105" t="s">
        <v>85</v>
      </c>
      <c r="C11" s="106">
        <v>0</v>
      </c>
    </row>
    <row r="12" spans="1:6">
      <c r="A12" s="105" t="s">
        <v>86</v>
      </c>
      <c r="B12" s="105" t="s">
        <v>87</v>
      </c>
      <c r="C12" s="106">
        <v>8</v>
      </c>
      <c r="F12" s="104" t="s">
        <v>207</v>
      </c>
    </row>
    <row r="13" spans="1:6">
      <c r="A13" s="105" t="s">
        <v>88</v>
      </c>
      <c r="B13" s="105" t="s">
        <v>89</v>
      </c>
      <c r="C13" s="106">
        <v>8192</v>
      </c>
    </row>
    <row r="14" spans="1:6">
      <c r="A14" s="105" t="s">
        <v>90</v>
      </c>
      <c r="B14" s="105" t="s">
        <v>91</v>
      </c>
      <c r="C14" s="106">
        <v>0</v>
      </c>
    </row>
    <row r="15" spans="1:6">
      <c r="A15" s="105" t="s">
        <v>92</v>
      </c>
      <c r="B15" s="105" t="s">
        <v>93</v>
      </c>
      <c r="C15" s="105">
        <f>C44</f>
        <v>180000</v>
      </c>
    </row>
    <row r="16" spans="1:6">
      <c r="A16" s="105" t="s">
        <v>94</v>
      </c>
      <c r="B16" s="105" t="s">
        <v>95</v>
      </c>
      <c r="C16" s="106">
        <v>9.6</v>
      </c>
    </row>
    <row r="17" spans="1:3">
      <c r="A17" s="105" t="s">
        <v>96</v>
      </c>
      <c r="B17" s="105" t="s">
        <v>97</v>
      </c>
      <c r="C17" s="106">
        <v>0</v>
      </c>
    </row>
    <row r="18" spans="1:3">
      <c r="A18" s="105" t="s">
        <v>98</v>
      </c>
      <c r="B18" s="105" t="s">
        <v>99</v>
      </c>
      <c r="C18" s="106">
        <v>1000</v>
      </c>
    </row>
    <row r="19" spans="1:3">
      <c r="A19" s="105" t="s">
        <v>100</v>
      </c>
      <c r="B19" s="105" t="s">
        <v>101</v>
      </c>
      <c r="C19" s="106">
        <v>5</v>
      </c>
    </row>
    <row r="20" spans="1:3">
      <c r="A20" s="105" t="s">
        <v>102</v>
      </c>
      <c r="B20" s="105" t="s">
        <v>103</v>
      </c>
      <c r="C20" s="105">
        <f>C47</f>
        <v>99</v>
      </c>
    </row>
    <row r="21" spans="1:3">
      <c r="A21" s="105" t="s">
        <v>144</v>
      </c>
      <c r="B21" s="105" t="s">
        <v>145</v>
      </c>
      <c r="C21" s="106">
        <v>0</v>
      </c>
    </row>
    <row r="22" spans="1:3" hidden="1">
      <c r="A22" s="108"/>
      <c r="B22" s="105"/>
      <c r="C22" s="105"/>
    </row>
    <row r="23" spans="1:3" hidden="1">
      <c r="A23" s="108" t="s">
        <v>123</v>
      </c>
      <c r="B23" s="105"/>
      <c r="C23" s="109">
        <v>22917</v>
      </c>
    </row>
    <row r="24" spans="1:3" hidden="1">
      <c r="A24" s="108" t="s">
        <v>105</v>
      </c>
      <c r="B24" s="105"/>
      <c r="C24" s="110">
        <f>C16*10</f>
        <v>96</v>
      </c>
    </row>
    <row r="25" spans="1:3" hidden="1">
      <c r="A25" s="108" t="s">
        <v>106</v>
      </c>
      <c r="B25" s="110"/>
      <c r="C25" s="110">
        <f>33+MAX(MAX(C5,3046)+79-33,2+17+ROUNDUP(1000*50/C23,0))</f>
        <v>3125</v>
      </c>
    </row>
    <row r="26" spans="1:3" hidden="1">
      <c r="A26" s="108" t="s">
        <v>107</v>
      </c>
      <c r="B26" s="110"/>
      <c r="C26" s="110">
        <f>MAX(ROUNDUP(((1000*C10)/C23),0),1)</f>
        <v>2619</v>
      </c>
    </row>
    <row r="27" spans="1:3" hidden="1">
      <c r="A27" s="108" t="s">
        <v>108</v>
      </c>
      <c r="B27" s="110"/>
      <c r="C27" s="110">
        <f>ROUNDDOWN(C11*1000/C23,0)</f>
        <v>0</v>
      </c>
    </row>
    <row r="28" spans="1:3" hidden="1">
      <c r="A28" s="108" t="s">
        <v>109</v>
      </c>
      <c r="B28" s="110"/>
      <c r="C28" s="110">
        <f>C26+C27+8</f>
        <v>2627</v>
      </c>
    </row>
    <row r="29" spans="1:3" ht="12.75" hidden="1" customHeight="1">
      <c r="A29" s="108" t="s">
        <v>159</v>
      </c>
      <c r="B29" s="110"/>
      <c r="C29" s="110">
        <v>1250</v>
      </c>
    </row>
    <row r="30" spans="1:3" hidden="1">
      <c r="A30" s="108" t="s">
        <v>110</v>
      </c>
      <c r="B30" s="110"/>
      <c r="C30" s="110">
        <v>0</v>
      </c>
    </row>
    <row r="31" spans="1:3" hidden="1">
      <c r="A31" s="108" t="s">
        <v>160</v>
      </c>
      <c r="B31" s="110"/>
      <c r="C31" s="111">
        <f>C4*C5*IF(C12=8,1,2)+C30*32</f>
        <v>12216864</v>
      </c>
    </row>
    <row r="32" spans="1:3" hidden="1">
      <c r="A32" s="108" t="s">
        <v>111</v>
      </c>
      <c r="B32" s="110"/>
      <c r="C32" s="110">
        <f>ROUNDDOWN((C4*C5*ROUNDUP(C12/8,0)+C30*36)/(C13-36),0)</f>
        <v>1497</v>
      </c>
    </row>
    <row r="33" spans="1:4" hidden="1">
      <c r="A33" s="108" t="s">
        <v>161</v>
      </c>
      <c r="B33" s="110"/>
      <c r="C33" s="110">
        <f>IF(C30=0,36,12)</f>
        <v>36</v>
      </c>
    </row>
    <row r="34" spans="1:4" hidden="1">
      <c r="A34" s="108" t="s">
        <v>112</v>
      </c>
      <c r="B34" s="110"/>
      <c r="C34" s="110">
        <f>C4*C5*ROUNDUP(C12/8,0)+C30*32-(C13-36)*C32</f>
        <v>7332</v>
      </c>
    </row>
    <row r="35" spans="1:4" hidden="1">
      <c r="A35" s="110" t="s">
        <v>113</v>
      </c>
      <c r="B35" s="110"/>
      <c r="C35" s="110">
        <f>ROUNDUP((ROUNDDOWN((((62+(C13-36))*C32+62+C34+(168-C30*24))+(C14+12)*(C32+3)),0)*1000/C38)*10/C23,0)</f>
        <v>4532</v>
      </c>
    </row>
    <row r="36" spans="1:4" hidden="1">
      <c r="A36" s="112" t="s">
        <v>162</v>
      </c>
      <c r="B36" s="112"/>
      <c r="C36" s="112">
        <f>ROUNDUP((C31+C33+10)*10*1000/C29/C23,0)</f>
        <v>4265</v>
      </c>
    </row>
    <row r="37" spans="1:4" hidden="1">
      <c r="A37" s="112" t="s">
        <v>163</v>
      </c>
      <c r="B37" s="112"/>
      <c r="C37" s="112">
        <f>MAX(C35,C36)</f>
        <v>4532</v>
      </c>
    </row>
    <row r="38" spans="1:4" hidden="1">
      <c r="A38" s="110" t="s">
        <v>164</v>
      </c>
      <c r="B38" s="110"/>
      <c r="C38" s="110">
        <f>INT(C18*(100-C19)/80)</f>
        <v>1187</v>
      </c>
    </row>
    <row r="39" spans="1:4" hidden="1">
      <c r="A39" s="110" t="s">
        <v>114</v>
      </c>
      <c r="B39" s="110"/>
      <c r="C39" s="110">
        <f>ROUNDUP((1000000000/C16)/C23,0)</f>
        <v>4546</v>
      </c>
    </row>
    <row r="40" spans="1:4" hidden="1">
      <c r="A40" s="110" t="s">
        <v>146</v>
      </c>
      <c r="B40" s="110"/>
      <c r="C40" s="110">
        <f>C25+C28+16</f>
        <v>5768</v>
      </c>
    </row>
    <row r="41" spans="1:4" hidden="1">
      <c r="A41" s="110" t="s">
        <v>115</v>
      </c>
      <c r="B41" s="110"/>
      <c r="C41" s="113">
        <f>IF(C17=1,(IF(C21=1,MAX(C40,C25,C28,C39),MAX(C25,C28,C37,C39))),(IF(C21=1,MAX(C40,C25,C28,C37),MAX(C25,C28,C37))))</f>
        <v>4532</v>
      </c>
      <c r="D41" s="104" t="str">
        <f>DEC2HEX(C41)</f>
        <v>11B4</v>
      </c>
    </row>
    <row r="42" spans="1:4" hidden="1">
      <c r="A42" s="110" t="s">
        <v>116</v>
      </c>
      <c r="B42" s="110"/>
      <c r="C42" s="110">
        <f>1000000/C49</f>
        <v>9.6283458501829386</v>
      </c>
    </row>
    <row r="43" spans="1:4" hidden="1">
      <c r="A43" s="110" t="s">
        <v>117</v>
      </c>
      <c r="B43" s="110"/>
      <c r="C43" s="110">
        <f>12500*C18*(100-C19)</f>
        <v>1187500000</v>
      </c>
    </row>
    <row r="44" spans="1:4" hidden="1">
      <c r="A44" s="110" t="s">
        <v>118</v>
      </c>
      <c r="B44" s="110"/>
      <c r="C44" s="110">
        <f>IF((ROUNDDOWN((C43-(62+C13-36)*C32-62-C34-168+C30*24)/(C32+3),0)-12)&gt;180000,180000,ROUNDDOWN((C43-(62+C13-36)*C32-62-C34-168+C30*24)/(C32+3),0)-12)</f>
        <v>180000</v>
      </c>
    </row>
    <row r="45" spans="1:4" hidden="1">
      <c r="A45" s="110" t="s">
        <v>120</v>
      </c>
      <c r="B45" s="110"/>
      <c r="C45" s="110">
        <f>((62+(C13-36))*C32+62+C34+168)+(C14+12)*(C32+3)</f>
        <v>12327908</v>
      </c>
    </row>
    <row r="46" spans="1:4" hidden="1">
      <c r="A46" s="110" t="s">
        <v>117</v>
      </c>
      <c r="B46" s="110"/>
      <c r="C46" s="110">
        <f>125000*C18</f>
        <v>125000000</v>
      </c>
    </row>
    <row r="47" spans="1:4" hidden="1">
      <c r="A47" s="110" t="s">
        <v>121</v>
      </c>
      <c r="B47" s="110"/>
      <c r="C47" s="110">
        <f>IF((100-ROUNDDOWN(C45*10/(1250000*C18/10),0)-1)&lt;0,0,(100-ROUNDDOWN(C45*10/(1250000*C18/10),0)-1))</f>
        <v>99</v>
      </c>
    </row>
    <row r="48" spans="1:4" hidden="1">
      <c r="A48" s="110" t="s">
        <v>122</v>
      </c>
      <c r="B48" s="110"/>
      <c r="C48" s="110">
        <f>ROUNDDOWN((C43-(62+C13-36)*C32-62-C34-168+C30*24)/(C32+3),0)-12</f>
        <v>783448</v>
      </c>
    </row>
    <row r="49" spans="1:3" hidden="1">
      <c r="A49" s="110" t="s">
        <v>165</v>
      </c>
      <c r="B49" s="110"/>
      <c r="C49" s="109">
        <f>ROUNDUP(C41*C23/1000,0)</f>
        <v>103860</v>
      </c>
    </row>
    <row r="50" spans="1:3" hidden="1">
      <c r="A50" s="110" t="s">
        <v>166</v>
      </c>
      <c r="B50" s="110"/>
      <c r="C50" s="110">
        <f>ROUNDDOWN(1000000000/C49,0)</f>
        <v>9628</v>
      </c>
    </row>
    <row r="51" spans="1:3" hidden="1">
      <c r="A51" s="110" t="s">
        <v>148</v>
      </c>
      <c r="B51" s="110"/>
      <c r="C51" s="110">
        <f>ROUNDDOWN(C4*C50/10*IF(C12=8,1,2)/10*C5/10,0)</f>
        <v>117623966</v>
      </c>
    </row>
    <row r="52" spans="1:3" hidden="1">
      <c r="A52" s="110" t="s">
        <v>149</v>
      </c>
      <c r="B52" s="110"/>
      <c r="C52" s="110">
        <f>ROUNDDOWN((C51*10/(100-C19)*10),)</f>
        <v>123814701</v>
      </c>
    </row>
    <row r="53" spans="1:3" hidden="1">
      <c r="A53" s="110"/>
      <c r="B53" s="110"/>
      <c r="C53" s="110"/>
    </row>
    <row r="54" spans="1:3" hidden="1">
      <c r="A54" s="110" t="s">
        <v>125</v>
      </c>
      <c r="B54" s="110"/>
      <c r="C54" s="110">
        <f>ROUNDDOWN(4024/(4*C56),0)*4</f>
        <v>4024</v>
      </c>
    </row>
    <row r="55" spans="1:3" hidden="1">
      <c r="A55" s="110" t="s">
        <v>126</v>
      </c>
      <c r="B55" s="110"/>
      <c r="C55" s="110">
        <f>ROUNDDOWN(3036/(2*C57),0)*2</f>
        <v>3036</v>
      </c>
    </row>
    <row r="56" spans="1:3" hidden="1">
      <c r="A56" s="110" t="s">
        <v>127</v>
      </c>
      <c r="B56" s="110"/>
      <c r="C56" s="110">
        <f>IF(C6=1,C8,C6)</f>
        <v>1</v>
      </c>
    </row>
    <row r="57" spans="1:3" hidden="1">
      <c r="A57" s="110" t="s">
        <v>128</v>
      </c>
      <c r="B57" s="110"/>
      <c r="C57" s="110">
        <f>IF(C7=1,C9,C7)</f>
        <v>1</v>
      </c>
    </row>
    <row r="58" spans="1:3" hidden="1">
      <c r="A58" s="110" t="s">
        <v>129</v>
      </c>
      <c r="B58" s="110"/>
      <c r="C58" s="110">
        <f>ROUNDDOWN(C62/4,0)*4*C56</f>
        <v>4024</v>
      </c>
    </row>
    <row r="59" spans="1:3" hidden="1">
      <c r="A59" s="110" t="s">
        <v>130</v>
      </c>
      <c r="B59" s="110"/>
      <c r="C59" s="110">
        <f>ROUNDDOWN(C63/2,0)*2*C57</f>
        <v>3036</v>
      </c>
    </row>
    <row r="60" spans="1:3" hidden="1">
      <c r="A60" s="110" t="s">
        <v>131</v>
      </c>
      <c r="B60" s="110"/>
      <c r="C60" s="110">
        <f>ROUNDDOWN(C4/4,0)*4*C56</f>
        <v>4024</v>
      </c>
    </row>
    <row r="61" spans="1:3" hidden="1">
      <c r="A61" s="110" t="s">
        <v>132</v>
      </c>
      <c r="B61" s="110"/>
      <c r="C61" s="110">
        <f>ROUNDDOWN(C5/2,0)*2*C57</f>
        <v>3036</v>
      </c>
    </row>
    <row r="62" spans="1:3" hidden="1">
      <c r="A62" s="110" t="s">
        <v>133</v>
      </c>
      <c r="B62" s="110"/>
      <c r="C62" s="110">
        <f>ROUNDDOWN(C60/(4*C56),0)*4</f>
        <v>4024</v>
      </c>
    </row>
    <row r="63" spans="1:3" hidden="1">
      <c r="A63" s="110" t="s">
        <v>134</v>
      </c>
      <c r="B63" s="110"/>
      <c r="C63" s="110">
        <f>ROUNDDOWN(C61/(2*C57),0)*2</f>
        <v>3036</v>
      </c>
    </row>
    <row r="64" spans="1:3" hidden="1">
      <c r="A64" s="110"/>
      <c r="B64" s="110"/>
      <c r="C64" s="110"/>
    </row>
    <row r="65" spans="1:10" hidden="1">
      <c r="A65" s="110"/>
      <c r="B65" s="110"/>
      <c r="C65" s="110"/>
    </row>
    <row r="66" spans="1:10" ht="14.25" hidden="1">
      <c r="A66" s="114" t="s">
        <v>135</v>
      </c>
      <c r="B66" s="114"/>
      <c r="C66" s="114"/>
    </row>
    <row r="67" spans="1:10" ht="14.25">
      <c r="A67" s="114" t="s">
        <v>116</v>
      </c>
      <c r="B67" s="114" t="s">
        <v>167</v>
      </c>
      <c r="C67" s="114">
        <f>ROUND(C42,2)</f>
        <v>9.6300000000000008</v>
      </c>
      <c r="D67" s="115" t="str">
        <f>IF(J80=1,J76,"")</f>
        <v/>
      </c>
    </row>
    <row r="73" spans="1:10">
      <c r="J73" s="104" t="s">
        <v>202</v>
      </c>
    </row>
    <row r="74" spans="1:10">
      <c r="J74" s="104" t="s">
        <v>203</v>
      </c>
    </row>
    <row r="75" spans="1:10">
      <c r="J75" s="104" t="s">
        <v>204</v>
      </c>
    </row>
    <row r="76" spans="1:10">
      <c r="J76" s="104" t="s">
        <v>205</v>
      </c>
    </row>
    <row r="79" spans="1:10">
      <c r="J79" s="104" t="s">
        <v>206</v>
      </c>
    </row>
    <row r="80" spans="1:10">
      <c r="J80" s="104">
        <f>IF(OR(OR(C4&gt;C2,C4&lt;64),OR(C5&gt;C3,C5&lt;64)),1,0)</f>
        <v>0</v>
      </c>
    </row>
  </sheetData>
  <sheetProtection algorithmName="SHA-512" hashValue="iK0vy58FWuFKKBPvup36MWuTklKzt2Hl0Iba6jR74ynblRkSD8nmtySb/6EkHnA/s+vxRJEwUzPz8s6fySYOHA==" saltValue="+OqJMWMlRAlSS5qs3wabog==" spinCount="100000" sheet="1" objects="1" scenarios="1"/>
  <phoneticPr fontId="10" type="noConversion"/>
  <conditionalFormatting sqref="C4">
    <cfRule type="cellIs" dxfId="9" priority="2" operator="lessThan">
      <formula>64</formula>
    </cfRule>
    <cfRule type="cellIs" dxfId="8" priority="3" operator="greaterThan">
      <formula>$C$2</formula>
    </cfRule>
  </conditionalFormatting>
  <conditionalFormatting sqref="C5">
    <cfRule type="cellIs" dxfId="7" priority="4" stopIfTrue="1" operator="lessThan">
      <formula>64</formula>
    </cfRule>
    <cfRule type="cellIs" dxfId="6" priority="5" stopIfTrue="1" operator="greaterThan">
      <formula>$C$3</formula>
    </cfRule>
  </conditionalFormatting>
  <conditionalFormatting sqref="C67">
    <cfRule type="expression" dxfId="5" priority="1" stopIfTrue="1">
      <formula>$J$8=1</formula>
    </cfRule>
  </conditionalFormatting>
  <dataValidations count="20">
    <dataValidation type="custom" allowBlank="1" showInputMessage="1" showErrorMessage="1" error="输入范围是64~图像高度最大值，步长为2" sqref="C5">
      <formula1>AND((C5&lt;=C3),(C5&gt;=64),(MOD(C5,2)=0))</formula1>
    </dataValidation>
    <dataValidation type="custom" allowBlank="1" showInputMessage="1" showErrorMessage="1" error="输入范围是64~图像宽度最大值，步长为4" sqref="C4">
      <formula1>AND((C4&lt;=C2),(C4&gt;=64),(MOD(C4,4)=0))</formula1>
    </dataValidation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="输入参数值为1、2或者4，并且当垂直像素Binning不为1时不能输入" sqref="C9">
      <formula1>AND(OR((C9=1),(C9=2),(C9=4)),C7=1)</formula1>
    </dataValidation>
    <dataValidation type="custom" allowBlank="1" showInputMessage="1" showErrorMessage="1" error="输入范围是512~8192，步长为4" sqref="C13">
      <formula1>AND((C13&lt;=8192),(C13&gt;=512),(MOD(C13,4)=0))</formula1>
    </dataValidation>
    <dataValidation allowBlank="1" showErrorMessage="1" promptTitle="参数变化" prompt="该参数会根据当前生效的垂直像素Binning、垂直像素抽样变化" sqref="C3"/>
    <dataValidation type="whole" allowBlank="1" showInputMessage="1" showErrorMessage="1" error="输入范围是31~1000000" sqref="C10">
      <formula1>31</formula1>
      <formula2>1000000</formula2>
    </dataValidation>
    <dataValidation type="custom" allowBlank="1" showInputMessage="1" showErrorMessage="1" error="输入参数值为1、2或者4，并且当水平像素Binning不为1时不能输入" sqref="C8">
      <formula1>AND(OR((C8=1),(C8=2),(C8=4)),C6=1)</formula1>
    </dataValidation>
    <dataValidation type="whole" allowBlank="1" showInputMessage="1" showErrorMessage="1" error="输入范围是[0,5000]，单位为us" sqref="C11">
      <formula1>0</formula1>
      <formula2>5000</formula2>
    </dataValidation>
    <dataValidation type="custom" allowBlank="1" showInputMessage="1" showErrorMessage="1" error="输入参数值为1、2或者4，并且当水平像素抽样不为1时不能输入" sqref="C6">
      <formula1>AND(OR((C6=1),(C6=2),(C6=4)),C8=1)</formula1>
    </dataValidation>
    <dataValidation type="custom" allowBlank="1" showInputMessage="1" showErrorMessage="1" error="输入参数值为1、2或者4，并且当垂直像素抽样不为1时不能输入" sqref="C7">
      <formula1>AND(OR((C7=1),(C7=2),(C7=4)),C9=1)</formula1>
    </dataValidation>
    <dataValidation type="custom" allowBlank="1" showInputMessage="1" showErrorMessage="1" error="请输入8或者12" sqref="C12">
      <formula1>OR((C12=8),(C12=12))</formula1>
    </dataValidation>
    <dataValidation type="whole" allowBlank="1" showInputMessage="1" showErrorMessage="1" error="设置值范围为0~包间隔最大值" sqref="C14">
      <formula1>0</formula1>
      <formula2>C15</formula2>
    </dataValidation>
    <dataValidation type="whole" allowBlank="1" showInputMessage="1" showErrorMessage="1" error="设置值范围为0~预留带宽最大值" sqref="C19">
      <formula1>0</formula1>
      <formula2>C20</formula2>
    </dataValidation>
    <dataValidation type="whole" allowBlank="1" showErrorMessage="1" error="设置值超过最大值" prompt="应在包间隔范围内" sqref="C15">
      <formula1>0</formula1>
      <formula2>C44</formula2>
    </dataValidation>
    <dataValidation type="custom" allowBlank="1" showErrorMessage="1" error="设置值范围0.1~10000.0，精确到一位小数" prompt="应在包间隔范围内" sqref="C16">
      <formula1>AND(TRUNC(C16,1)=C16,(C16&gt;=0.1),(C16&lt;=10000))</formula1>
    </dataValidation>
    <dataValidation type="custom" allowBlank="1" showErrorMessage="1" error="请输入0或者1" prompt="应在包间隔范围内" sqref="C17">
      <formula1>OR((C17=0),(C17=1))</formula1>
    </dataValidation>
    <dataValidation type="custom" allowBlank="1" showInputMessage="1" showErrorMessage="1" error="请输入1000或者100" sqref="C18">
      <formula1>OR((C18=1000),(C18=100))</formula1>
    </dataValidation>
    <dataValidation type="whole" allowBlank="1" error="设置值超过包间隔范围" prompt="设置值应在预留带宽范围内" sqref="C20">
      <formula1>0</formula1>
      <formula2>C47</formula2>
    </dataValidation>
    <dataValidation type="custom" allowBlank="1" showInputMessage="1" showErrorMessage="1" error="请输入0或者1" sqref="C21">
      <formula1>OR((C21=0),(C21=1))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Revision History</vt:lpstr>
      <vt:lpstr>MER2-041-302GX</vt:lpstr>
      <vt:lpstr>MER2-160-75GX</vt:lpstr>
      <vt:lpstr>MER2-202-60GX</vt:lpstr>
      <vt:lpstr>MER2-231-41GX</vt:lpstr>
      <vt:lpstr>MER2-302-37GX</vt:lpstr>
      <vt:lpstr>MER2-503-23GX</vt:lpstr>
      <vt:lpstr>MER2-630-18GX</vt:lpstr>
      <vt:lpstr>MER2-1220-9GX</vt:lpstr>
      <vt:lpstr>ME2P-1230-9GX-P</vt:lpstr>
      <vt:lpstr>MER2-2000-6GX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hanxue</dc:creator>
  <cp:lastModifiedBy>Administrator</cp:lastModifiedBy>
  <dcterms:created xsi:type="dcterms:W3CDTF">2016-03-14T05:10:00Z</dcterms:created>
  <dcterms:modified xsi:type="dcterms:W3CDTF">2020-09-17T09:03:42Z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