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版本历史" sheetId="3" r:id="rId1"/>
    <sheet name="VEN-134-90U3M-D" sheetId="5" r:id="rId2"/>
    <sheet name="VEN-161-61U3X" sheetId="4" r:id="rId3"/>
  </sheets>
  <calcPr calcId="152511"/>
</workbook>
</file>

<file path=xl/calcChain.xml><?xml version="1.0" encoding="utf-8"?>
<calcChain xmlns="http://schemas.openxmlformats.org/spreadsheetml/2006/main">
  <c r="H12" i="5" l="1"/>
  <c r="C10" i="5"/>
  <c r="H9" i="5" s="1"/>
  <c r="H5" i="5"/>
  <c r="H7" i="5" s="1"/>
  <c r="H4" i="5"/>
  <c r="C12" i="5" s="1"/>
  <c r="H10" i="5" l="1"/>
  <c r="H11" i="5"/>
  <c r="C11" i="5"/>
  <c r="H6" i="5"/>
  <c r="H8" i="5" s="1"/>
  <c r="H13" i="5" l="1"/>
  <c r="C14" i="5" s="1"/>
  <c r="C16" i="5" s="1"/>
  <c r="C13" i="5" l="1"/>
  <c r="B32" i="4" l="1"/>
  <c r="B31" i="4"/>
  <c r="C9" i="4"/>
  <c r="C10" i="4" s="1"/>
  <c r="B30" i="4" l="1"/>
  <c r="B33" i="4" s="1"/>
  <c r="C11" i="4" s="1"/>
  <c r="C12" i="4" l="1"/>
  <c r="C8" i="4"/>
  <c r="C15" i="4" s="1"/>
  <c r="C17" i="4" s="1"/>
</calcChain>
</file>

<file path=xl/sharedStrings.xml><?xml version="1.0" encoding="utf-8"?>
<sst xmlns="http://schemas.openxmlformats.org/spreadsheetml/2006/main" count="106" uniqueCount="78">
  <si>
    <t>FPS</t>
    <phoneticPr fontId="5" type="noConversion"/>
  </si>
  <si>
    <t>帧率</t>
    <phoneticPr fontId="5" type="noConversion"/>
  </si>
  <si>
    <t>计算结果：</t>
    <phoneticPr fontId="5" type="noConversion"/>
  </si>
  <si>
    <t>Tf</t>
    <phoneticPr fontId="5" type="noConversion"/>
  </si>
  <si>
    <t>帧周期</t>
    <phoneticPr fontId="5" type="noConversion"/>
  </si>
  <si>
    <t>T_acq</t>
    <phoneticPr fontId="5" type="noConversion"/>
  </si>
  <si>
    <t>采集时间</t>
    <phoneticPr fontId="5" type="noConversion"/>
  </si>
  <si>
    <t>Trow</t>
    <phoneticPr fontId="5" type="noConversion"/>
  </si>
  <si>
    <t>行周期</t>
    <phoneticPr fontId="5" type="noConversion"/>
  </si>
  <si>
    <t>ImageSize</t>
    <phoneticPr fontId="5" type="noConversion"/>
  </si>
  <si>
    <t>图像尺寸</t>
    <phoneticPr fontId="5" type="noConversion"/>
  </si>
  <si>
    <t>N</t>
    <phoneticPr fontId="5" type="noConversion"/>
  </si>
  <si>
    <t>像素格式系数</t>
    <phoneticPr fontId="5" type="noConversion"/>
  </si>
  <si>
    <t>AcquisitionFrameRate</t>
  </si>
  <si>
    <t>帧率控制值</t>
    <phoneticPr fontId="5" type="noConversion"/>
  </si>
  <si>
    <t>off</t>
  </si>
  <si>
    <t>AcquisitionFrameRateMode</t>
  </si>
  <si>
    <t>帧率控制</t>
    <phoneticPr fontId="5" type="noConversion"/>
  </si>
  <si>
    <t>MaxUSBControllerThroughput(Bps)</t>
  </si>
  <si>
    <t>控制器理论带宽</t>
    <phoneticPr fontId="5" type="noConversion"/>
  </si>
  <si>
    <t>DeviceLinkThroughputLimit(Bps)</t>
  </si>
  <si>
    <t>带宽限制值</t>
    <phoneticPr fontId="5" type="noConversion"/>
  </si>
  <si>
    <t>PixelFormat(8/10)</t>
  </si>
  <si>
    <t>像素格式</t>
    <phoneticPr fontId="5" type="noConversion"/>
  </si>
  <si>
    <t>帧率控制帧周期</t>
    <phoneticPr fontId="5" type="noConversion"/>
  </si>
  <si>
    <t>ExposureTime(us)</t>
  </si>
  <si>
    <t>曝光时间</t>
    <phoneticPr fontId="5" type="noConversion"/>
  </si>
  <si>
    <t>带宽限制帧周期</t>
    <phoneticPr fontId="5" type="noConversion"/>
  </si>
  <si>
    <t>最大带宽限制帧周期</t>
    <phoneticPr fontId="5" type="noConversion"/>
  </si>
  <si>
    <t>byte</t>
    <phoneticPr fontId="5" type="noConversion"/>
  </si>
  <si>
    <t>传输图像大小</t>
    <phoneticPr fontId="5" type="noConversion"/>
  </si>
  <si>
    <t>us</t>
    <phoneticPr fontId="5" type="noConversion"/>
  </si>
  <si>
    <t>等效帧周期</t>
    <phoneticPr fontId="5" type="noConversion"/>
  </si>
  <si>
    <t>曝光帧周期</t>
    <phoneticPr fontId="5" type="noConversion"/>
  </si>
  <si>
    <t>ROI帧周期</t>
    <phoneticPr fontId="5" type="noConversion"/>
  </si>
  <si>
    <t>ns</t>
    <phoneticPr fontId="5" type="noConversion"/>
  </si>
  <si>
    <t>黑行周期</t>
    <phoneticPr fontId="5" type="noConversion"/>
  </si>
  <si>
    <t>fot_ss_int</t>
    <phoneticPr fontId="5" type="noConversion"/>
  </si>
  <si>
    <t>fot_ss</t>
    <phoneticPr fontId="5" type="noConversion"/>
  </si>
  <si>
    <t>参数输入:</t>
    <phoneticPr fontId="5" type="noConversion"/>
  </si>
  <si>
    <t>xsm_delay_time</t>
    <phoneticPr fontId="3" type="noConversion"/>
  </si>
  <si>
    <t>clk</t>
    <phoneticPr fontId="3" type="noConversion"/>
  </si>
  <si>
    <t>us</t>
    <phoneticPr fontId="3" type="noConversion"/>
  </si>
  <si>
    <t>图像高度</t>
    <phoneticPr fontId="5" type="noConversion"/>
  </si>
  <si>
    <t>版本历史</t>
    <phoneticPr fontId="3" type="noConversion"/>
  </si>
  <si>
    <t>版本号</t>
    <phoneticPr fontId="3" type="noConversion"/>
  </si>
  <si>
    <t>时间</t>
    <phoneticPr fontId="3" type="noConversion"/>
  </si>
  <si>
    <t>内容</t>
    <phoneticPr fontId="3" type="noConversion"/>
  </si>
  <si>
    <t>v1.00</t>
    <phoneticPr fontId="3" type="noConversion"/>
  </si>
  <si>
    <t>图像宽度</t>
    <phoneticPr fontId="5" type="noConversion"/>
  </si>
  <si>
    <t>v1.01</t>
  </si>
  <si>
    <t>CenterWidth</t>
    <phoneticPr fontId="5" type="noConversion"/>
  </si>
  <si>
    <t>CenterHeight</t>
    <phoneticPr fontId="5" type="noConversion"/>
  </si>
  <si>
    <t>v1.02</t>
  </si>
  <si>
    <t>参数输入：</t>
    <phoneticPr fontId="5" type="noConversion"/>
  </si>
  <si>
    <t>Width</t>
  </si>
  <si>
    <t>MaxUSBControllerThroughput(Bps)</t>
    <phoneticPr fontId="3" type="noConversion"/>
  </si>
  <si>
    <t>xtrig_low</t>
  </si>
  <si>
    <t>N</t>
  </si>
  <si>
    <t>T_acq</t>
  </si>
  <si>
    <t>帧率控制开关</t>
    <phoneticPr fontId="5" type="noConversion"/>
  </si>
  <si>
    <t>v1.03</t>
    <phoneticPr fontId="3" type="noConversion"/>
  </si>
  <si>
    <t>图像宽度</t>
    <phoneticPr fontId="5" type="noConversion"/>
  </si>
  <si>
    <t>Height</t>
    <phoneticPr fontId="3" type="noConversion"/>
  </si>
  <si>
    <t>ExposureTime(us)</t>
    <phoneticPr fontId="3" type="noConversion"/>
  </si>
  <si>
    <t>PixelFormat(8/10)</t>
    <phoneticPr fontId="3" type="noConversion"/>
  </si>
  <si>
    <t>控制器理论带宽</t>
    <phoneticPr fontId="5" type="noConversion"/>
  </si>
  <si>
    <t>xtrig低电平行数</t>
    <phoneticPr fontId="5" type="noConversion"/>
  </si>
  <si>
    <t>ImageSize</t>
    <phoneticPr fontId="3" type="noConversion"/>
  </si>
  <si>
    <t>Trow</t>
    <phoneticPr fontId="3" type="noConversion"/>
  </si>
  <si>
    <t>带宽限制帧周期（ns）</t>
    <phoneticPr fontId="3" type="noConversion"/>
  </si>
  <si>
    <t>帧率控制帧周期（ns）</t>
    <phoneticPr fontId="3" type="noConversion"/>
  </si>
  <si>
    <t>曝光决定的行周期(inck)</t>
    <phoneticPr fontId="3" type="noConversion"/>
  </si>
  <si>
    <t>带宽限制帧率控制最大行周期(inck)</t>
    <phoneticPr fontId="3" type="noConversion"/>
  </si>
  <si>
    <t>add VEN-134-90U3M-D</t>
    <phoneticPr fontId="3" type="noConversion"/>
  </si>
  <si>
    <t>modify CenterWidth step value to 32</t>
    <phoneticPr fontId="3" type="noConversion"/>
  </si>
  <si>
    <t>Unlocking the width and height of VEN-134-90U4M-D</t>
    <phoneticPr fontId="3" type="noConversion"/>
  </si>
  <si>
    <t>add VEN-161-61U3X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</si>
</sst>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0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1"/>
      <color theme="0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33">
    <xf numFmtId="0" fontId="0" fillId="0" borderId="0" xfId="0"/>
    <xf numFmtId="0" fontId="1" fillId="0" borderId="0" xfId="1">
      <alignment vertical="center"/>
    </xf>
    <xf numFmtId="2" fontId="4" fillId="2" borderId="1" xfId="1" applyNumberFormat="1" applyFont="1" applyFill="1" applyBorder="1" applyAlignment="1" applyProtection="1">
      <alignment horizontal="left" vertical="center"/>
    </xf>
    <xf numFmtId="0" fontId="4" fillId="2" borderId="1" xfId="1" applyFont="1" applyFill="1" applyBorder="1" applyProtection="1">
      <alignment vertical="center"/>
    </xf>
    <xf numFmtId="0" fontId="6" fillId="3" borderId="1" xfId="1" applyFont="1" applyFill="1" applyBorder="1" applyAlignment="1" applyProtection="1">
      <alignment horizontal="left" vertical="center"/>
    </xf>
    <xf numFmtId="0" fontId="6" fillId="3" borderId="1" xfId="1" applyFont="1" applyFill="1" applyBorder="1" applyProtection="1">
      <alignment vertical="center"/>
    </xf>
    <xf numFmtId="0" fontId="6" fillId="3" borderId="1" xfId="1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vertical="center"/>
    </xf>
    <xf numFmtId="0" fontId="1" fillId="0" borderId="1" xfId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6" fillId="3" borderId="1" xfId="0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2" fontId="4" fillId="2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6" fillId="3" borderId="4" xfId="1" applyFont="1" applyFill="1" applyBorder="1" applyAlignment="1" applyProtection="1">
      <alignment vertical="center"/>
    </xf>
    <xf numFmtId="0" fontId="1" fillId="0" borderId="3" xfId="1" applyBorder="1" applyAlignment="1" applyProtection="1">
      <alignment vertical="center"/>
    </xf>
    <xf numFmtId="0" fontId="1" fillId="0" borderId="2" xfId="1" applyBorder="1" applyAlignment="1" applyProtection="1">
      <alignment vertical="center"/>
    </xf>
    <xf numFmtId="0" fontId="6" fillId="2" borderId="4" xfId="1" applyFont="1" applyFill="1" applyBorder="1" applyAlignment="1" applyProtection="1">
      <alignment vertical="center"/>
    </xf>
    <xf numFmtId="0" fontId="6" fillId="3" borderId="4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vertical="center"/>
    </xf>
    <xf numFmtId="0" fontId="6" fillId="3" borderId="2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vertical="center"/>
    </xf>
    <xf numFmtId="0" fontId="6" fillId="2" borderId="3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2" max="2" width="9.5" bestFit="1" customWidth="1"/>
    <col min="3" max="3" width="47.875" bestFit="1" customWidth="1"/>
  </cols>
  <sheetData>
    <row r="1" spans="1:3" x14ac:dyDescent="0.15">
      <c r="A1" s="20" t="s">
        <v>44</v>
      </c>
      <c r="B1" s="21"/>
      <c r="C1" s="22"/>
    </row>
    <row r="2" spans="1:3" x14ac:dyDescent="0.15">
      <c r="A2" s="9" t="s">
        <v>45</v>
      </c>
      <c r="B2" s="9" t="s">
        <v>46</v>
      </c>
      <c r="C2" s="9" t="s">
        <v>47</v>
      </c>
    </row>
    <row r="3" spans="1:3" x14ac:dyDescent="0.15">
      <c r="A3" s="10" t="s">
        <v>48</v>
      </c>
      <c r="B3" s="10">
        <v>20171116</v>
      </c>
      <c r="C3" s="10" t="s">
        <v>74</v>
      </c>
    </row>
    <row r="4" spans="1:3" ht="27" x14ac:dyDescent="0.15">
      <c r="A4" s="10" t="s">
        <v>50</v>
      </c>
      <c r="B4" s="10">
        <v>20171120</v>
      </c>
      <c r="C4" s="10" t="s">
        <v>76</v>
      </c>
    </row>
    <row r="5" spans="1:3" x14ac:dyDescent="0.15">
      <c r="A5" s="10" t="s">
        <v>53</v>
      </c>
      <c r="B5" s="10">
        <v>20171212</v>
      </c>
      <c r="C5" s="10" t="s">
        <v>75</v>
      </c>
    </row>
    <row r="6" spans="1:3" x14ac:dyDescent="0.15">
      <c r="A6" s="10" t="s">
        <v>61</v>
      </c>
      <c r="B6" s="10">
        <v>20200727</v>
      </c>
      <c r="C6" s="10" t="s">
        <v>77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16" sqref="F16"/>
    </sheetView>
  </sheetViews>
  <sheetFormatPr defaultColWidth="8.875" defaultRowHeight="13.5" x14ac:dyDescent="0.15"/>
  <cols>
    <col min="1" max="1" width="0.375" style="1" customWidth="1"/>
    <col min="2" max="2" width="40.625" style="1" bestFit="1" customWidth="1"/>
    <col min="3" max="3" width="17.125" style="1" customWidth="1"/>
    <col min="4" max="5" width="8.875" style="1"/>
    <col min="6" max="6" width="25.625" style="1" customWidth="1"/>
    <col min="7" max="7" width="20.5" style="1" hidden="1" customWidth="1"/>
    <col min="8" max="8" width="8.5" style="1" hidden="1" customWidth="1"/>
    <col min="9" max="9" width="5.5" style="1" hidden="1" customWidth="1"/>
    <col min="10" max="11" width="14.25" style="1" customWidth="1"/>
    <col min="12" max="16384" width="8.875" style="1"/>
  </cols>
  <sheetData>
    <row r="1" spans="1:9" ht="15.75" x14ac:dyDescent="0.15">
      <c r="A1" s="23" t="s">
        <v>39</v>
      </c>
      <c r="B1" s="24"/>
      <c r="C1" s="25"/>
      <c r="G1" s="8" t="s">
        <v>38</v>
      </c>
      <c r="H1" s="8">
        <v>40722</v>
      </c>
      <c r="I1" s="8" t="s">
        <v>35</v>
      </c>
    </row>
    <row r="2" spans="1:9" ht="15.75" x14ac:dyDescent="0.15">
      <c r="A2" s="4" t="s">
        <v>49</v>
      </c>
      <c r="B2" s="4" t="s">
        <v>51</v>
      </c>
      <c r="C2" s="6">
        <v>1280</v>
      </c>
      <c r="D2" s="11"/>
      <c r="G2" s="8" t="s">
        <v>37</v>
      </c>
      <c r="H2" s="8">
        <v>3194</v>
      </c>
      <c r="I2" s="8" t="s">
        <v>35</v>
      </c>
    </row>
    <row r="3" spans="1:9" ht="15.75" x14ac:dyDescent="0.15">
      <c r="A3" s="4" t="s">
        <v>43</v>
      </c>
      <c r="B3" s="4" t="s">
        <v>52</v>
      </c>
      <c r="C3" s="6">
        <v>1024</v>
      </c>
      <c r="D3" s="11"/>
      <c r="G3" s="8" t="s">
        <v>40</v>
      </c>
      <c r="H3" s="8">
        <v>25</v>
      </c>
      <c r="I3" s="8" t="s">
        <v>41</v>
      </c>
    </row>
    <row r="4" spans="1:9" ht="15.75" x14ac:dyDescent="0.15">
      <c r="A4" s="5" t="s">
        <v>26</v>
      </c>
      <c r="B4" s="7" t="s">
        <v>25</v>
      </c>
      <c r="C4" s="6">
        <v>10000</v>
      </c>
      <c r="G4" s="8" t="s">
        <v>8</v>
      </c>
      <c r="H4" s="8">
        <f>ROUNDUP(1000*(86+C2/2+H3+10)/72,0)</f>
        <v>10570</v>
      </c>
      <c r="I4" s="8" t="s">
        <v>35</v>
      </c>
    </row>
    <row r="5" spans="1:9" ht="15.75" x14ac:dyDescent="0.15">
      <c r="A5" s="5" t="s">
        <v>23</v>
      </c>
      <c r="B5" s="7" t="s">
        <v>22</v>
      </c>
      <c r="C5" s="6">
        <v>8</v>
      </c>
      <c r="G5" s="8" t="s">
        <v>36</v>
      </c>
      <c r="H5" s="8">
        <f>ROUNDUP(1000*(86+1280/2+H3+10)/72,0)</f>
        <v>10570</v>
      </c>
      <c r="I5" s="8" t="s">
        <v>35</v>
      </c>
    </row>
    <row r="6" spans="1:9" ht="15.75" x14ac:dyDescent="0.15">
      <c r="A6" s="5" t="s">
        <v>21</v>
      </c>
      <c r="B6" s="7" t="s">
        <v>20</v>
      </c>
      <c r="C6" s="6">
        <v>300000000</v>
      </c>
      <c r="G6" s="8" t="s">
        <v>34</v>
      </c>
      <c r="H6" s="8">
        <f>ROUNDUP(((1000*86/72+(6+14-1)*H5+C3*H4+H1+H2)+40000)/1000,0)</f>
        <v>11110</v>
      </c>
      <c r="I6" s="8" t="s">
        <v>31</v>
      </c>
    </row>
    <row r="7" spans="1:9" ht="15.75" x14ac:dyDescent="0.15">
      <c r="A7" s="5" t="s">
        <v>19</v>
      </c>
      <c r="B7" s="7" t="s">
        <v>18</v>
      </c>
      <c r="C7" s="6">
        <v>380000000</v>
      </c>
      <c r="G7" s="8" t="s">
        <v>33</v>
      </c>
      <c r="H7" s="8">
        <f>ROUNDUP((2*H5+H1+H2+1000*C4)/1000,0)+40</f>
        <v>10106</v>
      </c>
      <c r="I7" s="8" t="s">
        <v>31</v>
      </c>
    </row>
    <row r="8" spans="1:9" ht="15.75" x14ac:dyDescent="0.15">
      <c r="A8" s="5" t="s">
        <v>17</v>
      </c>
      <c r="B8" s="7" t="s">
        <v>16</v>
      </c>
      <c r="C8" s="6" t="s">
        <v>15</v>
      </c>
      <c r="G8" s="8" t="s">
        <v>32</v>
      </c>
      <c r="H8" s="8">
        <f>MAX(H6,H7)</f>
        <v>11110</v>
      </c>
      <c r="I8" s="8" t="s">
        <v>31</v>
      </c>
    </row>
    <row r="9" spans="1:9" ht="15.75" x14ac:dyDescent="0.15">
      <c r="A9" s="5" t="s">
        <v>14</v>
      </c>
      <c r="B9" s="7" t="s">
        <v>13</v>
      </c>
      <c r="C9" s="6">
        <v>90</v>
      </c>
      <c r="G9" s="8" t="s">
        <v>30</v>
      </c>
      <c r="H9" s="8">
        <f>2*C10*(C2*C3+84)</f>
        <v>2621608</v>
      </c>
      <c r="I9" s="8" t="s">
        <v>29</v>
      </c>
    </row>
    <row r="10" spans="1:9" ht="15.75" hidden="1" x14ac:dyDescent="0.15">
      <c r="A10" s="5" t="s">
        <v>12</v>
      </c>
      <c r="B10" s="5" t="s">
        <v>11</v>
      </c>
      <c r="C10" s="4" t="str">
        <f>IF((C5&lt;=8),"1","2")</f>
        <v>1</v>
      </c>
      <c r="G10" s="8" t="s">
        <v>28</v>
      </c>
      <c r="H10" s="8">
        <f>ROUNDUP(1000000*H9/C7,0)</f>
        <v>6899</v>
      </c>
      <c r="I10" s="8" t="s">
        <v>42</v>
      </c>
    </row>
    <row r="11" spans="1:9" ht="15.75" hidden="1" x14ac:dyDescent="0.15">
      <c r="A11" s="5" t="s">
        <v>10</v>
      </c>
      <c r="B11" s="5" t="s">
        <v>9</v>
      </c>
      <c r="C11" s="4">
        <f>2*(C2*C3*C10+84)</f>
        <v>2621608</v>
      </c>
      <c r="G11" s="8" t="s">
        <v>27</v>
      </c>
      <c r="H11" s="8">
        <f>ROUNDUP(1000000*H9/C6,0)</f>
        <v>8739</v>
      </c>
      <c r="I11" s="8" t="s">
        <v>42</v>
      </c>
    </row>
    <row r="12" spans="1:9" ht="15.75" hidden="1" x14ac:dyDescent="0.15">
      <c r="A12" s="5" t="s">
        <v>8</v>
      </c>
      <c r="B12" s="5" t="s">
        <v>7</v>
      </c>
      <c r="C12" s="4">
        <f>H4</f>
        <v>10570</v>
      </c>
      <c r="G12" s="8" t="s">
        <v>24</v>
      </c>
      <c r="H12" s="8">
        <f>IF(C8="on",1000000/C9,0)</f>
        <v>0</v>
      </c>
      <c r="I12" s="8" t="s">
        <v>42</v>
      </c>
    </row>
    <row r="13" spans="1:9" ht="15.75" hidden="1" x14ac:dyDescent="0.15">
      <c r="A13" s="5" t="s">
        <v>6</v>
      </c>
      <c r="B13" s="5" t="s">
        <v>5</v>
      </c>
      <c r="C13" s="4">
        <f>H13</f>
        <v>11110</v>
      </c>
      <c r="G13" s="8" t="s">
        <v>4</v>
      </c>
      <c r="H13" s="8">
        <f>MAX(H8,H10,H11,H12)</f>
        <v>11110</v>
      </c>
      <c r="I13" s="8" t="s">
        <v>42</v>
      </c>
    </row>
    <row r="14" spans="1:9" ht="15.75" hidden="1" x14ac:dyDescent="0.15">
      <c r="A14" s="5" t="s">
        <v>4</v>
      </c>
      <c r="B14" s="5" t="s">
        <v>3</v>
      </c>
      <c r="C14" s="4">
        <f>H13</f>
        <v>11110</v>
      </c>
    </row>
    <row r="15" spans="1:9" ht="15.75" x14ac:dyDescent="0.15">
      <c r="A15" s="26" t="s">
        <v>2</v>
      </c>
      <c r="B15" s="24"/>
      <c r="C15" s="25"/>
    </row>
    <row r="16" spans="1:9" ht="27" x14ac:dyDescent="0.15">
      <c r="A16" s="3" t="s">
        <v>1</v>
      </c>
      <c r="B16" s="3" t="s">
        <v>0</v>
      </c>
      <c r="C16" s="2">
        <f>1000000/C14</f>
        <v>90.009000900090015</v>
      </c>
    </row>
    <row r="28" hidden="1" x14ac:dyDescent="0.15"/>
    <row r="29" hidden="1" x14ac:dyDescent="0.15"/>
    <row r="30" hidden="1" x14ac:dyDescent="0.15"/>
    <row r="31" hidden="1" x14ac:dyDescent="0.15"/>
    <row r="32" hidden="1" x14ac:dyDescent="0.15"/>
  </sheetData>
  <mergeCells count="2">
    <mergeCell ref="A1:C1"/>
    <mergeCell ref="A15:C15"/>
  </mergeCells>
  <phoneticPr fontId="3" type="noConversion"/>
  <dataValidations count="7">
    <dataValidation type="custom" allowBlank="1" showInputMessage="1" showErrorMessage="1" errorTitle="参数输入错误" error="输入范围64到1024，并且为2的整数倍" sqref="C3">
      <formula1>AND(MOD(C3,2)=0,C3&gt;=64,C3&lt;=1024)</formula1>
    </dataValidation>
    <dataValidation type="custom" allowBlank="1" showInputMessage="1" showErrorMessage="1" errorTitle="参数输入错误" error="输入范围64到1280，并且为32的整数倍_x000a_" sqref="C2">
      <formula1>AND(MOD(C2,32)=0,C2&gt;=64,C2&lt;=1280)</formula1>
    </dataValidation>
    <dataValidation type="whole" allowBlank="1" showInputMessage="1" showErrorMessage="1" errorTitle="参数输入错误" error="输入范围5-1000000" sqref="C4">
      <formula1>5</formula1>
      <formula2>1000000</formula2>
    </dataValidation>
    <dataValidation type="custom" allowBlank="1" showInputMessage="1" showErrorMessage="1" errorTitle="参数输入错误" error="8bit模式下范围35000000-400000000，步长1000000;_x000a_10bit模式下范围70000000-400000000，步长1000000" sqref="C6">
      <formula1>OR(AND(C5=8,C6&gt;=35000000,C6&lt;=400000000,MOD(C6,1000000)=0),AND(C5=10,C6&gt;=70000000,C6&lt;=400000000,MOD(C6,1000000)=0))</formula1>
    </dataValidation>
    <dataValidation type="list" allowBlank="1" showInputMessage="1" showErrorMessage="1" errorTitle="参数输入错误" error="请输入8或者10" sqref="C5">
      <formula1>"8,10"</formula1>
    </dataValidation>
    <dataValidation type="list" allowBlank="1" showInputMessage="1" showErrorMessage="1" errorTitle="参数输入错误" error="请输入on或者off" sqref="C8">
      <formula1>"on,off"</formula1>
    </dataValidation>
    <dataValidation type="custom" allowBlank="1" showInputMessage="1" showErrorMessage="1" errorTitle="参数输入错误" error="输入范围为0.1-10000，步进值为0.1" sqref="C9">
      <formula1>AND(MOD(10*C9,1)=0,C9&gt;=0.1,C9&lt;=10000)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44" sqref="B43:B44"/>
    </sheetView>
  </sheetViews>
  <sheetFormatPr defaultRowHeight="13.5" x14ac:dyDescent="0.15"/>
  <cols>
    <col min="1" max="1" width="0.125" customWidth="1"/>
    <col min="2" max="2" width="39.375" customWidth="1"/>
    <col min="3" max="3" width="26.375" customWidth="1"/>
    <col min="10" max="10" width="9.5" bestFit="1" customWidth="1"/>
  </cols>
  <sheetData>
    <row r="1" spans="1:3" ht="15.75" x14ac:dyDescent="0.15">
      <c r="A1" s="27" t="s">
        <v>54</v>
      </c>
      <c r="B1" s="28"/>
      <c r="C1" s="29"/>
    </row>
    <row r="2" spans="1:3" ht="18" customHeight="1" x14ac:dyDescent="0.15">
      <c r="A2" s="12" t="s">
        <v>62</v>
      </c>
      <c r="B2" s="7" t="s">
        <v>55</v>
      </c>
      <c r="C2" s="13">
        <v>1440</v>
      </c>
    </row>
    <row r="3" spans="1:3" ht="15.75" x14ac:dyDescent="0.15">
      <c r="A3" s="12" t="s">
        <v>43</v>
      </c>
      <c r="B3" s="7" t="s">
        <v>63</v>
      </c>
      <c r="C3" s="13">
        <v>1080</v>
      </c>
    </row>
    <row r="4" spans="1:3" ht="15.75" x14ac:dyDescent="0.15">
      <c r="A4" s="12" t="s">
        <v>26</v>
      </c>
      <c r="B4" s="7" t="s">
        <v>64</v>
      </c>
      <c r="C4" s="14">
        <v>10000</v>
      </c>
    </row>
    <row r="5" spans="1:3" ht="15.75" x14ac:dyDescent="0.15">
      <c r="A5" s="12" t="s">
        <v>23</v>
      </c>
      <c r="B5" s="7" t="s">
        <v>65</v>
      </c>
      <c r="C5" s="14">
        <v>8</v>
      </c>
    </row>
    <row r="6" spans="1:3" ht="15.75" x14ac:dyDescent="0.15">
      <c r="A6" s="12" t="s">
        <v>21</v>
      </c>
      <c r="B6" s="7" t="s">
        <v>20</v>
      </c>
      <c r="C6" s="14">
        <v>200000000</v>
      </c>
    </row>
    <row r="7" spans="1:3" ht="15.75" x14ac:dyDescent="0.15">
      <c r="A7" s="12" t="s">
        <v>66</v>
      </c>
      <c r="B7" s="7" t="s">
        <v>56</v>
      </c>
      <c r="C7" s="14">
        <v>200000000</v>
      </c>
    </row>
    <row r="8" spans="1:3" ht="15.75" hidden="1" x14ac:dyDescent="0.15">
      <c r="A8" s="12" t="s">
        <v>67</v>
      </c>
      <c r="B8" s="7" t="s">
        <v>57</v>
      </c>
      <c r="C8" s="14">
        <f>MAX(ROUNDUP((C4*1000-14260)/C11,0),1)</f>
        <v>679</v>
      </c>
    </row>
    <row r="9" spans="1:3" ht="15.75" hidden="1" x14ac:dyDescent="0.15">
      <c r="A9" s="12" t="s">
        <v>12</v>
      </c>
      <c r="B9" s="7" t="s">
        <v>58</v>
      </c>
      <c r="C9" s="14" t="str">
        <f>IF((C5&lt;=8),"1","2")</f>
        <v>1</v>
      </c>
    </row>
    <row r="10" spans="1:3" ht="15.75" hidden="1" x14ac:dyDescent="0.15">
      <c r="A10" s="12" t="s">
        <v>10</v>
      </c>
      <c r="B10" s="7" t="s">
        <v>68</v>
      </c>
      <c r="C10" s="14">
        <f>C2*C3*C9+84</f>
        <v>1555284</v>
      </c>
    </row>
    <row r="11" spans="1:3" ht="15.75" hidden="1" x14ac:dyDescent="0.15">
      <c r="A11" s="12" t="s">
        <v>8</v>
      </c>
      <c r="B11" s="7" t="s">
        <v>69</v>
      </c>
      <c r="C11" s="14">
        <f>MIN((IF(B33&lt;552,552,IF(B33&gt;1656,1656,B33))),B32)*1000000*C9/37500</f>
        <v>14720</v>
      </c>
    </row>
    <row r="12" spans="1:3" ht="15.75" hidden="1" x14ac:dyDescent="0.15">
      <c r="A12" s="12" t="s">
        <v>6</v>
      </c>
      <c r="B12" s="7" t="s">
        <v>59</v>
      </c>
      <c r="C12" s="14">
        <f>(C3+30)*C11</f>
        <v>16339200</v>
      </c>
    </row>
    <row r="13" spans="1:3" ht="15.75" x14ac:dyDescent="0.15">
      <c r="A13" s="12" t="s">
        <v>60</v>
      </c>
      <c r="B13" s="7" t="s">
        <v>16</v>
      </c>
      <c r="C13" s="14" t="s">
        <v>15</v>
      </c>
    </row>
    <row r="14" spans="1:3" ht="15.75" x14ac:dyDescent="0.15">
      <c r="A14" s="12" t="s">
        <v>14</v>
      </c>
      <c r="B14" s="7" t="s">
        <v>13</v>
      </c>
      <c r="C14" s="14">
        <v>61.2</v>
      </c>
    </row>
    <row r="15" spans="1:3" ht="15.75" hidden="1" x14ac:dyDescent="0.15">
      <c r="A15" s="12" t="s">
        <v>4</v>
      </c>
      <c r="B15" s="12" t="s">
        <v>3</v>
      </c>
      <c r="C15" s="15">
        <f>MAX(ROUNDUP((MAX((C10*1000000/C6),C10*1000000/C7)*1000)/C11,0)*C11,(C8+8)*C11,C12,C11*(IF(C13="off",0,1))*ROUNDUP(1000000000/(C11*C14),0))</f>
        <v>16339200</v>
      </c>
    </row>
    <row r="16" spans="1:3" ht="15.75" x14ac:dyDescent="0.15">
      <c r="A16" s="30" t="s">
        <v>2</v>
      </c>
      <c r="B16" s="31"/>
      <c r="C16" s="32"/>
    </row>
    <row r="17" spans="1:3" ht="27" x14ac:dyDescent="0.15">
      <c r="A17" s="16" t="s">
        <v>1</v>
      </c>
      <c r="B17" s="16" t="s">
        <v>0</v>
      </c>
      <c r="C17" s="17">
        <f>1000000000/C15</f>
        <v>61.20250685468077</v>
      </c>
    </row>
    <row r="30" spans="1:3" ht="148.5" hidden="1" x14ac:dyDescent="0.15">
      <c r="A30" s="18" t="s">
        <v>70</v>
      </c>
      <c r="B30" s="19">
        <f>ROUNDUP((MAX((C10*1000000/C6),C10*1000000/C7)*1000),0)</f>
        <v>7776420</v>
      </c>
    </row>
    <row r="31" spans="1:3" ht="148.5" hidden="1" x14ac:dyDescent="0.15">
      <c r="A31" s="18" t="s">
        <v>71</v>
      </c>
      <c r="B31" s="18">
        <f>ROUNDUP((1000000000/C14)*(IF(C13="off",0,1)),0)</f>
        <v>0</v>
      </c>
    </row>
    <row r="32" spans="1:3" ht="189" hidden="1" x14ac:dyDescent="0.15">
      <c r="A32" s="18" t="s">
        <v>72</v>
      </c>
      <c r="B32" s="18">
        <f>IF(ROUNDUP(((C4*1000-14260)*37500/1000000),0)&lt;552,552,ROUNDUP(((C4*1000-14260)*37500/1000000),0))</f>
        <v>374466</v>
      </c>
    </row>
    <row r="33" spans="1:2" ht="256.5" hidden="1" x14ac:dyDescent="0.15">
      <c r="A33" s="18" t="s">
        <v>73</v>
      </c>
      <c r="B33" s="18">
        <f>ROUNDUP(MAX(B30,B31)*37500/((C3+30)*1000000),0)</f>
        <v>263</v>
      </c>
    </row>
  </sheetData>
  <mergeCells count="2">
    <mergeCell ref="A1:C1"/>
    <mergeCell ref="A16:C16"/>
  </mergeCells>
  <phoneticPr fontId="3" type="noConversion"/>
  <dataValidations count="7">
    <dataValidation type="list" allowBlank="1" showInputMessage="1" showErrorMessage="1" errorTitle="参数输入错误" error="请输入8或者10" sqref="C5">
      <formula1>"8,10"</formula1>
    </dataValidation>
    <dataValidation type="whole" allowBlank="1" showInputMessage="1" showErrorMessage="1" errorTitle="参数输入错误" error="输入范围15-1000000" sqref="C4">
      <formula1>20</formula1>
      <formula2>1000000</formula2>
    </dataValidation>
    <dataValidation type="custom" allowBlank="1" showInputMessage="1" showErrorMessage="1" errorTitle="参数输入错误" error="8bit模式下范围35000000-200000000，步长1000000;_x000a_10bit模式下范围70000000-200000000，步长1000000" sqref="C6">
      <formula1>OR(AND(C5=8,C6&gt;=35000000,C6&lt;=200000000,MOD(C6,1000000)=0),AND(C5=10,C6&gt;=70000000,C6&lt;=200000000,MOD(C6,1000000)=0))</formula1>
    </dataValidation>
    <dataValidation type="list" allowBlank="1" showInputMessage="1" showErrorMessage="1" errorTitle="参数输入错误" error="仅能输入on或off" sqref="C13">
      <formula1>"on,off"</formula1>
    </dataValidation>
    <dataValidation type="custom" allowBlank="1" showInputMessage="1" showErrorMessage="1" errorTitle="参数输入错误" error="输入范围为0.1-10000，步进值为0.1" sqref="C14">
      <formula1>AND(MOD(10*C14,1)=0,C14&gt;=0.1,C14&lt;=10000)</formula1>
    </dataValidation>
    <dataValidation type="custom" allowBlank="1" showInputMessage="1" showErrorMessage="1" errorTitle="参数输入错误" error="输入范围64-1440，并且为4的整数倍" sqref="C2">
      <formula1>AND(MOD(C2,4)=0,C2&gt;=64,C2&lt;=1440)</formula1>
    </dataValidation>
    <dataValidation type="custom" allowBlank="1" showInputMessage="1" showErrorMessage="1" errorTitle="参数输入错误" error="输入范围64-1080，并且为2的整数倍" sqref="C3">
      <formula1>AND(MOD(C3,2)=0,C3&gt;=64,C3&lt;=1080)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版本历史</vt:lpstr>
      <vt:lpstr>VEN-134-90U3M-D</vt:lpstr>
      <vt:lpstr>VEN-161-61U3X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2020-09-22T03:12:12Z</dcterms:modified>
</cp:coreProperties>
</file>