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e6b96fae790869d/Desktop/"/>
    </mc:Choice>
  </mc:AlternateContent>
  <xr:revisionPtr revIDLastSave="1" documentId="13_ncr:1_{3F2B9983-BC45-423B-A278-62E48F1A75BC}" xr6:coauthVersionLast="47" xr6:coauthVersionMax="47" xr10:uidLastSave="{BDD4955D-1CC1-47D7-9AC5-01C1B62EA766}"/>
  <bookViews>
    <workbookView xWindow="-120" yWindow="-120" windowWidth="29040" windowHeight="15840" xr2:uid="{00000000-000D-0000-FFFF-FFFF00000000}"/>
  </bookViews>
  <sheets>
    <sheet name="LICENSE" sheetId="2" r:id="rId1"/>
    <sheet name="EFP" sheetId="1" r:id="rId2"/>
  </sheets>
  <definedNames>
    <definedName name="_xlnm.Print_Area" localSheetId="1">EFP!$A$1:$I$182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" l="1"/>
  <c r="J38" i="1" l="1"/>
  <c r="J37" i="1"/>
  <c r="E2" i="1" l="1"/>
  <c r="B35" i="1"/>
  <c r="B32" i="1"/>
  <c r="B30" i="1"/>
  <c r="S25" i="1"/>
  <c r="S26" i="1" s="1"/>
  <c r="R25" i="1"/>
  <c r="R26" i="1" s="1"/>
  <c r="G30" i="1"/>
  <c r="B29" i="1"/>
  <c r="Y8" i="1"/>
  <c r="Y6" i="1"/>
  <c r="Y7" i="1" s="1"/>
  <c r="G35" i="1"/>
  <c r="C88" i="1" l="1"/>
  <c r="K30" i="1"/>
  <c r="D35" i="1"/>
  <c r="K35" i="1" s="1"/>
  <c r="C93" i="1"/>
  <c r="G29" i="1"/>
  <c r="K29" i="1" s="1"/>
  <c r="G32" i="1"/>
  <c r="K32" i="1" s="1"/>
  <c r="B62" i="1" l="1"/>
  <c r="C65" i="1" l="1"/>
  <c r="C64" i="1"/>
  <c r="C73" i="1"/>
  <c r="C72" i="1"/>
  <c r="B173" i="1"/>
  <c r="B161" i="1"/>
  <c r="B165" i="1" s="1"/>
  <c r="B166" i="1" s="1"/>
  <c r="B146" i="1"/>
  <c r="E133" i="1"/>
  <c r="E134" i="1" s="1"/>
  <c r="E112" i="1"/>
  <c r="E113" i="1" s="1"/>
  <c r="B152" i="1"/>
  <c r="B138" i="1"/>
  <c r="B133" i="1"/>
  <c r="B124" i="1"/>
  <c r="B139" i="1" l="1"/>
  <c r="H132" i="1"/>
  <c r="H133" i="1" s="1"/>
  <c r="H134" i="1" s="1"/>
  <c r="H135" i="1"/>
  <c r="H136" i="1" s="1"/>
  <c r="B160" i="1"/>
  <c r="E161" i="1" s="1"/>
  <c r="E162" i="1" s="1"/>
  <c r="B147" i="1"/>
  <c r="B174" i="1"/>
  <c r="E168" i="1"/>
  <c r="B167" i="1"/>
  <c r="B168" i="1" s="1"/>
  <c r="D168" i="1" s="1"/>
  <c r="B175" i="1"/>
  <c r="B154" i="1"/>
  <c r="B140" i="1"/>
  <c r="B126" i="1"/>
  <c r="E174" i="1" l="1"/>
  <c r="F174" i="1" s="1"/>
  <c r="I174" i="1" s="1"/>
  <c r="B177" i="1"/>
  <c r="E138" i="1"/>
  <c r="D138" i="1" s="1"/>
  <c r="B142" i="1"/>
  <c r="B143" i="1" s="1"/>
  <c r="E139" i="1"/>
  <c r="F139" i="1" s="1"/>
  <c r="B141" i="1"/>
  <c r="D141" i="1" s="1"/>
  <c r="B153" i="1"/>
  <c r="H149" i="1"/>
  <c r="H150" i="1" s="1"/>
  <c r="H146" i="1"/>
  <c r="H147" i="1" s="1"/>
  <c r="H148" i="1" s="1"/>
  <c r="E173" i="1"/>
  <c r="D173" i="1" s="1"/>
  <c r="I173" i="1" s="1"/>
  <c r="B178" i="1"/>
  <c r="B176" i="1"/>
  <c r="D176" i="1" s="1"/>
  <c r="E153" i="1" l="1"/>
  <c r="F153" i="1" s="1"/>
  <c r="B156" i="1"/>
  <c r="B157" i="1" s="1"/>
  <c r="E152" i="1"/>
  <c r="D152" i="1" s="1"/>
  <c r="B155" i="1"/>
  <c r="D155" i="1" s="1"/>
  <c r="B112" i="1"/>
  <c r="B125" i="1" s="1"/>
  <c r="B128" i="1" s="1"/>
  <c r="L96" i="1"/>
  <c r="F95" i="1"/>
  <c r="L99" i="1" s="1"/>
  <c r="L100" i="1" s="1"/>
  <c r="F92" i="1"/>
  <c r="F96" i="1" s="1"/>
  <c r="L101" i="1" s="1"/>
  <c r="F91" i="1"/>
  <c r="L97" i="1" s="1"/>
  <c r="L98" i="1" s="1"/>
  <c r="E119" i="1" l="1"/>
  <c r="B116" i="1"/>
  <c r="B117" i="1" s="1"/>
  <c r="B118" i="1" s="1"/>
  <c r="B119" i="1" s="1"/>
  <c r="B96" i="1"/>
  <c r="C96" i="1" s="1"/>
  <c r="B95" i="1"/>
  <c r="C95" i="1" s="1"/>
  <c r="B129" i="1" l="1"/>
  <c r="E125" i="1"/>
  <c r="F125" i="1" s="1"/>
  <c r="I125" i="1" s="1"/>
  <c r="E124" i="1"/>
  <c r="D124" i="1" s="1"/>
  <c r="I124" i="1" s="1"/>
  <c r="B127" i="1"/>
  <c r="D127" i="1" s="1"/>
  <c r="G74" i="1"/>
  <c r="G73" i="1"/>
  <c r="G72" i="1"/>
  <c r="B69" i="1"/>
  <c r="B70" i="1"/>
  <c r="G66" i="1"/>
  <c r="G65" i="1"/>
  <c r="G64" i="1"/>
  <c r="B61" i="1"/>
  <c r="S21" i="1"/>
  <c r="S22" i="1" s="1"/>
  <c r="S17" i="1"/>
  <c r="S18" i="1" s="1"/>
  <c r="Q5" i="1"/>
  <c r="G28" i="1"/>
  <c r="B28" i="1"/>
  <c r="C86" i="1" s="1"/>
  <c r="D28" i="1" l="1"/>
  <c r="J28" i="1" s="1"/>
  <c r="D73" i="1"/>
  <c r="D65" i="1"/>
  <c r="H73" i="1"/>
  <c r="H65" i="1"/>
  <c r="C90" i="1"/>
  <c r="P5" i="1"/>
  <c r="P42" i="1"/>
  <c r="P43" i="1" s="1"/>
  <c r="G36" i="1"/>
  <c r="B36" i="1"/>
  <c r="P13" i="1"/>
  <c r="P14" i="1" s="1"/>
  <c r="B34" i="1"/>
  <c r="C87" i="1"/>
  <c r="B20" i="1"/>
  <c r="P38" i="1"/>
  <c r="P39" i="1" s="1"/>
  <c r="P29" i="1"/>
  <c r="P30" i="1" s="1"/>
  <c r="B33" i="1"/>
  <c r="P8" i="1"/>
  <c r="E47" i="1"/>
  <c r="G34" i="1"/>
  <c r="O25" i="1"/>
  <c r="O26" i="1" s="1"/>
  <c r="G31" i="1"/>
  <c r="O17" i="1"/>
  <c r="O18" i="1" s="1"/>
  <c r="C91" i="1" l="1"/>
  <c r="D33" i="1"/>
  <c r="O34" i="1"/>
  <c r="O35" i="1" s="1"/>
  <c r="K34" i="1"/>
  <c r="O21" i="1"/>
  <c r="O22" i="1" s="1"/>
  <c r="O42" i="1"/>
  <c r="O43" i="1" s="1"/>
  <c r="K36" i="1"/>
  <c r="C94" i="1"/>
  <c r="C92" i="1"/>
  <c r="B60" i="1"/>
  <c r="B68" i="1"/>
  <c r="P6" i="1"/>
  <c r="B31" i="1"/>
  <c r="B39" i="1" s="1"/>
  <c r="G27" i="1"/>
  <c r="R6" i="1"/>
  <c r="Z4" i="1" s="1"/>
  <c r="Q6" i="1"/>
  <c r="T4" i="1"/>
  <c r="T5" i="1" s="1"/>
  <c r="T6" i="1" s="1"/>
  <c r="T7" i="1" s="1"/>
  <c r="S4" i="1"/>
  <c r="K31" i="1" l="1"/>
  <c r="K39" i="1" s="1"/>
  <c r="B49" i="1"/>
  <c r="J33" i="1"/>
  <c r="J39" i="1" s="1"/>
  <c r="B43" i="1"/>
  <c r="B42" i="1"/>
  <c r="Z8" i="1"/>
  <c r="Z7" i="1"/>
  <c r="Z5" i="1"/>
  <c r="Z6" i="1" s="1"/>
  <c r="P48" i="1"/>
  <c r="B77" i="1"/>
  <c r="B78" i="1" s="1"/>
  <c r="G176" i="1" s="1"/>
  <c r="F176" i="1" s="1"/>
  <c r="I176" i="1" s="1"/>
  <c r="B81" i="1"/>
  <c r="B82" i="1" s="1"/>
  <c r="E178" i="1" s="1"/>
  <c r="D178" i="1" s="1"/>
  <c r="I178" i="1" s="1"/>
  <c r="C89" i="1"/>
  <c r="C97" i="1" s="1"/>
  <c r="D72" i="1"/>
  <c r="E129" i="1" s="1"/>
  <c r="D129" i="1" s="1"/>
  <c r="I129" i="1" s="1"/>
  <c r="H74" i="1"/>
  <c r="H72" i="1"/>
  <c r="D64" i="1"/>
  <c r="G127" i="1" s="1"/>
  <c r="F127" i="1" s="1"/>
  <c r="I127" i="1" s="1"/>
  <c r="H64" i="1"/>
  <c r="H66" i="1"/>
  <c r="P7" i="1"/>
  <c r="O13" i="1"/>
  <c r="O29" i="1" s="1"/>
  <c r="O48" i="1"/>
  <c r="S7" i="1"/>
  <c r="O4" i="1"/>
  <c r="R7" i="1"/>
  <c r="P17" i="1"/>
  <c r="P18" i="1" s="1"/>
  <c r="P26" i="1"/>
  <c r="P21" i="1"/>
  <c r="P22" i="1" s="1"/>
  <c r="P34" i="1" s="1"/>
  <c r="P35" i="1" s="1"/>
  <c r="V4" i="1"/>
  <c r="T8" i="1"/>
  <c r="S5" i="1"/>
  <c r="S8" i="1"/>
  <c r="U5" i="1"/>
  <c r="U6" i="1" s="1"/>
  <c r="B50" i="1" l="1"/>
  <c r="B51" i="1" s="1"/>
  <c r="C51" i="1" s="1"/>
  <c r="B46" i="1"/>
  <c r="B47" i="1" s="1"/>
  <c r="G78" i="1"/>
  <c r="P51" i="1"/>
  <c r="P50" i="1"/>
  <c r="G82" i="1"/>
  <c r="U4" i="1"/>
  <c r="U8" i="1" s="1"/>
  <c r="R17" i="1"/>
  <c r="R18" i="1" s="1"/>
  <c r="O49" i="1"/>
  <c r="O55" i="1"/>
  <c r="O14" i="1"/>
  <c r="O30" i="1" s="1"/>
  <c r="O38" i="1"/>
  <c r="O39" i="1" s="1"/>
  <c r="O8" i="1"/>
  <c r="O7" i="1"/>
  <c r="O5" i="1"/>
  <c r="O6" i="1" s="1"/>
  <c r="V8" i="1"/>
  <c r="V5" i="1"/>
  <c r="S6" i="1"/>
  <c r="R21" i="1" s="1"/>
  <c r="R22" i="1" s="1"/>
  <c r="B44" i="1"/>
  <c r="C44" i="1" s="1"/>
  <c r="J44" i="1" s="1"/>
  <c r="D51" i="1" l="1"/>
  <c r="J51" i="1"/>
  <c r="U7" i="1"/>
  <c r="B54" i="1"/>
  <c r="F86" i="1" s="1"/>
  <c r="G90" i="1" s="1"/>
  <c r="B55" i="1"/>
  <c r="F87" i="1" s="1"/>
  <c r="D47" i="1"/>
  <c r="V6" i="1"/>
  <c r="P49" i="1" l="1"/>
  <c r="P54" i="1"/>
  <c r="P55" i="1" s="1"/>
  <c r="G47" i="1"/>
  <c r="B53" i="1" s="1"/>
  <c r="J47" i="1"/>
  <c r="M96" i="1"/>
  <c r="G94" i="1"/>
  <c r="G96" i="1"/>
  <c r="M101" i="1" s="1"/>
  <c r="G92" i="1"/>
  <c r="V7" i="1"/>
  <c r="X5" i="1" s="1"/>
  <c r="W5" i="1" s="1"/>
  <c r="D54" i="1"/>
  <c r="J54" i="1" s="1"/>
  <c r="D55" i="1"/>
  <c r="J55" i="1" s="1"/>
  <c r="J56" i="1" l="1"/>
  <c r="B180" i="1" s="1"/>
  <c r="G91" i="1"/>
  <c r="G95" i="1"/>
  <c r="B100" i="1" s="1"/>
  <c r="B99" i="1" l="1"/>
  <c r="G141" i="1" s="1"/>
  <c r="H91" i="1"/>
  <c r="B101" i="1" s="1"/>
  <c r="M97" i="1"/>
  <c r="M98" i="1" s="1"/>
  <c r="M100" i="1"/>
  <c r="M99" i="1" s="1"/>
  <c r="H95" i="1"/>
  <c r="B102" i="1" s="1"/>
  <c r="F141" i="1" l="1"/>
  <c r="E157" i="1"/>
  <c r="D157" i="1" s="1"/>
  <c r="E143" i="1"/>
  <c r="D143" i="1" s="1"/>
  <c r="G155" i="1"/>
  <c r="D119" i="1"/>
  <c r="F155" i="1" l="1"/>
  <c r="H145" i="1"/>
  <c r="I157" i="1" s="1"/>
  <c r="H131" i="1"/>
  <c r="I138" i="1" s="1"/>
  <c r="I143" i="1" l="1"/>
  <c r="I139" i="1"/>
  <c r="I141" i="1"/>
  <c r="I153" i="1"/>
  <c r="I152" i="1"/>
  <c r="I155" i="1"/>
  <c r="K178" i="1" l="1"/>
  <c r="B18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E112" authorId="0" shapeId="0" xr:uid="{00000000-0006-0000-0000-000001000000}">
      <text>
        <r>
          <rPr>
            <u/>
            <sz val="10"/>
            <color indexed="81"/>
            <rFont val="Tahoma"/>
            <family val="2"/>
          </rPr>
          <t>ACI 318-05 Section 10.2.7.3
If F'</t>
        </r>
        <r>
          <rPr>
            <u/>
            <vertAlign val="subscript"/>
            <sz val="10"/>
            <color indexed="81"/>
            <rFont val="Tahoma"/>
            <family val="2"/>
          </rPr>
          <t>c</t>
        </r>
        <r>
          <rPr>
            <u/>
            <sz val="10"/>
            <color indexed="81"/>
            <rFont val="Tahoma"/>
            <family val="2"/>
          </rPr>
          <t xml:space="preserve"> ≤ 4000</t>
        </r>
        <r>
          <rPr>
            <sz val="10"/>
            <color indexed="81"/>
            <rFont val="Tahoma"/>
            <family val="2"/>
          </rPr>
          <t xml:space="preserve"> 
        0.85
</t>
        </r>
        <r>
          <rPr>
            <u/>
            <sz val="10"/>
            <color indexed="81"/>
            <rFont val="Tahoma"/>
            <family val="2"/>
          </rPr>
          <t>If 4000 ≤ F'</t>
        </r>
        <r>
          <rPr>
            <u/>
            <vertAlign val="subscript"/>
            <sz val="10"/>
            <color indexed="81"/>
            <rFont val="Tahoma"/>
            <family val="2"/>
          </rPr>
          <t>c</t>
        </r>
        <r>
          <rPr>
            <u/>
            <sz val="10"/>
            <color indexed="81"/>
            <rFont val="Tahoma"/>
            <family val="2"/>
          </rPr>
          <t xml:space="preserve"> ≤ 8000</t>
        </r>
        <r>
          <rPr>
            <sz val="10"/>
            <color indexed="81"/>
            <rFont val="Tahoma"/>
            <family val="2"/>
          </rPr>
          <t xml:space="preserve"> 
        0.85 - (0.05 * (F'</t>
        </r>
        <r>
          <rPr>
            <vertAlign val="subscript"/>
            <sz val="10"/>
            <color indexed="81"/>
            <rFont val="Tahoma"/>
            <family val="2"/>
          </rPr>
          <t>c</t>
        </r>
        <r>
          <rPr>
            <sz val="10"/>
            <color indexed="81"/>
            <rFont val="Tahoma"/>
            <family val="2"/>
          </rPr>
          <t xml:space="preserve"> - 4000)/1000) 
Minimum value = 0.65
</t>
        </r>
      </text>
    </comment>
    <comment ref="E133" authorId="0" shapeId="0" xr:uid="{00000000-0006-0000-0000-000002000000}">
      <text>
        <r>
          <rPr>
            <u/>
            <sz val="10"/>
            <color indexed="81"/>
            <rFont val="Tahoma"/>
            <family val="2"/>
          </rPr>
          <t>ACI 318-05 Section 10.2.7.3
If F'</t>
        </r>
        <r>
          <rPr>
            <u/>
            <vertAlign val="subscript"/>
            <sz val="10"/>
            <color indexed="81"/>
            <rFont val="Tahoma"/>
            <family val="2"/>
          </rPr>
          <t>c</t>
        </r>
        <r>
          <rPr>
            <u/>
            <sz val="10"/>
            <color indexed="81"/>
            <rFont val="Tahoma"/>
            <family val="2"/>
          </rPr>
          <t xml:space="preserve"> ≤ 4000</t>
        </r>
        <r>
          <rPr>
            <sz val="10"/>
            <color indexed="81"/>
            <rFont val="Tahoma"/>
            <family val="2"/>
          </rPr>
          <t xml:space="preserve"> 
        0.85
</t>
        </r>
        <r>
          <rPr>
            <u/>
            <sz val="10"/>
            <color indexed="81"/>
            <rFont val="Tahoma"/>
            <family val="2"/>
          </rPr>
          <t>If 4000 ≤ F'</t>
        </r>
        <r>
          <rPr>
            <u/>
            <vertAlign val="subscript"/>
            <sz val="10"/>
            <color indexed="81"/>
            <rFont val="Tahoma"/>
            <family val="2"/>
          </rPr>
          <t>c</t>
        </r>
        <r>
          <rPr>
            <u/>
            <sz val="10"/>
            <color indexed="81"/>
            <rFont val="Tahoma"/>
            <family val="2"/>
          </rPr>
          <t xml:space="preserve"> ≤ 8000</t>
        </r>
        <r>
          <rPr>
            <sz val="10"/>
            <color indexed="81"/>
            <rFont val="Tahoma"/>
            <family val="2"/>
          </rPr>
          <t xml:space="preserve"> 
        0.85 - (0.05 * (F'</t>
        </r>
        <r>
          <rPr>
            <vertAlign val="subscript"/>
            <sz val="10"/>
            <color indexed="81"/>
            <rFont val="Tahoma"/>
            <family val="2"/>
          </rPr>
          <t>c</t>
        </r>
        <r>
          <rPr>
            <sz val="10"/>
            <color indexed="81"/>
            <rFont val="Tahoma"/>
            <family val="2"/>
          </rPr>
          <t xml:space="preserve"> - 4000)/1000) 
Minimum value = 0.65
</t>
        </r>
      </text>
    </comment>
    <comment ref="E161" authorId="0" shapeId="0" xr:uid="{00000000-0006-0000-0000-000003000000}">
      <text>
        <r>
          <rPr>
            <u/>
            <sz val="10"/>
            <color indexed="81"/>
            <rFont val="Tahoma"/>
            <family val="2"/>
          </rPr>
          <t>ACI 318-05 Section 10.2.7.3
If F'</t>
        </r>
        <r>
          <rPr>
            <u/>
            <vertAlign val="subscript"/>
            <sz val="10"/>
            <color indexed="81"/>
            <rFont val="Tahoma"/>
            <family val="2"/>
          </rPr>
          <t>c</t>
        </r>
        <r>
          <rPr>
            <u/>
            <sz val="10"/>
            <color indexed="81"/>
            <rFont val="Tahoma"/>
            <family val="2"/>
          </rPr>
          <t xml:space="preserve"> ≤ 4000</t>
        </r>
        <r>
          <rPr>
            <sz val="10"/>
            <color indexed="81"/>
            <rFont val="Tahoma"/>
            <family val="2"/>
          </rPr>
          <t xml:space="preserve"> 
        0.85
</t>
        </r>
        <r>
          <rPr>
            <u/>
            <sz val="10"/>
            <color indexed="81"/>
            <rFont val="Tahoma"/>
            <family val="2"/>
          </rPr>
          <t>If 4000 ≤ F'</t>
        </r>
        <r>
          <rPr>
            <u/>
            <vertAlign val="subscript"/>
            <sz val="10"/>
            <color indexed="81"/>
            <rFont val="Tahoma"/>
            <family val="2"/>
          </rPr>
          <t>c</t>
        </r>
        <r>
          <rPr>
            <u/>
            <sz val="10"/>
            <color indexed="81"/>
            <rFont val="Tahoma"/>
            <family val="2"/>
          </rPr>
          <t xml:space="preserve"> ≤ 8000</t>
        </r>
        <r>
          <rPr>
            <sz val="10"/>
            <color indexed="81"/>
            <rFont val="Tahoma"/>
            <family val="2"/>
          </rPr>
          <t xml:space="preserve"> 
        0.85 - (0.05 * (F'</t>
        </r>
        <r>
          <rPr>
            <vertAlign val="subscript"/>
            <sz val="10"/>
            <color indexed="81"/>
            <rFont val="Tahoma"/>
            <family val="2"/>
          </rPr>
          <t>c</t>
        </r>
        <r>
          <rPr>
            <sz val="10"/>
            <color indexed="81"/>
            <rFont val="Tahoma"/>
            <family val="2"/>
          </rPr>
          <t xml:space="preserve"> - 4000)/1000) 
Minimum value = 0.65
</t>
        </r>
      </text>
    </comment>
  </commentList>
</comments>
</file>

<file path=xl/sharedStrings.xml><?xml version="1.0" encoding="utf-8"?>
<sst xmlns="http://schemas.openxmlformats.org/spreadsheetml/2006/main" count="471" uniqueCount="177">
  <si>
    <t>*h</t>
  </si>
  <si>
    <t>Stem:</t>
  </si>
  <si>
    <t xml:space="preserve">t = </t>
  </si>
  <si>
    <t xml:space="preserve">h = </t>
  </si>
  <si>
    <t>in</t>
  </si>
  <si>
    <t>ft</t>
  </si>
  <si>
    <t>Toe:</t>
  </si>
  <si>
    <t xml:space="preserve">w = </t>
  </si>
  <si>
    <t xml:space="preserve">EFP = </t>
  </si>
  <si>
    <t>Graphing:</t>
  </si>
  <si>
    <t>Base</t>
  </si>
  <si>
    <t>x</t>
  </si>
  <si>
    <t>y</t>
  </si>
  <si>
    <t>Stem</t>
  </si>
  <si>
    <t>Soil Height Above Ftg:</t>
  </si>
  <si>
    <t>Soil</t>
  </si>
  <si>
    <t>scale</t>
  </si>
  <si>
    <t>Loads:</t>
  </si>
  <si>
    <t xml:space="preserve">Soil (H) = </t>
  </si>
  <si>
    <t xml:space="preserve">soil wt. = </t>
  </si>
  <si>
    <t>pcf</t>
  </si>
  <si>
    <t>lbs/ft</t>
  </si>
  <si>
    <t xml:space="preserve">concrete wt. = </t>
  </si>
  <si>
    <t xml:space="preserve">Stem (V) = </t>
  </si>
  <si>
    <t>Type:</t>
  </si>
  <si>
    <t>H</t>
  </si>
  <si>
    <t>D</t>
  </si>
  <si>
    <t xml:space="preserve">Base (V) = </t>
  </si>
  <si>
    <t>Surcharge:</t>
  </si>
  <si>
    <t>psf</t>
  </si>
  <si>
    <t xml:space="preserve">plf/ft    = </t>
  </si>
  <si>
    <t>L</t>
  </si>
  <si>
    <t xml:space="preserve">Surcharge (H) = </t>
  </si>
  <si>
    <t xml:space="preserve">Surcharge (V) = </t>
  </si>
  <si>
    <t>Stabiliity:</t>
  </si>
  <si>
    <t xml:space="preserve">F.S. = </t>
  </si>
  <si>
    <t xml:space="preserve">coeff. Friction = </t>
  </si>
  <si>
    <t>e' =</t>
  </si>
  <si>
    <t xml:space="preserve">e = </t>
  </si>
  <si>
    <t>lbs</t>
  </si>
  <si>
    <t xml:space="preserve">Passive = </t>
  </si>
  <si>
    <t xml:space="preserve">Passive (H) = </t>
  </si>
  <si>
    <t>ft (y)</t>
  </si>
  <si>
    <t>ft (x)</t>
  </si>
  <si>
    <t>Soil Pressures:</t>
  </si>
  <si>
    <t xml:space="preserve">qallow = </t>
  </si>
  <si>
    <t>Key:</t>
  </si>
  <si>
    <t>key</t>
  </si>
  <si>
    <t>soil h</t>
  </si>
  <si>
    <t>soil v</t>
  </si>
  <si>
    <t>stem v</t>
  </si>
  <si>
    <t>base v</t>
  </si>
  <si>
    <t>sur h</t>
  </si>
  <si>
    <t>sur v</t>
  </si>
  <si>
    <t>pass h</t>
  </si>
  <si>
    <t xml:space="preserve">Key (V) = </t>
  </si>
  <si>
    <t>key v</t>
  </si>
  <si>
    <t>Heel (under soil):</t>
  </si>
  <si>
    <t>pressure:</t>
  </si>
  <si>
    <t>ft(y)</t>
  </si>
  <si>
    <t xml:space="preserve">User 1 (H) = </t>
  </si>
  <si>
    <t xml:space="preserve">User 2 (H) = </t>
  </si>
  <si>
    <t>u_1</t>
  </si>
  <si>
    <t>u_2</t>
  </si>
  <si>
    <t>W</t>
  </si>
  <si>
    <t xml:space="preserve">Soil (V) = </t>
  </si>
  <si>
    <t>Element Design Forces:</t>
  </si>
  <si>
    <t>Stem - Moments</t>
  </si>
  <si>
    <t>Ultimate:</t>
  </si>
  <si>
    <t>16-2</t>
  </si>
  <si>
    <t>16-6</t>
  </si>
  <si>
    <t>Basic:</t>
  </si>
  <si>
    <t>16-9</t>
  </si>
  <si>
    <t>16-12</t>
  </si>
  <si>
    <t>16-13</t>
  </si>
  <si>
    <t>Stem - Shear</t>
  </si>
  <si>
    <t>qall</t>
  </si>
  <si>
    <t>Key -  Moment</t>
  </si>
  <si>
    <t>Key - Shear</t>
  </si>
  <si>
    <t>ft-lbs/ft</t>
  </si>
  <si>
    <t xml:space="preserve">Basic: </t>
  </si>
  <si>
    <r>
      <rPr>
        <sz val="9"/>
        <color theme="1"/>
        <rFont val="Calibri"/>
        <family val="2"/>
      </rPr>
      <t>Σ</t>
    </r>
    <r>
      <rPr>
        <sz val="9"/>
        <color theme="1"/>
        <rFont val="Calibri"/>
        <family val="2"/>
        <scheme val="minor"/>
      </rPr>
      <t xml:space="preserve">V = </t>
    </r>
  </si>
  <si>
    <r>
      <t>M</t>
    </r>
    <r>
      <rPr>
        <vertAlign val="subscript"/>
        <sz val="9"/>
        <color theme="1"/>
        <rFont val="Calibri"/>
        <family val="2"/>
        <scheme val="minor"/>
      </rPr>
      <t>overturning</t>
    </r>
    <r>
      <rPr>
        <sz val="9"/>
        <color theme="1"/>
        <rFont val="Calibri"/>
        <family val="2"/>
        <scheme val="minor"/>
      </rPr>
      <t xml:space="preserve"> = </t>
    </r>
  </si>
  <si>
    <r>
      <t>M</t>
    </r>
    <r>
      <rPr>
        <vertAlign val="subscript"/>
        <sz val="9"/>
        <color theme="1"/>
        <rFont val="Calibri"/>
        <family val="2"/>
        <scheme val="minor"/>
      </rPr>
      <t>resisting</t>
    </r>
    <r>
      <rPr>
        <sz val="9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</si>
  <si>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9"/>
        <color theme="1"/>
        <rFont val="Calibri"/>
        <family val="2"/>
        <scheme val="minor"/>
      </rPr>
      <t>sliding</t>
    </r>
    <r>
      <rPr>
        <sz val="9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</si>
  <si>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9"/>
        <color theme="1"/>
        <rFont val="Calibri"/>
        <family val="2"/>
        <scheme val="minor"/>
      </rPr>
      <t>resisting</t>
    </r>
    <r>
      <rPr>
        <sz val="9"/>
        <color theme="1"/>
        <rFont val="Calibri"/>
        <family val="2"/>
        <scheme val="minor"/>
      </rPr>
      <t xml:space="preserve"> = </t>
    </r>
  </si>
  <si>
    <r>
      <t>q</t>
    </r>
    <r>
      <rPr>
        <vertAlign val="subscript"/>
        <sz val="9"/>
        <color theme="1"/>
        <rFont val="Calibri"/>
        <family val="2"/>
        <scheme val="minor"/>
      </rPr>
      <t>toe(0,0)</t>
    </r>
    <r>
      <rPr>
        <sz val="9"/>
        <color theme="1"/>
        <rFont val="Calibri"/>
        <family val="2"/>
        <scheme val="minor"/>
      </rPr>
      <t xml:space="preserve"> = </t>
    </r>
  </si>
  <si>
    <r>
      <t>q</t>
    </r>
    <r>
      <rPr>
        <vertAlign val="subscript"/>
        <sz val="9"/>
        <color theme="1"/>
        <rFont val="Calibri"/>
        <family val="2"/>
        <scheme val="minor"/>
      </rPr>
      <t>heel</t>
    </r>
    <r>
      <rPr>
        <sz val="9"/>
        <color theme="1"/>
        <rFont val="Calibri"/>
        <family val="2"/>
        <scheme val="minor"/>
      </rPr>
      <t xml:space="preserve"> = </t>
    </r>
  </si>
  <si>
    <t>ft-lbs</t>
  </si>
  <si>
    <t>L.F.</t>
  </si>
  <si>
    <t xml:space="preserve">Foundation </t>
  </si>
  <si>
    <t xml:space="preserve">plf/ft   </t>
  </si>
  <si>
    <t xml:space="preserve">plf/ft </t>
  </si>
  <si>
    <t>plf/ft</t>
  </si>
  <si>
    <r>
      <t>q</t>
    </r>
    <r>
      <rPr>
        <vertAlign val="subscript"/>
        <sz val="9"/>
        <color theme="1"/>
        <rFont val="Calibri"/>
        <family val="2"/>
        <scheme val="minor"/>
      </rPr>
      <t>u,heel</t>
    </r>
    <r>
      <rPr>
        <sz val="9"/>
        <color theme="1"/>
        <rFont val="Calibri"/>
        <family val="2"/>
        <scheme val="minor"/>
      </rPr>
      <t xml:space="preserve"> = </t>
    </r>
  </si>
  <si>
    <r>
      <t>q</t>
    </r>
    <r>
      <rPr>
        <vertAlign val="subscript"/>
        <sz val="9"/>
        <color theme="1"/>
        <rFont val="Calibri"/>
        <family val="2"/>
        <scheme val="minor"/>
      </rPr>
      <t>u,toe(0,0)</t>
    </r>
    <r>
      <rPr>
        <sz val="9"/>
        <color theme="1"/>
        <rFont val="Calibri"/>
        <family val="2"/>
        <scheme val="minor"/>
      </rPr>
      <t xml:space="preserve"> = </t>
    </r>
  </si>
  <si>
    <r>
      <t>q</t>
    </r>
    <r>
      <rPr>
        <vertAlign val="subscript"/>
        <sz val="11"/>
        <color theme="1"/>
        <rFont val="Calibri"/>
        <family val="2"/>
        <scheme val="minor"/>
      </rPr>
      <t>u toe face</t>
    </r>
  </si>
  <si>
    <r>
      <t>q</t>
    </r>
    <r>
      <rPr>
        <vertAlign val="subscript"/>
        <sz val="11"/>
        <color theme="1"/>
        <rFont val="Calibri"/>
        <family val="2"/>
        <scheme val="minor"/>
      </rPr>
      <t>u heel face</t>
    </r>
  </si>
  <si>
    <r>
      <t>V</t>
    </r>
    <r>
      <rPr>
        <vertAlign val="subscript"/>
        <sz val="9"/>
        <color theme="1"/>
        <rFont val="Calibri"/>
        <family val="2"/>
        <scheme val="minor"/>
      </rPr>
      <t>u pressure toe</t>
    </r>
  </si>
  <si>
    <r>
      <t>V</t>
    </r>
    <r>
      <rPr>
        <vertAlign val="subscript"/>
        <sz val="9"/>
        <color theme="1"/>
        <rFont val="Calibri"/>
        <family val="2"/>
        <scheme val="minor"/>
      </rPr>
      <t>u pressure heel</t>
    </r>
  </si>
  <si>
    <t>Element Designs:</t>
  </si>
  <si>
    <t xml:space="preserve">f'c = </t>
  </si>
  <si>
    <t>psi</t>
  </si>
  <si>
    <t xml:space="preserve">cover  = </t>
  </si>
  <si>
    <t xml:space="preserve">d = </t>
  </si>
  <si>
    <t>Bar # :</t>
  </si>
  <si>
    <t xml:space="preserve">Ag/ft = </t>
  </si>
  <si>
    <t>in2</t>
  </si>
  <si>
    <t xml:space="preserve">As,min = </t>
  </si>
  <si>
    <t># Bars/ft =</t>
  </si>
  <si>
    <t xml:space="preserve">spacing = </t>
  </si>
  <si>
    <t>in O.C.</t>
  </si>
  <si>
    <t>Minimum Horizontal Reinforcement :</t>
  </si>
  <si>
    <t>Vertical Reinforcement</t>
  </si>
  <si>
    <t>spacing:</t>
  </si>
  <si>
    <t xml:space="preserve">As/ft = </t>
  </si>
  <si>
    <t>as</t>
  </si>
  <si>
    <t>dia.</t>
  </si>
  <si>
    <t xml:space="preserve">fy = </t>
  </si>
  <si>
    <t xml:space="preserve">a = </t>
  </si>
  <si>
    <t xml:space="preserve">in-lbs = </t>
  </si>
  <si>
    <r>
      <t>0.5*</t>
    </r>
    <r>
      <rPr>
        <sz val="9"/>
        <color theme="1"/>
        <rFont val="Calibri"/>
        <family val="2"/>
      </rPr>
      <t>ɸVc</t>
    </r>
    <r>
      <rPr>
        <sz val="9"/>
        <color theme="1"/>
        <rFont val="Calibri"/>
        <family val="2"/>
        <scheme val="minor"/>
      </rPr>
      <t xml:space="preserve"> = </t>
    </r>
  </si>
  <si>
    <r>
      <t xml:space="preserve">Flexure:    </t>
    </r>
    <r>
      <rPr>
        <sz val="9"/>
        <color theme="1"/>
        <rFont val="Calibri"/>
        <family val="2"/>
      </rPr>
      <t>ɸ</t>
    </r>
    <r>
      <rPr>
        <sz val="9"/>
        <color theme="1"/>
        <rFont val="Calibri"/>
        <family val="2"/>
        <scheme val="minor"/>
      </rPr>
      <t xml:space="preserve">Mn = </t>
    </r>
  </si>
  <si>
    <r>
      <t xml:space="preserve">Shear:     </t>
    </r>
    <r>
      <rPr>
        <sz val="9"/>
        <color theme="1"/>
        <rFont val="Calibri"/>
        <family val="2"/>
      </rPr>
      <t>ɸVc</t>
    </r>
    <r>
      <rPr>
        <sz val="9"/>
        <color theme="1"/>
        <rFont val="Calibri"/>
        <family val="2"/>
        <scheme val="minor"/>
      </rPr>
      <t xml:space="preserve"> = </t>
    </r>
  </si>
  <si>
    <t>Toe</t>
  </si>
  <si>
    <t>Main Reinforcement</t>
  </si>
  <si>
    <r>
      <t>in2 = A</t>
    </r>
    <r>
      <rPr>
        <vertAlign val="subscript"/>
        <sz val="9"/>
        <color theme="1"/>
        <rFont val="Calibri"/>
        <family val="2"/>
        <scheme val="minor"/>
      </rPr>
      <t>s,min</t>
    </r>
  </si>
  <si>
    <t>Heel</t>
  </si>
  <si>
    <r>
      <t>β</t>
    </r>
    <r>
      <rPr>
        <vertAlign val="subscript"/>
        <sz val="8"/>
        <rFont val="Arial"/>
        <family val="2"/>
      </rPr>
      <t>1</t>
    </r>
    <r>
      <rPr>
        <sz val="8"/>
        <rFont val="Arial"/>
        <family val="2"/>
      </rPr>
      <t xml:space="preserve"> = </t>
    </r>
  </si>
  <si>
    <t xml:space="preserve">pt = </t>
  </si>
  <si>
    <t xml:space="preserve">p = </t>
  </si>
  <si>
    <t>pt</t>
  </si>
  <si>
    <t>Key</t>
  </si>
  <si>
    <t>Element Status:</t>
  </si>
  <si>
    <t>Stability Status:</t>
  </si>
  <si>
    <r>
      <t>M</t>
    </r>
    <r>
      <rPr>
        <vertAlign val="subscript"/>
        <sz val="9"/>
        <color theme="1"/>
        <rFont val="Calibri"/>
        <family val="2"/>
        <scheme val="minor"/>
      </rPr>
      <t>u,toe</t>
    </r>
    <r>
      <rPr>
        <sz val="9"/>
        <color theme="1"/>
        <rFont val="Calibri"/>
        <family val="2"/>
        <scheme val="minor"/>
      </rPr>
      <t xml:space="preserve"> = </t>
    </r>
  </si>
  <si>
    <r>
      <t>M</t>
    </r>
    <r>
      <rPr>
        <vertAlign val="subscript"/>
        <sz val="9"/>
        <color theme="1"/>
        <rFont val="Calibri"/>
        <family val="2"/>
        <scheme val="minor"/>
      </rPr>
      <t>u,heel</t>
    </r>
    <r>
      <rPr>
        <sz val="9"/>
        <color theme="1"/>
        <rFont val="Calibri"/>
        <family val="2"/>
        <scheme val="minor"/>
      </rPr>
      <t xml:space="preserve"> = </t>
    </r>
  </si>
  <si>
    <r>
      <t>V</t>
    </r>
    <r>
      <rPr>
        <vertAlign val="subscript"/>
        <sz val="9"/>
        <color theme="1"/>
        <rFont val="Calibri"/>
        <family val="2"/>
        <scheme val="minor"/>
      </rPr>
      <t>u,toe</t>
    </r>
    <r>
      <rPr>
        <sz val="9"/>
        <color theme="1"/>
        <rFont val="Calibri"/>
        <family val="2"/>
        <scheme val="minor"/>
      </rPr>
      <t xml:space="preserve"> = </t>
    </r>
  </si>
  <si>
    <r>
      <t>V</t>
    </r>
    <r>
      <rPr>
        <vertAlign val="subscript"/>
        <sz val="9"/>
        <color theme="1"/>
        <rFont val="Calibri"/>
        <family val="2"/>
        <scheme val="minor"/>
      </rPr>
      <t>u,heel</t>
    </r>
    <r>
      <rPr>
        <sz val="9"/>
        <color theme="1"/>
        <rFont val="Calibri"/>
        <family val="2"/>
        <scheme val="minor"/>
      </rPr>
      <t xml:space="preserve"> = </t>
    </r>
  </si>
  <si>
    <t>Equivalent Fluid Pressure Retaining wall analysis and Concrete wall checks:</t>
  </si>
  <si>
    <t>Overal Status</t>
  </si>
  <si>
    <t>Soil Toe</t>
  </si>
  <si>
    <t>Soil Over Toe(passive):</t>
  </si>
  <si>
    <t>0,0</t>
  </si>
  <si>
    <t xml:space="preserve">Soil Toe (V) = </t>
  </si>
  <si>
    <t>soil_toe</t>
  </si>
  <si>
    <t xml:space="preserve">equiv. Ka = </t>
  </si>
  <si>
    <t xml:space="preserve">Sm = </t>
  </si>
  <si>
    <t xml:space="preserve">Mn = </t>
  </si>
  <si>
    <t xml:space="preserve">Vn = </t>
  </si>
  <si>
    <t>As Plain Concrete:</t>
  </si>
  <si>
    <r>
      <t>in</t>
    </r>
    <r>
      <rPr>
        <vertAlign val="superscript"/>
        <sz val="9"/>
        <color theme="1"/>
        <rFont val="Calibri"/>
        <family val="2"/>
        <scheme val="minor"/>
      </rPr>
      <t>3</t>
    </r>
  </si>
  <si>
    <t>Mo</t>
  </si>
  <si>
    <t>Mr</t>
  </si>
  <si>
    <t>BSD 3-Clause License</t>
  </si>
  <si>
    <t>Copyright (c) 2020, open-struct-engineer</t>
  </si>
  <si>
    <t>All rights reserved.</t>
  </si>
  <si>
    <t>Redistribution and use in source and binary forms, with or without</t>
  </si>
  <si>
    <t>modification, are permitted provided that the following conditions are met:</t>
  </si>
  <si>
    <t>1. Redistributions of source code must retain the above copyright notice, this</t>
  </si>
  <si>
    <t>list of conditions and the following disclaimer.</t>
  </si>
  <si>
    <t>2. Redistributions in binary form must reproduce the above copyright notice,</t>
  </si>
  <si>
    <t>this list of conditions and the following disclaimer in the documentation</t>
  </si>
  <si>
    <t>and/or other materials provided with the distribution.</t>
  </si>
  <si>
    <t>3. Neither the name of the copyright holder nor the names of its</t>
  </si>
  <si>
    <t>contributors may be used to endorse or promote products derived from</t>
  </si>
  <si>
    <t>this software without specific prior written permission.</t>
  </si>
  <si>
    <t>THIS SOFTWARE IS PROVIDED BY THE COPYRIGHT HOLDERS AND CONTRIBUTORS "AS IS"</t>
  </si>
  <si>
    <t>AND ANY EXPRESS OR IMPLIED WARRANTIES, INCLUDING, BUT NOT LIMITED TO, THE</t>
  </si>
  <si>
    <t>IMPLIED WARRANTIES OF MERCHANTABILITY AND FITNESS FOR A PARTICULAR PURPOSE ARE</t>
  </si>
  <si>
    <t>DISCLAIMED. IN NO EVENT SHALL THE COPYRIGHT HOLDER OR CONTRIBUTORS BE LIABLE</t>
  </si>
  <si>
    <t>FOR ANY DIRECT, INDIRECT, INCIDENTAL, SPECIAL, EXEMPLARY, OR CONSEQUENTIAL</t>
  </si>
  <si>
    <t>DAMAGES (INCLUDING, BUT NOT LIMITED TO, PROCUREMENT OF SUBSTITUTE GOODS OR</t>
  </si>
  <si>
    <t>SERVICES; LOSS OF USE, DATA, OR PROFITS; OR BUSINESS INTERRUPTION) HOWEVER</t>
  </si>
  <si>
    <t>CAUSED AND ON ANY THEORY OF LIABILITY, WHETHER IN CONTRACT, STRICT LIABILITY,</t>
  </si>
  <si>
    <t>OR TORT (INCLUDING NEGLIGENCE OR OTHERWISE) ARISING IN ANY WAY OUT OF THE USE</t>
  </si>
  <si>
    <t>OF THIS SOFTWARE, EVEN IF ADVISED OF THE POSSIBILITY OF SUCH DAMAGE.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</si>
</sst>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Arial"/>
      <family val="2"/>
    </font>
    <font>
      <vertAlign val="subscript"/>
      <sz val="8"/>
      <name val="Arial"/>
      <family val="2"/>
    </font>
    <font>
      <sz val="8"/>
      <color indexed="63"/>
      <name val="Arial"/>
      <family val="2"/>
    </font>
    <font>
      <u/>
      <sz val="10"/>
      <color indexed="81"/>
      <name val="Tahoma"/>
      <family val="2"/>
    </font>
    <font>
      <u/>
      <vertAlign val="subscript"/>
      <sz val="10"/>
      <color indexed="81"/>
      <name val="Tahoma"/>
      <family val="2"/>
    </font>
    <font>
      <sz val="10"/>
      <color indexed="81"/>
      <name val="Tahoma"/>
      <family val="2"/>
    </font>
    <font>
      <vertAlign val="subscript"/>
      <sz val="10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24292E"/>
      <name val="Consolas"/>
      <family val="3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9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1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/>
    </xf>
    <xf numFmtId="2" fontId="1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right" vertical="center"/>
    </xf>
    <xf numFmtId="2" fontId="11" fillId="14" borderId="0" xfId="0" applyNumberFormat="1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left"/>
    </xf>
    <xf numFmtId="0" fontId="0" fillId="15" borderId="3" xfId="0" applyFill="1" applyBorder="1"/>
    <xf numFmtId="0" fontId="0" fillId="15" borderId="4" xfId="0" applyFill="1" applyBorder="1"/>
    <xf numFmtId="0" fontId="3" fillId="15" borderId="5" xfId="0" applyFont="1" applyFill="1" applyBorder="1" applyAlignment="1">
      <alignment horizontal="right"/>
    </xf>
    <xf numFmtId="0" fontId="7" fillId="15" borderId="0" xfId="0" applyFont="1" applyFill="1" applyBorder="1" applyAlignment="1">
      <alignment horizontal="center"/>
    </xf>
    <xf numFmtId="0" fontId="0" fillId="15" borderId="0" xfId="0" applyFill="1" applyBorder="1"/>
    <xf numFmtId="0" fontId="0" fillId="15" borderId="6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3" fillId="14" borderId="2" xfId="0" applyFont="1" applyFill="1" applyBorder="1" applyAlignment="1">
      <alignment horizontal="left"/>
    </xf>
    <xf numFmtId="0" fontId="0" fillId="14" borderId="3" xfId="0" applyFill="1" applyBorder="1"/>
    <xf numFmtId="0" fontId="0" fillId="14" borderId="4" xfId="0" applyFill="1" applyBorder="1"/>
    <xf numFmtId="0" fontId="1" fillId="14" borderId="5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1" fillId="14" borderId="0" xfId="0" applyFont="1" applyFill="1" applyBorder="1"/>
    <xf numFmtId="0" fontId="1" fillId="14" borderId="0" xfId="0" applyFont="1" applyFill="1" applyBorder="1" applyAlignment="1">
      <alignment horizontal="right"/>
    </xf>
    <xf numFmtId="0" fontId="1" fillId="14" borderId="0" xfId="0" applyFont="1" applyFill="1" applyBorder="1" applyAlignment="1">
      <alignment horizontal="center"/>
    </xf>
    <xf numFmtId="0" fontId="0" fillId="14" borderId="0" xfId="0" applyFill="1" applyBorder="1"/>
    <xf numFmtId="0" fontId="0" fillId="14" borderId="6" xfId="0" applyFill="1" applyBorder="1"/>
    <xf numFmtId="165" fontId="1" fillId="14" borderId="0" xfId="0" applyNumberFormat="1" applyFont="1" applyFill="1" applyBorder="1" applyAlignment="1">
      <alignment horizontal="center"/>
    </xf>
    <xf numFmtId="164" fontId="1" fillId="14" borderId="0" xfId="0" applyNumberFormat="1" applyFont="1" applyFill="1" applyBorder="1" applyAlignment="1">
      <alignment horizontal="center"/>
    </xf>
    <xf numFmtId="0" fontId="1" fillId="14" borderId="5" xfId="0" applyFont="1" applyFill="1" applyBorder="1"/>
    <xf numFmtId="0" fontId="1" fillId="14" borderId="6" xfId="0" applyFont="1" applyFill="1" applyBorder="1"/>
    <xf numFmtId="0" fontId="3" fillId="14" borderId="6" xfId="0" applyFont="1" applyFill="1" applyBorder="1"/>
    <xf numFmtId="2" fontId="1" fillId="14" borderId="0" xfId="0" applyNumberFormat="1" applyFont="1" applyFill="1" applyBorder="1" applyAlignment="1">
      <alignment horizontal="center"/>
    </xf>
    <xf numFmtId="2" fontId="1" fillId="14" borderId="0" xfId="0" applyNumberFormat="1" applyFont="1" applyFill="1" applyBorder="1"/>
    <xf numFmtId="0" fontId="1" fillId="14" borderId="7" xfId="0" applyFont="1" applyFill="1" applyBorder="1"/>
    <xf numFmtId="0" fontId="1" fillId="14" borderId="8" xfId="0" applyFont="1" applyFill="1" applyBorder="1"/>
    <xf numFmtId="0" fontId="1" fillId="14" borderId="9" xfId="0" applyFont="1" applyFill="1" applyBorder="1"/>
    <xf numFmtId="0" fontId="3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right"/>
    </xf>
    <xf numFmtId="0" fontId="1" fillId="0" borderId="0" xfId="0" applyFont="1" applyBorder="1"/>
    <xf numFmtId="0" fontId="1" fillId="0" borderId="6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165" fontId="1" fillId="0" borderId="0" xfId="0" applyNumberFormat="1" applyFont="1" applyBorder="1" applyAlignment="1">
      <alignment horizontal="center"/>
    </xf>
    <xf numFmtId="0" fontId="3" fillId="0" borderId="6" xfId="0" applyFont="1" applyBorder="1"/>
    <xf numFmtId="164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14" borderId="3" xfId="0" applyFont="1" applyFill="1" applyBorder="1"/>
    <xf numFmtId="0" fontId="1" fillId="14" borderId="4" xfId="0" applyFont="1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9" xfId="0" applyFill="1" applyBorder="1"/>
    <xf numFmtId="0" fontId="0" fillId="0" borderId="3" xfId="0" applyBorder="1"/>
    <xf numFmtId="0" fontId="0" fillId="0" borderId="4" xfId="0" applyBorder="1"/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/>
    <xf numFmtId="0" fontId="1" fillId="0" borderId="7" xfId="0" applyFont="1" applyBorder="1" applyAlignment="1">
      <alignment horizontal="right"/>
    </xf>
    <xf numFmtId="2" fontId="1" fillId="0" borderId="8" xfId="0" applyNumberFormat="1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2" fontId="1" fillId="0" borderId="0" xfId="0" applyNumberFormat="1" applyFont="1" applyBorder="1" applyAlignment="1">
      <alignment horizontal="center" vertical="center"/>
    </xf>
    <xf numFmtId="0" fontId="3" fillId="13" borderId="2" xfId="0" applyFont="1" applyFill="1" applyBorder="1"/>
    <xf numFmtId="0" fontId="1" fillId="13" borderId="3" xfId="0" applyFont="1" applyFill="1" applyBorder="1"/>
    <xf numFmtId="0" fontId="1" fillId="13" borderId="4" xfId="0" applyFont="1" applyFill="1" applyBorder="1"/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2" fillId="0" borderId="0" xfId="0" applyFont="1" applyBorder="1"/>
    <xf numFmtId="0" fontId="2" fillId="0" borderId="6" xfId="0" applyFont="1" applyBorder="1"/>
    <xf numFmtId="0" fontId="2" fillId="0" borderId="0" xfId="0" applyFont="1" applyBorder="1" applyAlignment="1">
      <alignment horizontal="right"/>
    </xf>
    <xf numFmtId="2" fontId="2" fillId="0" borderId="0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9" xfId="0" applyFont="1" applyBorder="1"/>
    <xf numFmtId="0" fontId="3" fillId="13" borderId="2" xfId="0" applyFont="1" applyFill="1" applyBorder="1" applyAlignment="1">
      <alignment horizontal="left"/>
    </xf>
    <xf numFmtId="0" fontId="6" fillId="13" borderId="3" xfId="0" applyFont="1" applyFill="1" applyBorder="1"/>
    <xf numFmtId="0" fontId="3" fillId="0" borderId="0" xfId="0" applyFont="1" applyBorder="1"/>
    <xf numFmtId="0" fontId="6" fillId="0" borderId="0" xfId="0" applyFont="1" applyBorder="1"/>
    <xf numFmtId="0" fontId="16" fillId="0" borderId="2" xfId="0" applyFont="1" applyBorder="1"/>
    <xf numFmtId="0" fontId="3" fillId="0" borderId="5" xfId="0" applyFont="1" applyBorder="1" applyAlignment="1">
      <alignment horizontal="left"/>
    </xf>
    <xf numFmtId="0" fontId="1" fillId="11" borderId="6" xfId="0" applyFont="1" applyFill="1" applyBorder="1"/>
    <xf numFmtId="0" fontId="1" fillId="0" borderId="0" xfId="0" applyFont="1" applyBorder="1" applyAlignment="1"/>
    <xf numFmtId="0" fontId="1" fillId="7" borderId="6" xfId="0" applyFont="1" applyFill="1" applyBorder="1"/>
    <xf numFmtId="0" fontId="1" fillId="8" borderId="6" xfId="0" applyFont="1" applyFill="1" applyBorder="1"/>
    <xf numFmtId="0" fontId="1" fillId="5" borderId="6" xfId="0" applyFont="1" applyFill="1" applyBorder="1"/>
    <xf numFmtId="0" fontId="1" fillId="9" borderId="6" xfId="0" applyFont="1" applyFill="1" applyBorder="1"/>
    <xf numFmtId="0" fontId="1" fillId="10" borderId="6" xfId="0" applyFont="1" applyFill="1" applyBorder="1"/>
    <xf numFmtId="0" fontId="1" fillId="3" borderId="6" xfId="0" applyFont="1" applyFill="1" applyBorder="1"/>
    <xf numFmtId="0" fontId="1" fillId="12" borderId="6" xfId="0" applyFont="1" applyFill="1" applyBorder="1"/>
    <xf numFmtId="0" fontId="1" fillId="4" borderId="6" xfId="0" applyFont="1" applyFill="1" applyBorder="1"/>
    <xf numFmtId="0" fontId="1" fillId="6" borderId="6" xfId="0" applyFont="1" applyFill="1" applyBorder="1"/>
    <xf numFmtId="0" fontId="3" fillId="13" borderId="10" xfId="0" applyFont="1" applyFill="1" applyBorder="1"/>
    <xf numFmtId="0" fontId="0" fillId="13" borderId="11" xfId="0" applyFill="1" applyBorder="1"/>
    <xf numFmtId="0" fontId="0" fillId="13" borderId="12" xfId="0" applyFill="1" applyBorder="1"/>
    <xf numFmtId="0" fontId="1" fillId="0" borderId="0" xfId="0" applyFont="1" applyBorder="1" applyAlignment="1">
      <alignment horizontal="center"/>
    </xf>
    <xf numFmtId="0" fontId="1" fillId="16" borderId="6" xfId="0" applyFont="1" applyFill="1" applyBorder="1"/>
    <xf numFmtId="0" fontId="3" fillId="0" borderId="3" xfId="0" applyFont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14" borderId="2" xfId="0" applyFont="1" applyFill="1" applyBorder="1" applyAlignment="1">
      <alignment horizontal="right"/>
    </xf>
    <xf numFmtId="0" fontId="1" fillId="14" borderId="7" xfId="0" applyFont="1" applyFill="1" applyBorder="1" applyAlignment="1">
      <alignment horizontal="right"/>
    </xf>
    <xf numFmtId="2" fontId="1" fillId="14" borderId="8" xfId="0" applyNumberFormat="1" applyFont="1" applyFill="1" applyBorder="1" applyAlignment="1">
      <alignment horizontal="center"/>
    </xf>
    <xf numFmtId="0" fontId="1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0" fillId="17" borderId="2" xfId="1" applyFont="1" applyFill="1" applyBorder="1" applyAlignment="1">
      <alignment vertical="top" wrapText="1" indent="1"/>
    </xf>
    <xf numFmtId="0" fontId="7" fillId="17" borderId="4" xfId="1" applyFont="1" applyFill="1" applyBorder="1"/>
    <xf numFmtId="0" fontId="19" fillId="0" borderId="0" xfId="1"/>
    <xf numFmtId="0" fontId="20" fillId="17" borderId="5" xfId="1" applyFont="1" applyFill="1" applyBorder="1" applyAlignment="1">
      <alignment horizontal="right" vertical="top" indent="1"/>
    </xf>
    <xf numFmtId="0" fontId="20" fillId="17" borderId="6" xfId="1" applyFont="1" applyFill="1" applyBorder="1" applyAlignment="1">
      <alignment vertical="top" wrapText="1" indent="1"/>
    </xf>
    <xf numFmtId="0" fontId="7" fillId="17" borderId="7" xfId="1" applyFont="1" applyFill="1" applyBorder="1"/>
    <xf numFmtId="0" fontId="7" fillId="17" borderId="9" xfId="1" applyFont="1" applyFill="1" applyBorder="1"/>
  </cellXfs>
  <cellStyles count="2">
    <cellStyle name="Normal" xfId="0" builtinId="0"/>
    <cellStyle name="Normal 2" xfId="1" xr:uid="{4E302C8A-146D-411A-AD8C-7CA13776F0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983508245877063E-2"/>
          <c:y val="3.4108527131782945E-2"/>
          <c:w val="0.93403298350824593"/>
          <c:h val="0.92248062015503873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EFP!$Q$4:$Q$8</c:f>
              <c:numCache>
                <c:formatCode>General</c:formatCode>
                <c:ptCount val="5"/>
                <c:pt idx="0">
                  <c:v>0</c:v>
                </c:pt>
                <c:pt idx="1">
                  <c:v>59.36</c:v>
                </c:pt>
                <c:pt idx="2">
                  <c:v>59.36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EFP!$R$4:$R$8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18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2-4F61-A486-7872347B3BF4}"/>
            </c:ext>
          </c:extLst>
        </c:ser>
        <c:ser>
          <c:idx val="1"/>
          <c:order val="1"/>
          <c:tx>
            <c:v>Stem</c:v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EFP!$S$4:$S$8</c:f>
              <c:numCache>
                <c:formatCode>General</c:formatCode>
                <c:ptCount val="5"/>
                <c:pt idx="0">
                  <c:v>3.3600000000000003</c:v>
                </c:pt>
                <c:pt idx="1">
                  <c:v>11.36</c:v>
                </c:pt>
                <c:pt idx="2">
                  <c:v>11.36</c:v>
                </c:pt>
                <c:pt idx="3">
                  <c:v>3.3600000000000003</c:v>
                </c:pt>
                <c:pt idx="4">
                  <c:v>3.3600000000000003</c:v>
                </c:pt>
              </c:numCache>
            </c:numRef>
          </c:xVal>
          <c:yVal>
            <c:numRef>
              <c:f>EFP!$T$4:$T$8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138.39599999999999</c:v>
                </c:pt>
                <c:pt idx="3">
                  <c:v>138.39599999999999</c:v>
                </c:pt>
                <c:pt idx="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2-4F61-A486-7872347B3BF4}"/>
            </c:ext>
          </c:extLst>
        </c:ser>
        <c:ser>
          <c:idx val="2"/>
          <c:order val="2"/>
          <c:tx>
            <c:v>Soil</c:v>
          </c:tx>
          <c:spPr>
            <a:ln w="190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EFP!$U$4:$U$8</c:f>
              <c:numCache>
                <c:formatCode>General</c:formatCode>
                <c:ptCount val="5"/>
                <c:pt idx="0">
                  <c:v>11.36</c:v>
                </c:pt>
                <c:pt idx="1">
                  <c:v>59.36</c:v>
                </c:pt>
                <c:pt idx="2">
                  <c:v>59.36</c:v>
                </c:pt>
                <c:pt idx="3">
                  <c:v>11.36</c:v>
                </c:pt>
                <c:pt idx="4">
                  <c:v>11.36</c:v>
                </c:pt>
              </c:numCache>
            </c:numRef>
          </c:xVal>
          <c:yVal>
            <c:numRef>
              <c:f>EFP!$V$4:$V$8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39.995999999999995</c:v>
                </c:pt>
                <c:pt idx="3">
                  <c:v>39.995999999999995</c:v>
                </c:pt>
                <c:pt idx="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2-4F61-A486-7872347B3BF4}"/>
            </c:ext>
          </c:extLst>
        </c:ser>
        <c:ser>
          <c:idx val="3"/>
          <c:order val="3"/>
          <c:tx>
            <c:v>scale</c:v>
          </c:tx>
          <c:spPr>
            <a:ln>
              <a:noFill/>
            </a:ln>
          </c:spPr>
          <c:marker>
            <c:symbol val="none"/>
          </c:marker>
          <c:xVal>
            <c:numRef>
              <c:f>EFP!$W$4:$W$5</c:f>
              <c:numCache>
                <c:formatCode>General</c:formatCode>
                <c:ptCount val="2"/>
                <c:pt idx="0">
                  <c:v>0</c:v>
                </c:pt>
                <c:pt idx="1">
                  <c:v>138.39599999999999</c:v>
                </c:pt>
              </c:numCache>
            </c:numRef>
          </c:xVal>
          <c:yVal>
            <c:numRef>
              <c:f>EFP!$X$4:$X$5</c:f>
              <c:numCache>
                <c:formatCode>General</c:formatCode>
                <c:ptCount val="2"/>
                <c:pt idx="0">
                  <c:v>0</c:v>
                </c:pt>
                <c:pt idx="1">
                  <c:v>138.39599999999999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82-4F61-A486-7872347B3BF4}"/>
            </c:ext>
          </c:extLst>
        </c:ser>
        <c:ser>
          <c:idx val="4"/>
          <c:order val="4"/>
          <c:tx>
            <c:v>Key</c:v>
          </c:tx>
          <c:marker>
            <c:symbol val="none"/>
          </c:marker>
          <c:xVal>
            <c:numRef>
              <c:f>EFP!$O$4:$O$8</c:f>
              <c:numCache>
                <c:formatCode>General</c:formatCode>
                <c:ptCount val="5"/>
                <c:pt idx="0">
                  <c:v>3.3600000000000003</c:v>
                </c:pt>
                <c:pt idx="1">
                  <c:v>3.3600000000000003</c:v>
                </c:pt>
                <c:pt idx="2">
                  <c:v>3.3600000000000003</c:v>
                </c:pt>
                <c:pt idx="3">
                  <c:v>3.3600000000000003</c:v>
                </c:pt>
                <c:pt idx="4">
                  <c:v>3.3600000000000003</c:v>
                </c:pt>
              </c:numCache>
            </c:numRef>
          </c:xVal>
          <c:yVal>
            <c:numRef>
              <c:f>EFP!$P$4:$P$8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82-4F61-A486-7872347B3BF4}"/>
            </c:ext>
          </c:extLst>
        </c:ser>
        <c:ser>
          <c:idx val="5"/>
          <c:order val="5"/>
          <c:tx>
            <c:v>soil_h</c:v>
          </c:tx>
          <c:spPr>
            <a:ln w="25400">
              <a:solidFill>
                <a:schemeClr val="accent6"/>
              </a:solidFill>
              <a:headEnd type="stealth"/>
            </a:ln>
          </c:spPr>
          <c:marker>
            <c:symbol val="none"/>
          </c:marker>
          <c:xVal>
            <c:numRef>
              <c:f>EFP!$O$13:$O$14</c:f>
              <c:numCache>
                <c:formatCode>General</c:formatCode>
                <c:ptCount val="2"/>
                <c:pt idx="0">
                  <c:v>59.36</c:v>
                </c:pt>
                <c:pt idx="1">
                  <c:v>83.36</c:v>
                </c:pt>
              </c:numCache>
            </c:numRef>
          </c:xVal>
          <c:yVal>
            <c:numRef>
              <c:f>EFP!$P$13:$P$14</c:f>
              <c:numCache>
                <c:formatCode>0.000</c:formatCode>
                <c:ptCount val="2"/>
                <c:pt idx="0">
                  <c:v>13.332000000000001</c:v>
                </c:pt>
                <c:pt idx="1">
                  <c:v>13.332000000000001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82-4F61-A486-7872347B3BF4}"/>
            </c:ext>
          </c:extLst>
        </c:ser>
        <c:ser>
          <c:idx val="6"/>
          <c:order val="6"/>
          <c:tx>
            <c:v>soil_v</c:v>
          </c:tx>
          <c:spPr>
            <a:ln>
              <a:solidFill>
                <a:schemeClr val="accent5"/>
              </a:solidFill>
              <a:headEnd type="stealth"/>
            </a:ln>
          </c:spPr>
          <c:marker>
            <c:symbol val="none"/>
          </c:marker>
          <c:xVal>
            <c:numRef>
              <c:f>EFP!$O$17:$O$18</c:f>
              <c:numCache>
                <c:formatCode>0.000</c:formatCode>
                <c:ptCount val="2"/>
                <c:pt idx="0">
                  <c:v>35.36</c:v>
                </c:pt>
                <c:pt idx="1">
                  <c:v>35.36</c:v>
                </c:pt>
              </c:numCache>
            </c:numRef>
          </c:xVal>
          <c:yVal>
            <c:numRef>
              <c:f>EFP!$P$17:$P$18</c:f>
              <c:numCache>
                <c:formatCode>General</c:formatCode>
                <c:ptCount val="2"/>
                <c:pt idx="0">
                  <c:v>18</c:v>
                </c:pt>
                <c:pt idx="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82-4F61-A486-7872347B3BF4}"/>
            </c:ext>
          </c:extLst>
        </c:ser>
        <c:ser>
          <c:idx val="7"/>
          <c:order val="7"/>
          <c:tx>
            <c:v>stem_v</c:v>
          </c:tx>
          <c:spPr>
            <a:ln>
              <a:solidFill>
                <a:schemeClr val="accent4"/>
              </a:solidFill>
              <a:headEnd type="stealth"/>
            </a:ln>
          </c:spPr>
          <c:marker>
            <c:symbol val="none"/>
          </c:marker>
          <c:xVal>
            <c:numRef>
              <c:f>EFP!$O$21:$O$22</c:f>
              <c:numCache>
                <c:formatCode>General</c:formatCode>
                <c:ptCount val="2"/>
                <c:pt idx="0">
                  <c:v>7.3599999999999994</c:v>
                </c:pt>
                <c:pt idx="1">
                  <c:v>7.3599999999999994</c:v>
                </c:pt>
              </c:numCache>
            </c:numRef>
          </c:xVal>
          <c:yVal>
            <c:numRef>
              <c:f>EFP!$P$21:$P$22</c:f>
              <c:numCache>
                <c:formatCode>General</c:formatCode>
                <c:ptCount val="2"/>
                <c:pt idx="0">
                  <c:v>18</c:v>
                </c:pt>
                <c:pt idx="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82-4F61-A486-7872347B3BF4}"/>
            </c:ext>
          </c:extLst>
        </c:ser>
        <c:ser>
          <c:idx val="8"/>
          <c:order val="8"/>
          <c:tx>
            <c:v>base_v</c:v>
          </c:tx>
          <c:spPr>
            <a:ln w="25400">
              <a:solidFill>
                <a:schemeClr val="accent3"/>
              </a:solidFill>
              <a:headEnd type="stealth"/>
            </a:ln>
          </c:spPr>
          <c:marker>
            <c:symbol val="none"/>
          </c:marker>
          <c:xVal>
            <c:numRef>
              <c:f>EFP!$O$25:$O$26</c:f>
              <c:numCache>
                <c:formatCode>General</c:formatCode>
                <c:ptCount val="2"/>
                <c:pt idx="0">
                  <c:v>29.680000000000003</c:v>
                </c:pt>
                <c:pt idx="1">
                  <c:v>29.680000000000003</c:v>
                </c:pt>
              </c:numCache>
            </c:numRef>
          </c:xVal>
          <c:yVal>
            <c:numRef>
              <c:f>EFP!$P$25:$P$26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82-4F61-A486-7872347B3BF4}"/>
            </c:ext>
          </c:extLst>
        </c:ser>
        <c:ser>
          <c:idx val="9"/>
          <c:order val="9"/>
          <c:tx>
            <c:v>sur_h</c:v>
          </c:tx>
          <c:spPr>
            <a:ln w="25400">
              <a:solidFill>
                <a:schemeClr val="accent2"/>
              </a:solidFill>
              <a:headEnd type="stealth"/>
            </a:ln>
          </c:spPr>
          <c:marker>
            <c:symbol val="none"/>
          </c:marker>
          <c:xVal>
            <c:numRef>
              <c:f>EFP!$O$29:$O$30</c:f>
              <c:numCache>
                <c:formatCode>General</c:formatCode>
                <c:ptCount val="2"/>
                <c:pt idx="0">
                  <c:v>59.36</c:v>
                </c:pt>
                <c:pt idx="1">
                  <c:v>83.36</c:v>
                </c:pt>
              </c:numCache>
            </c:numRef>
          </c:xVal>
          <c:yVal>
            <c:numRef>
              <c:f>EFP!$P$29:$P$30</c:f>
              <c:numCache>
                <c:formatCode>General</c:formatCode>
                <c:ptCount val="2"/>
                <c:pt idx="0">
                  <c:v>19.998000000000001</c:v>
                </c:pt>
                <c:pt idx="1">
                  <c:v>19.998000000000001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582-4F61-A486-7872347B3BF4}"/>
            </c:ext>
          </c:extLst>
        </c:ser>
        <c:ser>
          <c:idx val="10"/>
          <c:order val="10"/>
          <c:tx>
            <c:v>sur_v</c:v>
          </c:tx>
          <c:spPr>
            <a:ln w="25400">
              <a:solidFill>
                <a:schemeClr val="accent1"/>
              </a:solidFill>
              <a:headEnd type="stealth"/>
            </a:ln>
          </c:spPr>
          <c:marker>
            <c:symbol val="none"/>
          </c:marker>
          <c:xVal>
            <c:numRef>
              <c:f>EFP!$O$34:$O$35</c:f>
              <c:numCache>
                <c:formatCode>General</c:formatCode>
                <c:ptCount val="2"/>
                <c:pt idx="0">
                  <c:v>35.36</c:v>
                </c:pt>
                <c:pt idx="1">
                  <c:v>35.36</c:v>
                </c:pt>
              </c:numCache>
            </c:numRef>
          </c:xVal>
          <c:yVal>
            <c:numRef>
              <c:f>EFP!$P$34:$P$35</c:f>
              <c:numCache>
                <c:formatCode>General</c:formatCode>
                <c:ptCount val="2"/>
                <c:pt idx="0">
                  <c:v>42</c:v>
                </c:pt>
                <c:pt idx="1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82-4F61-A486-7872347B3BF4}"/>
            </c:ext>
          </c:extLst>
        </c:ser>
        <c:ser>
          <c:idx val="11"/>
          <c:order val="11"/>
          <c:tx>
            <c:v>pass_h</c:v>
          </c:tx>
          <c:spPr>
            <a:ln w="25400">
              <a:solidFill>
                <a:schemeClr val="bg2">
                  <a:lumMod val="75000"/>
                </a:schemeClr>
              </a:solidFill>
              <a:headEnd type="stealth"/>
            </a:ln>
          </c:spPr>
          <c:marker>
            <c:symbol val="none"/>
          </c:marker>
          <c:xVal>
            <c:numRef>
              <c:f>EFP!$O$38:$O$39</c:f>
              <c:numCache>
                <c:formatCode>General</c:formatCode>
                <c:ptCount val="2"/>
                <c:pt idx="0">
                  <c:v>3.3600000000000003</c:v>
                </c:pt>
                <c:pt idx="1">
                  <c:v>-8.64</c:v>
                </c:pt>
              </c:numCache>
            </c:numRef>
          </c:xVal>
          <c:yVal>
            <c:numRef>
              <c:f>EFP!$P$38:$P$39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82-4F61-A486-7872347B3BF4}"/>
            </c:ext>
          </c:extLst>
        </c:ser>
        <c:ser>
          <c:idx val="12"/>
          <c:order val="12"/>
          <c:tx>
            <c:v>key_v</c:v>
          </c:tx>
          <c:spPr>
            <a:ln w="25400">
              <a:solidFill>
                <a:schemeClr val="tx1"/>
              </a:solidFill>
              <a:headEnd type="stealth"/>
            </a:ln>
          </c:spPr>
          <c:marker>
            <c:symbol val="none"/>
          </c:marker>
          <c:xVal>
            <c:numRef>
              <c:f>EFP!$O$42:$O$43</c:f>
              <c:numCache>
                <c:formatCode>General</c:formatCode>
                <c:ptCount val="2"/>
                <c:pt idx="0">
                  <c:v>3.3600000000000003</c:v>
                </c:pt>
                <c:pt idx="1">
                  <c:v>3.3600000000000003</c:v>
                </c:pt>
              </c:numCache>
            </c:numRef>
          </c:xVal>
          <c:yVal>
            <c:numRef>
              <c:f>EFP!$P$42:$P$43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582-4F61-A486-7872347B3BF4}"/>
            </c:ext>
          </c:extLst>
        </c:ser>
        <c:ser>
          <c:idx val="13"/>
          <c:order val="13"/>
          <c:tx>
            <c:v>soil_q</c:v>
          </c:tx>
          <c:spPr>
            <a:ln w="31750">
              <a:solidFill>
                <a:schemeClr val="tx1">
                  <a:lumMod val="75000"/>
                  <a:lumOff val="25000"/>
                </a:schemeClr>
              </a:solidFill>
              <a:headEnd type="none"/>
              <a:tailEnd type="none"/>
            </a:ln>
          </c:spPr>
          <c:marker>
            <c:symbol val="none"/>
          </c:marker>
          <c:xVal>
            <c:numRef>
              <c:f>EFP!$O$47:$O$51</c:f>
              <c:numCache>
                <c:formatCode>General</c:formatCode>
                <c:ptCount val="5"/>
                <c:pt idx="1">
                  <c:v>59.36</c:v>
                </c:pt>
                <c:pt idx="2">
                  <c:v>59.36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EFP!$P$47:$P$51</c:f>
              <c:numCache>
                <c:formatCode>General</c:formatCode>
                <c:ptCount val="5"/>
                <c:pt idx="1">
                  <c:v>0</c:v>
                </c:pt>
                <c:pt idx="2">
                  <c:v>-8.8985572476034491</c:v>
                </c:pt>
                <c:pt idx="3">
                  <c:v>-50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582-4F61-A486-7872347B3BF4}"/>
            </c:ext>
          </c:extLst>
        </c:ser>
        <c:ser>
          <c:idx val="14"/>
          <c:order val="14"/>
          <c:tx>
            <c:v>qallo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EFP!$O$55:$O$56</c:f>
              <c:numCache>
                <c:formatCode>General</c:formatCode>
                <c:ptCount val="2"/>
                <c:pt idx="0">
                  <c:v>59.36</c:v>
                </c:pt>
              </c:numCache>
            </c:numRef>
          </c:xVal>
          <c:yVal>
            <c:numRef>
              <c:f>EFP!$P$55:$P$56</c:f>
              <c:numCache>
                <c:formatCode>General</c:formatCode>
                <c:ptCount val="2"/>
                <c:pt idx="0">
                  <c:v>-91.157311585687239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582-4F61-A486-7872347B3BF4}"/>
            </c:ext>
          </c:extLst>
        </c:ser>
        <c:ser>
          <c:idx val="15"/>
          <c:order val="15"/>
          <c:tx>
            <c:v>origin</c:v>
          </c:tx>
          <c:marker>
            <c:symbol val="none"/>
          </c:marker>
          <c:xVal>
            <c:numRef>
              <c:f>EFP!$R$12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EFP!$S$12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582-4F61-A486-7872347B3BF4}"/>
            </c:ext>
          </c:extLst>
        </c:ser>
        <c:ser>
          <c:idx val="16"/>
          <c:order val="16"/>
          <c:tx>
            <c:v>u_1</c:v>
          </c:tx>
          <c:spPr>
            <a:ln w="25400">
              <a:solidFill>
                <a:schemeClr val="accent5">
                  <a:lumMod val="40000"/>
                  <a:lumOff val="60000"/>
                </a:schemeClr>
              </a:solidFill>
              <a:headEnd type="stealth"/>
            </a:ln>
          </c:spPr>
          <c:marker>
            <c:symbol val="none"/>
          </c:marker>
          <c:xVal>
            <c:numRef>
              <c:f>EFP!$R$17:$R$18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EFP!$S$17:$S$18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582-4F61-A486-7872347B3BF4}"/>
            </c:ext>
          </c:extLst>
        </c:ser>
        <c:ser>
          <c:idx val="17"/>
          <c:order val="17"/>
          <c:tx>
            <c:v>u_2</c:v>
          </c:tx>
          <c:spPr>
            <a:ln w="25400">
              <a:solidFill>
                <a:schemeClr val="accent3">
                  <a:lumMod val="40000"/>
                  <a:lumOff val="60000"/>
                </a:schemeClr>
              </a:solidFill>
              <a:headEnd type="stealth"/>
            </a:ln>
          </c:spPr>
          <c:marker>
            <c:symbol val="none"/>
          </c:marker>
          <c:xVal>
            <c:numRef>
              <c:f>EFP!$R$21:$R$22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EFP!$S$21:$S$22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582-4F61-A486-7872347B3BF4}"/>
            </c:ext>
          </c:extLst>
        </c:ser>
        <c:ser>
          <c:idx val="18"/>
          <c:order val="18"/>
          <c:tx>
            <c:v>qall</c:v>
          </c:tx>
          <c:spPr>
            <a:ln w="22225">
              <a:solidFill>
                <a:srgbClr val="FF0000"/>
              </a:solidFill>
              <a:prstDash val="dashDot"/>
            </a:ln>
          </c:spPr>
          <c:marker>
            <c:symbol val="none"/>
          </c:marker>
          <c:xVal>
            <c:numRef>
              <c:f>EFP!$O$54:$O$55</c:f>
              <c:numCache>
                <c:formatCode>General</c:formatCode>
                <c:ptCount val="2"/>
                <c:pt idx="0">
                  <c:v>0</c:v>
                </c:pt>
                <c:pt idx="1">
                  <c:v>59.36</c:v>
                </c:pt>
              </c:numCache>
            </c:numRef>
          </c:xVal>
          <c:yVal>
            <c:numRef>
              <c:f>EFP!$P$54:$P$55</c:f>
              <c:numCache>
                <c:formatCode>General</c:formatCode>
                <c:ptCount val="2"/>
                <c:pt idx="0">
                  <c:v>-91.157311585687239</c:v>
                </c:pt>
                <c:pt idx="1">
                  <c:v>-91.157311585687239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582-4F61-A486-7872347B3BF4}"/>
            </c:ext>
          </c:extLst>
        </c:ser>
        <c:ser>
          <c:idx val="19"/>
          <c:order val="19"/>
          <c:tx>
            <c:v>soil_toe</c:v>
          </c:tx>
          <c:marker>
            <c:symbol val="none"/>
          </c:marker>
          <c:xVal>
            <c:numRef>
              <c:f>EFP!$Y$4:$Y$8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3.3600000000000003</c:v>
                </c:pt>
                <c:pt idx="3">
                  <c:v>3.3600000000000003</c:v>
                </c:pt>
                <c:pt idx="4">
                  <c:v>0</c:v>
                </c:pt>
              </c:numCache>
            </c:numRef>
          </c:xVal>
          <c:yVal>
            <c:numRef>
              <c:f>EFP!$Z$4:$Z$8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3-420C-B607-6CDB4542E52F}"/>
            </c:ext>
          </c:extLst>
        </c:ser>
        <c:ser>
          <c:idx val="20"/>
          <c:order val="20"/>
          <c:tx>
            <c:v>0,0</c:v>
          </c:tx>
          <c:marker>
            <c:symbol val="plus"/>
            <c:size val="8"/>
          </c:marker>
          <c:dLbls>
            <c:dLbl>
              <c:idx val="0"/>
              <c:layout>
                <c:manualLayout>
                  <c:x val="-1.6334509910399139E-2"/>
                  <c:y val="2.56600139747632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03-420C-B607-6CDB4542E52F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EFP!$AA$4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EFP!$AB$4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03-420C-B607-6CDB4542E52F}"/>
            </c:ext>
          </c:extLst>
        </c:ser>
        <c:ser>
          <c:idx val="21"/>
          <c:order val="21"/>
          <c:tx>
            <c:v>soil_toe_v</c:v>
          </c:tx>
          <c:spPr>
            <a:ln>
              <a:solidFill>
                <a:srgbClr val="FF0000"/>
              </a:solidFill>
              <a:headEnd type="stealth"/>
            </a:ln>
          </c:spPr>
          <c:marker>
            <c:symbol val="none"/>
          </c:marker>
          <c:xVal>
            <c:numRef>
              <c:f>EFP!$R$25:$R$26</c:f>
              <c:numCache>
                <c:formatCode>General</c:formatCode>
                <c:ptCount val="2"/>
                <c:pt idx="0">
                  <c:v>1.6800000000000002</c:v>
                </c:pt>
                <c:pt idx="1">
                  <c:v>1.6800000000000002</c:v>
                </c:pt>
              </c:numCache>
            </c:numRef>
          </c:xVal>
          <c:yVal>
            <c:numRef>
              <c:f>EFP!$S$25:$S$26</c:f>
              <c:numCache>
                <c:formatCode>General</c:formatCode>
                <c:ptCount val="2"/>
                <c:pt idx="0">
                  <c:v>18</c:v>
                </c:pt>
                <c:pt idx="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03-420C-B607-6CDB4542E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27040"/>
        <c:axId val="528127616"/>
      </c:scatterChart>
      <c:valAx>
        <c:axId val="52812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528127616"/>
        <c:crosses val="autoZero"/>
        <c:crossBetween val="midCat"/>
        <c:majorUnit val="5"/>
        <c:minorUnit val="1"/>
      </c:valAx>
      <c:valAx>
        <c:axId val="5281276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528127040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</c:v>
          </c:tx>
          <c:spPr>
            <a:ln w="28575">
              <a:solidFill>
                <a:schemeClr val="accent1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EFP!$L$96:$L$101</c:f>
              <c:numCache>
                <c:formatCode>0.00</c:formatCode>
                <c:ptCount val="6"/>
                <c:pt idx="0">
                  <c:v>0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0.94666666666666666</c:v>
                </c:pt>
                <c:pt idx="4">
                  <c:v>0.94666666666666666</c:v>
                </c:pt>
                <c:pt idx="5">
                  <c:v>4.9466666666666672</c:v>
                </c:pt>
              </c:numCache>
            </c:numRef>
          </c:xVal>
          <c:yVal>
            <c:numRef>
              <c:f>EFP!$M$96:$M$101</c:f>
              <c:numCache>
                <c:formatCode>0.00</c:formatCode>
                <c:ptCount val="6"/>
                <c:pt idx="0">
                  <c:v>1755.2075331840072</c:v>
                </c:pt>
                <c:pt idx="1">
                  <c:v>1673.5378404175117</c:v>
                </c:pt>
                <c:pt idx="2">
                  <c:v>1673.5378404175117</c:v>
                </c:pt>
                <c:pt idx="3">
                  <c:v>1479.0861909734749</c:v>
                </c:pt>
                <c:pt idx="4">
                  <c:v>1479.0861909734749</c:v>
                </c:pt>
                <c:pt idx="5">
                  <c:v>312.37629430925432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D-4BE2-9C1E-F7C44A03ADE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569123968"/>
        <c:axId val="569124544"/>
      </c:scatterChart>
      <c:valAx>
        <c:axId val="5691239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569124544"/>
        <c:crosses val="autoZero"/>
        <c:crossBetween val="midCat"/>
      </c:valAx>
      <c:valAx>
        <c:axId val="56912454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69123968"/>
        <c:crosses val="autoZero"/>
        <c:crossBetween val="midCat"/>
      </c:valAx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98425</xdr:rowOff>
    </xdr:from>
    <xdr:to>
      <xdr:col>8</xdr:col>
      <xdr:colOff>520700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97</xdr:row>
      <xdr:rowOff>38100</xdr:rowOff>
    </xdr:from>
    <xdr:to>
      <xdr:col>8</xdr:col>
      <xdr:colOff>533399</xdr:colOff>
      <xdr:row>107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0DE9-9B64-48D5-AA59-CD87CC581E91}">
  <sheetPr codeName="Sheet12"/>
  <dimension ref="A1:B30"/>
  <sheetViews>
    <sheetView tabSelected="1" workbookViewId="0">
      <selection activeCell="B6" sqref="B6"/>
    </sheetView>
  </sheetViews>
  <sheetFormatPr defaultRowHeight="15.75" x14ac:dyDescent="0.25"/>
  <cols>
    <col min="1" max="1" width="25.85546875" style="127" customWidth="1"/>
    <col min="2" max="2" width="60.42578125" style="127" customWidth="1"/>
    <col min="3" max="16384" width="9.140625" style="127"/>
  </cols>
  <sheetData>
    <row r="1" spans="1:2" x14ac:dyDescent="0.25">
      <c r="A1" s="125" t="s">
        <v>154</v>
      </c>
      <c r="B1" s="126"/>
    </row>
    <row r="2" spans="1:2" ht="24" customHeight="1" x14ac:dyDescent="0.25">
      <c r="A2" s="128"/>
      <c r="B2" s="129"/>
    </row>
    <row r="3" spans="1:2" x14ac:dyDescent="0.25">
      <c r="A3" s="128"/>
      <c r="B3" s="129" t="s">
        <v>155</v>
      </c>
    </row>
    <row r="4" spans="1:2" x14ac:dyDescent="0.25">
      <c r="A4" s="128"/>
      <c r="B4" s="129" t="s">
        <v>156</v>
      </c>
    </row>
    <row r="5" spans="1:2" ht="24" customHeight="1" x14ac:dyDescent="0.25">
      <c r="A5" s="128"/>
      <c r="B5" s="129"/>
    </row>
    <row r="6" spans="1:2" ht="24" x14ac:dyDescent="0.25">
      <c r="A6" s="128"/>
      <c r="B6" s="129" t="s">
        <v>157</v>
      </c>
    </row>
    <row r="7" spans="1:2" ht="24" x14ac:dyDescent="0.25">
      <c r="A7" s="128"/>
      <c r="B7" s="129" t="s">
        <v>158</v>
      </c>
    </row>
    <row r="8" spans="1:2" ht="24" customHeight="1" x14ac:dyDescent="0.25">
      <c r="A8" s="128"/>
      <c r="B8" s="129"/>
    </row>
    <row r="9" spans="1:2" ht="24" x14ac:dyDescent="0.25">
      <c r="A9" s="128"/>
      <c r="B9" s="129" t="s">
        <v>159</v>
      </c>
    </row>
    <row r="10" spans="1:2" x14ac:dyDescent="0.25">
      <c r="A10" s="128"/>
      <c r="B10" s="129" t="s">
        <v>160</v>
      </c>
    </row>
    <row r="11" spans="1:2" ht="24" customHeight="1" x14ac:dyDescent="0.25">
      <c r="A11" s="128"/>
      <c r="B11" s="129"/>
    </row>
    <row r="12" spans="1:2" ht="24" x14ac:dyDescent="0.25">
      <c r="A12" s="128"/>
      <c r="B12" s="129" t="s">
        <v>161</v>
      </c>
    </row>
    <row r="13" spans="1:2" ht="24" x14ac:dyDescent="0.25">
      <c r="A13" s="128"/>
      <c r="B13" s="129" t="s">
        <v>162</v>
      </c>
    </row>
    <row r="14" spans="1:2" x14ac:dyDescent="0.25">
      <c r="A14" s="128"/>
      <c r="B14" s="129" t="s">
        <v>163</v>
      </c>
    </row>
    <row r="15" spans="1:2" ht="24" customHeight="1" x14ac:dyDescent="0.25">
      <c r="A15" s="128"/>
      <c r="B15" s="129"/>
    </row>
    <row r="16" spans="1:2" ht="24" x14ac:dyDescent="0.25">
      <c r="A16" s="128"/>
      <c r="B16" s="129" t="s">
        <v>164</v>
      </c>
    </row>
    <row r="17" spans="1:2" ht="24" x14ac:dyDescent="0.25">
      <c r="A17" s="128"/>
      <c r="B17" s="129" t="s">
        <v>165</v>
      </c>
    </row>
    <row r="18" spans="1:2" x14ac:dyDescent="0.25">
      <c r="A18" s="128"/>
      <c r="B18" s="129" t="s">
        <v>166</v>
      </c>
    </row>
    <row r="19" spans="1:2" ht="24" customHeight="1" x14ac:dyDescent="0.25">
      <c r="A19" s="128"/>
      <c r="B19" s="129"/>
    </row>
    <row r="20" spans="1:2" ht="24" x14ac:dyDescent="0.25">
      <c r="A20" s="128"/>
      <c r="B20" s="129" t="s">
        <v>167</v>
      </c>
    </row>
    <row r="21" spans="1:2" ht="24" x14ac:dyDescent="0.25">
      <c r="A21" s="128"/>
      <c r="B21" s="129" t="s">
        <v>168</v>
      </c>
    </row>
    <row r="22" spans="1:2" ht="24" x14ac:dyDescent="0.25">
      <c r="A22" s="128"/>
      <c r="B22" s="129" t="s">
        <v>169</v>
      </c>
    </row>
    <row r="23" spans="1:2" ht="24" x14ac:dyDescent="0.25">
      <c r="A23" s="128"/>
      <c r="B23" s="129" t="s">
        <v>170</v>
      </c>
    </row>
    <row r="24" spans="1:2" ht="24" x14ac:dyDescent="0.25">
      <c r="A24" s="128"/>
      <c r="B24" s="129" t="s">
        <v>171</v>
      </c>
    </row>
    <row r="25" spans="1:2" ht="24" x14ac:dyDescent="0.25">
      <c r="A25" s="128"/>
      <c r="B25" s="129" t="s">
        <v>172</v>
      </c>
    </row>
    <row r="26" spans="1:2" ht="24" x14ac:dyDescent="0.25">
      <c r="A26" s="128"/>
      <c r="B26" s="129" t="s">
        <v>173</v>
      </c>
    </row>
    <row r="27" spans="1:2" ht="24" x14ac:dyDescent="0.25">
      <c r="A27" s="128"/>
      <c r="B27" s="129" t="s">
        <v>174</v>
      </c>
    </row>
    <row r="28" spans="1:2" ht="24" x14ac:dyDescent="0.25">
      <c r="A28" s="128"/>
      <c r="B28" s="129" t="s">
        <v>175</v>
      </c>
    </row>
    <row r="29" spans="1:2" ht="24" x14ac:dyDescent="0.25">
      <c r="A29" s="128"/>
      <c r="B29" s="129" t="s">
        <v>176</v>
      </c>
    </row>
    <row r="30" spans="1:2" ht="16.5" thickBot="1" x14ac:dyDescent="0.3">
      <c r="A30" s="130"/>
      <c r="B30" s="1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2"/>
  <sheetViews>
    <sheetView view="pageBreakPreview" topLeftCell="A124" zoomScaleNormal="100" zoomScaleSheetLayoutView="100" workbookViewId="0">
      <selection activeCell="D156" sqref="D156"/>
    </sheetView>
  </sheetViews>
  <sheetFormatPr defaultRowHeight="15" x14ac:dyDescent="0.25"/>
  <cols>
    <col min="1" max="1" width="20.7109375" bestFit="1" customWidth="1"/>
    <col min="2" max="2" width="9.5703125" bestFit="1" customWidth="1"/>
    <col min="7" max="7" width="16.85546875" customWidth="1"/>
    <col min="10" max="10" width="9.28515625" bestFit="1" customWidth="1"/>
    <col min="11" max="11" width="9.42578125" bestFit="1" customWidth="1"/>
  </cols>
  <sheetData>
    <row r="1" spans="1:28" x14ac:dyDescent="0.25">
      <c r="A1" s="93" t="s">
        <v>139</v>
      </c>
      <c r="B1" s="61"/>
      <c r="C1" s="61"/>
      <c r="D1" s="61"/>
      <c r="E1" s="61"/>
      <c r="F1" s="61"/>
      <c r="G1" s="61"/>
      <c r="H1" s="61"/>
      <c r="I1" s="62"/>
      <c r="Q1" t="s">
        <v>9</v>
      </c>
    </row>
    <row r="2" spans="1:28" x14ac:dyDescent="0.25">
      <c r="A2" s="43" t="s">
        <v>8</v>
      </c>
      <c r="B2" s="24">
        <v>60</v>
      </c>
      <c r="C2" s="44" t="s">
        <v>0</v>
      </c>
      <c r="D2" s="44" t="s">
        <v>146</v>
      </c>
      <c r="E2" s="50">
        <f>B2/B6</f>
        <v>0.5</v>
      </c>
      <c r="F2" s="44"/>
      <c r="G2" s="44"/>
      <c r="H2" s="44"/>
      <c r="I2" s="45"/>
      <c r="O2" t="s">
        <v>47</v>
      </c>
      <c r="Q2" t="s">
        <v>10</v>
      </c>
      <c r="S2" t="s">
        <v>13</v>
      </c>
      <c r="U2" t="s">
        <v>15</v>
      </c>
      <c r="W2" t="s">
        <v>16</v>
      </c>
      <c r="Y2" t="s">
        <v>141</v>
      </c>
      <c r="AA2" t="s">
        <v>143</v>
      </c>
    </row>
    <row r="3" spans="1:28" x14ac:dyDescent="0.25">
      <c r="A3" s="43" t="s">
        <v>40</v>
      </c>
      <c r="B3" s="24">
        <v>45</v>
      </c>
      <c r="C3" s="44" t="s">
        <v>20</v>
      </c>
      <c r="D3" s="44"/>
      <c r="E3" s="44"/>
      <c r="F3" s="44"/>
      <c r="G3" s="44"/>
      <c r="H3" s="44"/>
      <c r="I3" s="45"/>
      <c r="O3" t="s">
        <v>11</v>
      </c>
      <c r="P3" t="s">
        <v>12</v>
      </c>
      <c r="Q3" s="1" t="s">
        <v>11</v>
      </c>
      <c r="R3" s="1" t="s">
        <v>12</v>
      </c>
      <c r="S3" s="1" t="s">
        <v>11</v>
      </c>
      <c r="T3" s="1" t="s">
        <v>12</v>
      </c>
      <c r="U3" s="1" t="s">
        <v>11</v>
      </c>
      <c r="V3" s="1" t="s">
        <v>12</v>
      </c>
      <c r="W3" s="1" t="s">
        <v>11</v>
      </c>
      <c r="X3" s="1" t="s">
        <v>12</v>
      </c>
      <c r="Y3" s="1" t="s">
        <v>11</v>
      </c>
      <c r="Z3" s="1" t="s">
        <v>12</v>
      </c>
      <c r="AA3" s="1" t="s">
        <v>11</v>
      </c>
      <c r="AB3" s="1" t="s">
        <v>12</v>
      </c>
    </row>
    <row r="4" spans="1:28" x14ac:dyDescent="0.25">
      <c r="A4" s="43" t="s">
        <v>45</v>
      </c>
      <c r="B4" s="24">
        <v>2000</v>
      </c>
      <c r="C4" s="44" t="s">
        <v>29</v>
      </c>
      <c r="D4" s="44"/>
      <c r="E4" s="44"/>
      <c r="F4" s="44"/>
      <c r="G4" s="44"/>
      <c r="H4" s="44"/>
      <c r="I4" s="45"/>
      <c r="O4">
        <f>S4</f>
        <v>3.3600000000000003</v>
      </c>
      <c r="P4">
        <v>0</v>
      </c>
      <c r="Q4" s="1">
        <v>0</v>
      </c>
      <c r="R4" s="1">
        <v>0</v>
      </c>
      <c r="S4">
        <f>(B17*12)</f>
        <v>3.3600000000000003</v>
      </c>
      <c r="T4">
        <f>B16</f>
        <v>18</v>
      </c>
      <c r="U4">
        <f>S5</f>
        <v>11.36</v>
      </c>
      <c r="V4">
        <f>T4</f>
        <v>18</v>
      </c>
      <c r="W4">
        <v>0</v>
      </c>
      <c r="X4">
        <v>0</v>
      </c>
      <c r="Y4">
        <v>0</v>
      </c>
      <c r="Z4">
        <f>R6</f>
        <v>18</v>
      </c>
      <c r="AA4">
        <v>0</v>
      </c>
      <c r="AB4">
        <v>0</v>
      </c>
    </row>
    <row r="5" spans="1:28" x14ac:dyDescent="0.25">
      <c r="A5" s="43" t="s">
        <v>28</v>
      </c>
      <c r="B5" s="24">
        <v>50</v>
      </c>
      <c r="C5" s="44" t="s">
        <v>29</v>
      </c>
      <c r="D5" s="44"/>
      <c r="E5" s="44"/>
      <c r="F5" s="44"/>
      <c r="G5" s="44"/>
      <c r="H5" s="44"/>
      <c r="I5" s="45"/>
      <c r="O5">
        <f>O4+B24</f>
        <v>3.3600000000000003</v>
      </c>
      <c r="P5">
        <f>P4</f>
        <v>0</v>
      </c>
      <c r="Q5" s="1">
        <f>(B17*12)+(B21*12)+B12</f>
        <v>59.36</v>
      </c>
      <c r="R5" s="1">
        <v>0</v>
      </c>
      <c r="S5">
        <f>S4+B12</f>
        <v>11.36</v>
      </c>
      <c r="T5">
        <f>T4</f>
        <v>18</v>
      </c>
      <c r="U5">
        <f>Q5</f>
        <v>59.36</v>
      </c>
      <c r="V5">
        <f>V4</f>
        <v>18</v>
      </c>
      <c r="W5">
        <f>X5</f>
        <v>138.39599999999999</v>
      </c>
      <c r="X5">
        <f>MAX(R4:R8,T4:T8,V4:V8)</f>
        <v>138.39599999999999</v>
      </c>
      <c r="Y5">
        <v>0</v>
      </c>
      <c r="Z5">
        <f>Z4+(12*B9)</f>
        <v>18</v>
      </c>
    </row>
    <row r="6" spans="1:28" x14ac:dyDescent="0.25">
      <c r="A6" s="43" t="s">
        <v>19</v>
      </c>
      <c r="B6" s="24">
        <v>120</v>
      </c>
      <c r="C6" s="44" t="s">
        <v>20</v>
      </c>
      <c r="D6" s="44"/>
      <c r="E6" s="44"/>
      <c r="F6" s="44"/>
      <c r="G6" s="44"/>
      <c r="H6" s="44"/>
      <c r="I6" s="45"/>
      <c r="O6">
        <f>O5</f>
        <v>3.3600000000000003</v>
      </c>
      <c r="P6">
        <f>P5-(B25*12)</f>
        <v>0</v>
      </c>
      <c r="Q6" s="1">
        <f>Q5</f>
        <v>59.36</v>
      </c>
      <c r="R6" s="1">
        <f>B16</f>
        <v>18</v>
      </c>
      <c r="S6">
        <f>S5</f>
        <v>11.36</v>
      </c>
      <c r="T6">
        <f>T5+(B13*12)</f>
        <v>138.39599999999999</v>
      </c>
      <c r="U6">
        <f>U5</f>
        <v>59.36</v>
      </c>
      <c r="V6">
        <f>V5+(B8*12)</f>
        <v>39.995999999999995</v>
      </c>
      <c r="Y6">
        <f>B17*12</f>
        <v>3.3600000000000003</v>
      </c>
      <c r="Z6">
        <f>Z5</f>
        <v>18</v>
      </c>
    </row>
    <row r="7" spans="1:28" x14ac:dyDescent="0.25">
      <c r="A7" s="43" t="s">
        <v>22</v>
      </c>
      <c r="B7" s="24">
        <v>150</v>
      </c>
      <c r="C7" s="44" t="s">
        <v>20</v>
      </c>
      <c r="D7" s="44"/>
      <c r="E7" s="44"/>
      <c r="F7" s="44"/>
      <c r="G7" s="44"/>
      <c r="H7" s="44"/>
      <c r="I7" s="45"/>
      <c r="O7">
        <f>O4</f>
        <v>3.3600000000000003</v>
      </c>
      <c r="P7">
        <f>P6</f>
        <v>0</v>
      </c>
      <c r="Q7" s="1">
        <v>0</v>
      </c>
      <c r="R7" s="1">
        <f>R6</f>
        <v>18</v>
      </c>
      <c r="S7">
        <f>S4</f>
        <v>3.3600000000000003</v>
      </c>
      <c r="T7">
        <f>T6</f>
        <v>138.39599999999999</v>
      </c>
      <c r="U7">
        <f>U4</f>
        <v>11.36</v>
      </c>
      <c r="V7">
        <f>V6</f>
        <v>39.995999999999995</v>
      </c>
      <c r="Y7">
        <f>Y6</f>
        <v>3.3600000000000003</v>
      </c>
      <c r="Z7">
        <f>Z4</f>
        <v>18</v>
      </c>
    </row>
    <row r="8" spans="1:28" x14ac:dyDescent="0.25">
      <c r="A8" s="43" t="s">
        <v>14</v>
      </c>
      <c r="B8" s="24">
        <v>1.833</v>
      </c>
      <c r="C8" s="44" t="s">
        <v>5</v>
      </c>
      <c r="D8" s="44"/>
      <c r="E8" s="44"/>
      <c r="F8" s="44"/>
      <c r="G8" s="44"/>
      <c r="H8" s="44"/>
      <c r="I8" s="45"/>
      <c r="O8">
        <f>O4</f>
        <v>3.3600000000000003</v>
      </c>
      <c r="P8">
        <f>P4</f>
        <v>0</v>
      </c>
      <c r="Q8" s="1">
        <v>0</v>
      </c>
      <c r="R8" s="1">
        <v>0</v>
      </c>
      <c r="S8">
        <f>S4</f>
        <v>3.3600000000000003</v>
      </c>
      <c r="T8">
        <f>T4</f>
        <v>18</v>
      </c>
      <c r="U8">
        <f>U4</f>
        <v>11.36</v>
      </c>
      <c r="V8">
        <f>V4</f>
        <v>18</v>
      </c>
      <c r="Y8">
        <f>Y4</f>
        <v>0</v>
      </c>
      <c r="Z8">
        <f>Z4</f>
        <v>18</v>
      </c>
    </row>
    <row r="9" spans="1:28" x14ac:dyDescent="0.25">
      <c r="A9" s="43" t="s">
        <v>142</v>
      </c>
      <c r="B9" s="24">
        <v>0</v>
      </c>
      <c r="C9" s="44" t="s">
        <v>5</v>
      </c>
      <c r="D9" s="44"/>
      <c r="E9" s="44"/>
      <c r="F9" s="44"/>
      <c r="G9" s="44"/>
      <c r="H9" s="44"/>
      <c r="I9" s="45"/>
      <c r="Q9" s="1"/>
      <c r="R9" s="1"/>
    </row>
    <row r="10" spans="1:28" x14ac:dyDescent="0.25">
      <c r="A10" s="43" t="s">
        <v>36</v>
      </c>
      <c r="B10" s="24">
        <v>0.45</v>
      </c>
      <c r="C10" s="44"/>
      <c r="D10" s="44"/>
      <c r="E10" s="44"/>
      <c r="F10" s="44"/>
      <c r="G10" s="44"/>
      <c r="H10" s="44"/>
      <c r="I10" s="45"/>
    </row>
    <row r="11" spans="1:28" x14ac:dyDescent="0.25">
      <c r="A11" s="94" t="s">
        <v>1</v>
      </c>
      <c r="B11" s="44"/>
      <c r="C11" s="44"/>
      <c r="D11" s="44"/>
      <c r="E11" s="44"/>
      <c r="F11" s="44"/>
      <c r="G11" s="44"/>
      <c r="H11" s="44"/>
      <c r="I11" s="45"/>
      <c r="O11" t="s">
        <v>48</v>
      </c>
      <c r="R11" t="s">
        <v>11</v>
      </c>
      <c r="S11" t="s">
        <v>12</v>
      </c>
    </row>
    <row r="12" spans="1:28" x14ac:dyDescent="0.25">
      <c r="A12" s="43" t="s">
        <v>2</v>
      </c>
      <c r="B12" s="24">
        <v>8</v>
      </c>
      <c r="C12" s="44" t="s">
        <v>4</v>
      </c>
      <c r="D12" s="44"/>
      <c r="E12" s="44"/>
      <c r="F12" s="44"/>
      <c r="G12" s="44"/>
      <c r="H12" s="44"/>
      <c r="I12" s="45"/>
      <c r="O12" t="s">
        <v>11</v>
      </c>
      <c r="P12" t="s">
        <v>12</v>
      </c>
      <c r="R12">
        <v>0</v>
      </c>
      <c r="S12">
        <v>0</v>
      </c>
    </row>
    <row r="13" spans="1:28" x14ac:dyDescent="0.25">
      <c r="A13" s="43" t="s">
        <v>3</v>
      </c>
      <c r="B13" s="24">
        <v>10.032999999999999</v>
      </c>
      <c r="C13" s="44" t="s">
        <v>5</v>
      </c>
      <c r="D13" s="44"/>
      <c r="E13" s="44"/>
      <c r="F13" s="44"/>
      <c r="G13" s="44"/>
      <c r="H13" s="44"/>
      <c r="I13" s="45"/>
      <c r="O13">
        <f>Q6</f>
        <v>59.36</v>
      </c>
      <c r="P13" s="2">
        <f>G28*12</f>
        <v>13.332000000000001</v>
      </c>
    </row>
    <row r="14" spans="1:28" x14ac:dyDescent="0.25">
      <c r="A14" s="43"/>
      <c r="B14" s="44"/>
      <c r="C14" s="44"/>
      <c r="D14" s="44"/>
      <c r="E14" s="44"/>
      <c r="F14" s="44"/>
      <c r="G14" s="44"/>
      <c r="H14" s="44"/>
      <c r="I14" s="45"/>
      <c r="O14">
        <f>O13+24</f>
        <v>83.36</v>
      </c>
      <c r="P14" s="2">
        <f>P13</f>
        <v>13.332000000000001</v>
      </c>
    </row>
    <row r="15" spans="1:28" x14ac:dyDescent="0.25">
      <c r="A15" s="94" t="s">
        <v>6</v>
      </c>
      <c r="B15" s="44"/>
      <c r="C15" s="44"/>
      <c r="D15" s="44"/>
      <c r="E15" s="44"/>
      <c r="F15" s="44"/>
      <c r="G15" s="44"/>
      <c r="H15" s="44"/>
      <c r="I15" s="45"/>
      <c r="O15" t="s">
        <v>49</v>
      </c>
      <c r="R15" t="s">
        <v>62</v>
      </c>
    </row>
    <row r="16" spans="1:28" x14ac:dyDescent="0.25">
      <c r="A16" s="43" t="s">
        <v>2</v>
      </c>
      <c r="B16" s="24">
        <v>18</v>
      </c>
      <c r="C16" s="44" t="s">
        <v>4</v>
      </c>
      <c r="D16" s="44"/>
      <c r="E16" s="44"/>
      <c r="F16" s="44"/>
      <c r="G16" s="44"/>
      <c r="H16" s="44"/>
      <c r="I16" s="45"/>
      <c r="O16" t="s">
        <v>11</v>
      </c>
      <c r="P16" t="s">
        <v>12</v>
      </c>
      <c r="R16" t="s">
        <v>11</v>
      </c>
      <c r="S16" t="s">
        <v>12</v>
      </c>
    </row>
    <row r="17" spans="1:19" x14ac:dyDescent="0.25">
      <c r="A17" s="43" t="s">
        <v>7</v>
      </c>
      <c r="B17" s="24">
        <v>0.28000000000000003</v>
      </c>
      <c r="C17" s="44" t="s">
        <v>5</v>
      </c>
      <c r="D17" s="44"/>
      <c r="E17" s="44"/>
      <c r="F17" s="44"/>
      <c r="G17" s="44"/>
      <c r="H17" s="44"/>
      <c r="I17" s="45"/>
      <c r="O17" s="2">
        <f>G29*12</f>
        <v>35.36</v>
      </c>
      <c r="P17">
        <f>R6</f>
        <v>18</v>
      </c>
      <c r="R17">
        <f>IF(B37=0,0,IF(B37&gt;0,S5,S5+24))</f>
        <v>0</v>
      </c>
      <c r="S17">
        <f>G37*12</f>
        <v>0</v>
      </c>
    </row>
    <row r="18" spans="1:19" x14ac:dyDescent="0.25">
      <c r="A18" s="43"/>
      <c r="B18" s="44"/>
      <c r="C18" s="44"/>
      <c r="D18" s="44"/>
      <c r="E18" s="44"/>
      <c r="F18" s="44"/>
      <c r="G18" s="44"/>
      <c r="H18" s="44"/>
      <c r="I18" s="45"/>
      <c r="O18" s="2">
        <f>O17</f>
        <v>35.36</v>
      </c>
      <c r="P18">
        <f>P17+24</f>
        <v>42</v>
      </c>
      <c r="R18">
        <f>IF(B37=0,0,IF(B37&gt;0,R17+24,S5))</f>
        <v>0</v>
      </c>
      <c r="S18">
        <f>S17</f>
        <v>0</v>
      </c>
    </row>
    <row r="19" spans="1:19" x14ac:dyDescent="0.25">
      <c r="A19" s="94" t="s">
        <v>57</v>
      </c>
      <c r="B19" s="44"/>
      <c r="C19" s="44"/>
      <c r="D19" s="44"/>
      <c r="E19" s="44"/>
      <c r="F19" s="44"/>
      <c r="G19" s="44"/>
      <c r="H19" s="44"/>
      <c r="I19" s="45"/>
      <c r="O19" t="s">
        <v>50</v>
      </c>
      <c r="R19" t="s">
        <v>63</v>
      </c>
    </row>
    <row r="20" spans="1:19" x14ac:dyDescent="0.25">
      <c r="A20" s="43" t="s">
        <v>2</v>
      </c>
      <c r="B20" s="63">
        <f>B16</f>
        <v>18</v>
      </c>
      <c r="C20" s="44" t="s">
        <v>4</v>
      </c>
      <c r="D20" s="44"/>
      <c r="E20" s="44"/>
      <c r="F20" s="44"/>
      <c r="G20" s="44"/>
      <c r="H20" s="44"/>
      <c r="I20" s="45"/>
      <c r="O20" t="s">
        <v>11</v>
      </c>
      <c r="P20" t="s">
        <v>12</v>
      </c>
      <c r="R20" t="s">
        <v>11</v>
      </c>
      <c r="S20" t="s">
        <v>12</v>
      </c>
    </row>
    <row r="21" spans="1:19" x14ac:dyDescent="0.25">
      <c r="A21" s="43" t="s">
        <v>7</v>
      </c>
      <c r="B21" s="24">
        <v>4</v>
      </c>
      <c r="C21" s="44" t="s">
        <v>5</v>
      </c>
      <c r="D21" s="44"/>
      <c r="E21" s="44"/>
      <c r="F21" s="44"/>
      <c r="G21" s="44"/>
      <c r="H21" s="44"/>
      <c r="I21" s="45"/>
      <c r="O21">
        <f>G31*12</f>
        <v>7.3599999999999994</v>
      </c>
      <c r="P21">
        <f>R6</f>
        <v>18</v>
      </c>
      <c r="R21">
        <f>IF(B38=0,0,IF(B38&gt;0,IF(S21=S17,MAX(R17:R18),S6),IF(S21=S17,MAX(R17:R18)+24,S6+24)))</f>
        <v>0</v>
      </c>
      <c r="S21">
        <f>G38*12</f>
        <v>0</v>
      </c>
    </row>
    <row r="22" spans="1:19" x14ac:dyDescent="0.25">
      <c r="A22" s="66"/>
      <c r="B22" s="44"/>
      <c r="C22" s="44"/>
      <c r="D22" s="44"/>
      <c r="E22" s="44"/>
      <c r="F22" s="44"/>
      <c r="G22" s="44"/>
      <c r="H22" s="44"/>
      <c r="I22" s="45"/>
      <c r="O22">
        <f>O21</f>
        <v>7.3599999999999994</v>
      </c>
      <c r="P22">
        <f>P21+24</f>
        <v>42</v>
      </c>
      <c r="R22">
        <f>IF(B38=0,0,IF(B38&gt;0,R21+24,R21-24))</f>
        <v>0</v>
      </c>
      <c r="S22">
        <f>S21</f>
        <v>0</v>
      </c>
    </row>
    <row r="23" spans="1:19" x14ac:dyDescent="0.25">
      <c r="A23" s="94" t="s">
        <v>46</v>
      </c>
      <c r="B23" s="44"/>
      <c r="C23" s="44"/>
      <c r="D23" s="44"/>
      <c r="E23" s="44"/>
      <c r="F23" s="44"/>
      <c r="G23" s="44"/>
      <c r="H23" s="44"/>
      <c r="I23" s="45"/>
      <c r="O23" t="s">
        <v>51</v>
      </c>
      <c r="R23" t="s">
        <v>145</v>
      </c>
    </row>
    <row r="24" spans="1:19" x14ac:dyDescent="0.25">
      <c r="A24" s="43" t="s">
        <v>2</v>
      </c>
      <c r="B24" s="24">
        <v>0</v>
      </c>
      <c r="C24" s="44" t="s">
        <v>4</v>
      </c>
      <c r="D24" s="44"/>
      <c r="E24" s="44"/>
      <c r="F24" s="44"/>
      <c r="G24" s="44"/>
      <c r="H24" s="44"/>
      <c r="I24" s="45"/>
      <c r="O24" t="s">
        <v>11</v>
      </c>
      <c r="P24" t="s">
        <v>12</v>
      </c>
      <c r="R24" t="s">
        <v>11</v>
      </c>
      <c r="S24" t="s">
        <v>12</v>
      </c>
    </row>
    <row r="25" spans="1:19" x14ac:dyDescent="0.25">
      <c r="A25" s="43" t="s">
        <v>3</v>
      </c>
      <c r="B25" s="24">
        <v>0</v>
      </c>
      <c r="C25" s="44" t="s">
        <v>5</v>
      </c>
      <c r="D25" s="44"/>
      <c r="E25" s="44"/>
      <c r="F25" s="44"/>
      <c r="G25" s="44"/>
      <c r="H25" s="44"/>
      <c r="I25" s="45"/>
      <c r="O25">
        <f>G32*12</f>
        <v>29.680000000000003</v>
      </c>
      <c r="P25">
        <v>0</v>
      </c>
      <c r="R25">
        <f>(B17*12)/2</f>
        <v>1.6800000000000002</v>
      </c>
      <c r="S25">
        <f>B16</f>
        <v>18</v>
      </c>
    </row>
    <row r="26" spans="1:19" x14ac:dyDescent="0.25">
      <c r="A26" s="43"/>
      <c r="B26" s="63"/>
      <c r="C26" s="44"/>
      <c r="D26" s="44"/>
      <c r="E26" s="44"/>
      <c r="F26" s="44"/>
      <c r="G26" s="44"/>
      <c r="H26" s="44"/>
      <c r="I26" s="45"/>
      <c r="O26">
        <f>O25</f>
        <v>29.680000000000003</v>
      </c>
      <c r="P26">
        <f>R6+6</f>
        <v>24</v>
      </c>
      <c r="R26">
        <f>R25</f>
        <v>1.6800000000000002</v>
      </c>
      <c r="S26">
        <f>S25+24</f>
        <v>42</v>
      </c>
    </row>
    <row r="27" spans="1:19" x14ac:dyDescent="0.25">
      <c r="A27" s="94" t="s">
        <v>17</v>
      </c>
      <c r="B27" s="44"/>
      <c r="C27" s="44"/>
      <c r="D27" s="44"/>
      <c r="E27" s="44"/>
      <c r="F27" s="44" t="s">
        <v>24</v>
      </c>
      <c r="G27" s="44" t="str">
        <f>"@ _ ft from (0,0)"</f>
        <v>@ _ ft from (0,0)</v>
      </c>
      <c r="H27" s="44"/>
      <c r="I27" s="45" t="s">
        <v>46</v>
      </c>
      <c r="J27" s="118" t="s">
        <v>152</v>
      </c>
      <c r="K27" s="119" t="s">
        <v>153</v>
      </c>
      <c r="O27" t="s">
        <v>52</v>
      </c>
    </row>
    <row r="28" spans="1:19" x14ac:dyDescent="0.25">
      <c r="A28" s="43" t="s">
        <v>18</v>
      </c>
      <c r="B28" s="51">
        <f>B2*(B8+(B16/12)+B25)</f>
        <v>199.98000000000002</v>
      </c>
      <c r="C28" s="44" t="s">
        <v>30</v>
      </c>
      <c r="D28" s="51">
        <f>0.5*B28*(B8+(B16/12)+B25)</f>
        <v>333.26667000000003</v>
      </c>
      <c r="E28" s="44" t="s">
        <v>21</v>
      </c>
      <c r="F28" s="46" t="s">
        <v>25</v>
      </c>
      <c r="G28" s="50">
        <f>((1/3)*(B8+(B16/12)+B25))-B25</f>
        <v>1.111</v>
      </c>
      <c r="H28" s="44" t="s">
        <v>42</v>
      </c>
      <c r="I28" s="95"/>
      <c r="J28" s="120">
        <f>D28*G28</f>
        <v>370.25927037000002</v>
      </c>
      <c r="K28" s="120"/>
      <c r="O28" t="s">
        <v>11</v>
      </c>
      <c r="P28" t="s">
        <v>12</v>
      </c>
    </row>
    <row r="29" spans="1:19" x14ac:dyDescent="0.25">
      <c r="A29" s="43" t="s">
        <v>65</v>
      </c>
      <c r="B29" s="51">
        <f>B6*B8*B21</f>
        <v>879.84</v>
      </c>
      <c r="C29" s="44" t="s">
        <v>21</v>
      </c>
      <c r="D29" s="52"/>
      <c r="E29" s="44"/>
      <c r="F29" s="46" t="s">
        <v>25</v>
      </c>
      <c r="G29" s="50">
        <f>B17+(B12/12)+(B21/2)</f>
        <v>2.9466666666666668</v>
      </c>
      <c r="H29" s="96" t="s">
        <v>43</v>
      </c>
      <c r="I29" s="97"/>
      <c r="J29" s="120"/>
      <c r="K29" s="120">
        <f>B29*G29</f>
        <v>2592.5952000000002</v>
      </c>
      <c r="O29">
        <f>O13</f>
        <v>59.36</v>
      </c>
      <c r="P29">
        <f>G33*12</f>
        <v>19.998000000000001</v>
      </c>
    </row>
    <row r="30" spans="1:19" x14ac:dyDescent="0.25">
      <c r="A30" s="43" t="s">
        <v>144</v>
      </c>
      <c r="B30" s="51">
        <f>B6*B9*B17</f>
        <v>0</v>
      </c>
      <c r="C30" s="44" t="s">
        <v>21</v>
      </c>
      <c r="D30" s="52"/>
      <c r="E30" s="44"/>
      <c r="F30" s="109" t="s">
        <v>25</v>
      </c>
      <c r="G30" s="50">
        <f>(B17/2)</f>
        <v>0.14000000000000001</v>
      </c>
      <c r="H30" s="96" t="s">
        <v>43</v>
      </c>
      <c r="I30" s="110"/>
      <c r="J30" s="120"/>
      <c r="K30" s="120">
        <f>B30*G30</f>
        <v>0</v>
      </c>
      <c r="O30">
        <f>O14</f>
        <v>83.36</v>
      </c>
      <c r="P30">
        <f>P29</f>
        <v>19.998000000000001</v>
      </c>
    </row>
    <row r="31" spans="1:19" x14ac:dyDescent="0.25">
      <c r="A31" s="43" t="s">
        <v>23</v>
      </c>
      <c r="B31" s="51">
        <f>B7*B13*(B12/12)</f>
        <v>1003.2999999999998</v>
      </c>
      <c r="C31" s="44" t="s">
        <v>21</v>
      </c>
      <c r="D31" s="52"/>
      <c r="E31" s="44"/>
      <c r="F31" s="46" t="s">
        <v>26</v>
      </c>
      <c r="G31" s="50">
        <f>B17+((B12/12)/2)</f>
        <v>0.61333333333333329</v>
      </c>
      <c r="H31" s="96" t="s">
        <v>43</v>
      </c>
      <c r="I31" s="98"/>
      <c r="J31" s="120"/>
      <c r="K31" s="120">
        <f t="shared" ref="K31:K36" si="0">B31*G31</f>
        <v>615.35733333333314</v>
      </c>
    </row>
    <row r="32" spans="1:19" x14ac:dyDescent="0.25">
      <c r="A32" s="43" t="s">
        <v>27</v>
      </c>
      <c r="B32" s="51">
        <f>B7*(B21+B17+(B12/12))*(B16/12)</f>
        <v>1113.0000000000002</v>
      </c>
      <c r="C32" s="44" t="s">
        <v>21</v>
      </c>
      <c r="D32" s="52"/>
      <c r="E32" s="44"/>
      <c r="F32" s="46" t="s">
        <v>26</v>
      </c>
      <c r="G32" s="50">
        <f>(B17+B21+(B12/12))/2</f>
        <v>2.4733333333333336</v>
      </c>
      <c r="H32" s="96" t="s">
        <v>43</v>
      </c>
      <c r="I32" s="99"/>
      <c r="J32" s="120"/>
      <c r="K32" s="120">
        <f t="shared" si="0"/>
        <v>2752.8200000000011</v>
      </c>
      <c r="O32" t="s">
        <v>53</v>
      </c>
    </row>
    <row r="33" spans="1:16" x14ac:dyDescent="0.25">
      <c r="A33" s="43" t="s">
        <v>32</v>
      </c>
      <c r="B33" s="51">
        <f>(B5*B2)/B6</f>
        <v>25</v>
      </c>
      <c r="C33" s="44" t="s">
        <v>30</v>
      </c>
      <c r="D33" s="51">
        <f>B33*(B8+(B16/12)+B25)</f>
        <v>83.325000000000003</v>
      </c>
      <c r="E33" s="44" t="s">
        <v>21</v>
      </c>
      <c r="F33" s="46" t="s">
        <v>31</v>
      </c>
      <c r="G33" s="50">
        <f>((B8+(B16/12)+B25)/2)-B25</f>
        <v>1.6665000000000001</v>
      </c>
      <c r="H33" s="44" t="s">
        <v>42</v>
      </c>
      <c r="I33" s="100"/>
      <c r="J33" s="120">
        <f>D33*G33</f>
        <v>138.86111250000002</v>
      </c>
      <c r="K33" s="120"/>
      <c r="O33" t="s">
        <v>11</v>
      </c>
      <c r="P33" t="s">
        <v>12</v>
      </c>
    </row>
    <row r="34" spans="1:16" x14ac:dyDescent="0.25">
      <c r="A34" s="43" t="s">
        <v>33</v>
      </c>
      <c r="B34" s="51">
        <f>B5*B21</f>
        <v>200</v>
      </c>
      <c r="C34" s="44" t="s">
        <v>21</v>
      </c>
      <c r="D34" s="52"/>
      <c r="E34" s="44"/>
      <c r="F34" s="46" t="s">
        <v>31</v>
      </c>
      <c r="G34" s="50">
        <f>B17+(B12/12)+(B21/2)</f>
        <v>2.9466666666666668</v>
      </c>
      <c r="H34" s="96" t="s">
        <v>43</v>
      </c>
      <c r="I34" s="101"/>
      <c r="J34" s="120"/>
      <c r="K34" s="120">
        <f t="shared" si="0"/>
        <v>589.33333333333337</v>
      </c>
      <c r="O34">
        <f>G34*12</f>
        <v>35.36</v>
      </c>
      <c r="P34">
        <f>P22</f>
        <v>42</v>
      </c>
    </row>
    <row r="35" spans="1:16" x14ac:dyDescent="0.25">
      <c r="A35" s="43" t="s">
        <v>41</v>
      </c>
      <c r="B35" s="51">
        <f>B3*(B25+((B16/12)+B9))</f>
        <v>67.5</v>
      </c>
      <c r="C35" s="44" t="s">
        <v>30</v>
      </c>
      <c r="D35" s="51">
        <f>0.5*B35*(B25+(B16/12)+B9)</f>
        <v>50.625</v>
      </c>
      <c r="E35" s="44" t="s">
        <v>21</v>
      </c>
      <c r="F35" s="46" t="s">
        <v>25</v>
      </c>
      <c r="G35" s="50">
        <f>((B25+(B16/12)+B9)*(1/3))-B25</f>
        <v>0.5</v>
      </c>
      <c r="H35" s="44" t="s">
        <v>42</v>
      </c>
      <c r="I35" s="102"/>
      <c r="J35" s="120"/>
      <c r="K35" s="120">
        <f>D35*G35</f>
        <v>25.3125</v>
      </c>
      <c r="O35">
        <f>O34</f>
        <v>35.36</v>
      </c>
      <c r="P35">
        <f>P34+24</f>
        <v>66</v>
      </c>
    </row>
    <row r="36" spans="1:16" x14ac:dyDescent="0.25">
      <c r="A36" s="43" t="s">
        <v>55</v>
      </c>
      <c r="B36" s="46">
        <f>B7*B25*(B24/12)</f>
        <v>0</v>
      </c>
      <c r="C36" s="44" t="s">
        <v>21</v>
      </c>
      <c r="D36" s="46"/>
      <c r="E36" s="44"/>
      <c r="F36" s="46" t="s">
        <v>26</v>
      </c>
      <c r="G36" s="50">
        <f>B17+((B24/12)/2)</f>
        <v>0.28000000000000003</v>
      </c>
      <c r="H36" s="44" t="s">
        <v>43</v>
      </c>
      <c r="I36" s="103"/>
      <c r="J36" s="120"/>
      <c r="K36" s="120">
        <f t="shared" si="0"/>
        <v>0</v>
      </c>
      <c r="O36" t="s">
        <v>54</v>
      </c>
    </row>
    <row r="37" spans="1:16" x14ac:dyDescent="0.25">
      <c r="A37" s="43" t="s">
        <v>60</v>
      </c>
      <c r="B37" s="24">
        <v>0</v>
      </c>
      <c r="C37" s="44" t="s">
        <v>39</v>
      </c>
      <c r="D37" s="46"/>
      <c r="E37" s="44"/>
      <c r="F37" s="24" t="s">
        <v>31</v>
      </c>
      <c r="G37" s="24">
        <v>0</v>
      </c>
      <c r="H37" s="44" t="s">
        <v>59</v>
      </c>
      <c r="I37" s="104"/>
      <c r="J37" s="120">
        <f>B37*G37</f>
        <v>0</v>
      </c>
      <c r="K37" s="120"/>
      <c r="O37" t="s">
        <v>11</v>
      </c>
      <c r="P37" t="s">
        <v>12</v>
      </c>
    </row>
    <row r="38" spans="1:16" x14ac:dyDescent="0.25">
      <c r="A38" s="43" t="s">
        <v>61</v>
      </c>
      <c r="B38" s="24">
        <v>0</v>
      </c>
      <c r="C38" s="44" t="s">
        <v>39</v>
      </c>
      <c r="D38" s="46"/>
      <c r="E38" s="44"/>
      <c r="F38" s="24" t="s">
        <v>64</v>
      </c>
      <c r="G38" s="24">
        <v>0</v>
      </c>
      <c r="H38" s="44" t="s">
        <v>59</v>
      </c>
      <c r="I38" s="105"/>
      <c r="J38" s="120">
        <f>B38*G38</f>
        <v>0</v>
      </c>
      <c r="K38" s="120"/>
      <c r="O38">
        <f>O4</f>
        <v>3.3600000000000003</v>
      </c>
      <c r="P38">
        <f>G35*12</f>
        <v>6</v>
      </c>
    </row>
    <row r="39" spans="1:16" x14ac:dyDescent="0.25">
      <c r="A39" s="43" t="s">
        <v>81</v>
      </c>
      <c r="B39" s="51">
        <f>B36+B34+B32+B31+B29+B30</f>
        <v>3196.1400000000003</v>
      </c>
      <c r="C39" s="44" t="s">
        <v>21</v>
      </c>
      <c r="D39" s="46"/>
      <c r="E39" s="44"/>
      <c r="F39" s="46"/>
      <c r="G39" s="46"/>
      <c r="H39" s="44"/>
      <c r="I39" s="45"/>
      <c r="J39" s="120">
        <f>SUM(J28:J38)</f>
        <v>509.12038287000007</v>
      </c>
      <c r="K39" s="120">
        <f>SUM(K28:K38)</f>
        <v>6575.4183666666677</v>
      </c>
      <c r="O39">
        <f>O38-12</f>
        <v>-8.64</v>
      </c>
      <c r="P39">
        <f>P38</f>
        <v>6</v>
      </c>
    </row>
    <row r="40" spans="1:16" ht="15.75" thickBot="1" x14ac:dyDescent="0.3">
      <c r="A40" s="67"/>
      <c r="B40" s="70"/>
      <c r="C40" s="69"/>
      <c r="D40" s="70"/>
      <c r="E40" s="69"/>
      <c r="F40" s="70"/>
      <c r="G40" s="70"/>
      <c r="H40" s="69"/>
      <c r="I40" s="88"/>
      <c r="O40" t="s">
        <v>56</v>
      </c>
    </row>
    <row r="41" spans="1:16" x14ac:dyDescent="0.25">
      <c r="A41" s="89" t="s">
        <v>34</v>
      </c>
      <c r="B41" s="79"/>
      <c r="C41" s="79"/>
      <c r="D41" s="79"/>
      <c r="E41" s="79"/>
      <c r="F41" s="79"/>
      <c r="G41" s="79"/>
      <c r="H41" s="79"/>
      <c r="I41" s="80"/>
      <c r="O41" t="s">
        <v>11</v>
      </c>
      <c r="P41" t="s">
        <v>12</v>
      </c>
    </row>
    <row r="42" spans="1:16" x14ac:dyDescent="0.25">
      <c r="A42" s="43" t="s">
        <v>82</v>
      </c>
      <c r="B42" s="51">
        <f>(D28*G28)+(D33*G33)+(B37*G37)+(B38*G38)</f>
        <v>509.12038287000007</v>
      </c>
      <c r="C42" s="44" t="s">
        <v>79</v>
      </c>
      <c r="D42" s="44"/>
      <c r="E42" s="44"/>
      <c r="F42" s="44"/>
      <c r="G42" s="44"/>
      <c r="H42" s="44"/>
      <c r="I42" s="45"/>
      <c r="O42">
        <f>G36*12</f>
        <v>3.3600000000000003</v>
      </c>
      <c r="P42">
        <f>B25*12*-1</f>
        <v>0</v>
      </c>
    </row>
    <row r="43" spans="1:16" x14ac:dyDescent="0.25">
      <c r="A43" s="43" t="s">
        <v>83</v>
      </c>
      <c r="B43" s="51">
        <f>(B29*G29)+(B31*G31)+(B32*G32)+(B34*G34)+(B36*G36)+(D35*G35)+(B30*G30)</f>
        <v>6575.4183666666677</v>
      </c>
      <c r="C43" s="44" t="s">
        <v>79</v>
      </c>
      <c r="D43" s="44"/>
      <c r="E43" s="44"/>
      <c r="F43" s="44"/>
      <c r="G43" s="44"/>
      <c r="H43" s="44"/>
      <c r="I43" s="45"/>
      <c r="O43">
        <f>O42</f>
        <v>3.3600000000000003</v>
      </c>
      <c r="P43">
        <f>P42+((B25*12)/3)</f>
        <v>0</v>
      </c>
    </row>
    <row r="44" spans="1:16" x14ac:dyDescent="0.25">
      <c r="A44" s="43" t="s">
        <v>35</v>
      </c>
      <c r="B44" s="51">
        <f>B43/B42</f>
        <v>12.915252635535611</v>
      </c>
      <c r="C44" s="91" t="str">
        <f>IF(B44&gt;=1.5,"OK","NG")</f>
        <v>OK</v>
      </c>
      <c r="D44" s="44"/>
      <c r="E44" s="44"/>
      <c r="F44" s="44"/>
      <c r="G44" s="44"/>
      <c r="H44" s="44"/>
      <c r="I44" s="45"/>
      <c r="J44">
        <f>IF(C44="OK",0,1)</f>
        <v>0</v>
      </c>
    </row>
    <row r="45" spans="1:16" x14ac:dyDescent="0.25">
      <c r="A45" s="66"/>
      <c r="B45" s="44"/>
      <c r="C45" s="44"/>
      <c r="D45" s="44"/>
      <c r="E45" s="44"/>
      <c r="F45" s="44"/>
      <c r="G45" s="44"/>
      <c r="H45" s="44"/>
      <c r="I45" s="45"/>
      <c r="O45" t="s">
        <v>58</v>
      </c>
    </row>
    <row r="46" spans="1:16" x14ac:dyDescent="0.25">
      <c r="A46" s="43" t="s">
        <v>37</v>
      </c>
      <c r="B46" s="50">
        <f>(B43-B42)/(B39)</f>
        <v>1.8980075915938186</v>
      </c>
      <c r="C46" s="44" t="s">
        <v>5</v>
      </c>
      <c r="D46" s="44"/>
      <c r="E46" s="44"/>
      <c r="F46" s="44"/>
      <c r="G46" s="44"/>
      <c r="H46" s="44"/>
      <c r="I46" s="45"/>
      <c r="O46" t="s">
        <v>11</v>
      </c>
      <c r="P46" t="s">
        <v>12</v>
      </c>
    </row>
    <row r="47" spans="1:16" x14ac:dyDescent="0.25">
      <c r="A47" s="43" t="s">
        <v>38</v>
      </c>
      <c r="B47" s="50">
        <f>((B17+(B12/12)+B21)/2)-B46</f>
        <v>0.57532574173951456</v>
      </c>
      <c r="C47" s="44" t="s">
        <v>5</v>
      </c>
      <c r="D47" s="46" t="str">
        <f>IF(B47&lt;E47,"&lt;","&gt;")</f>
        <v>&lt;</v>
      </c>
      <c r="E47" s="50">
        <f>(B17+(B12/12)+B21)/6</f>
        <v>0.82444444444444442</v>
      </c>
      <c r="F47" s="44" t="s">
        <v>5</v>
      </c>
      <c r="G47" s="91" t="str">
        <f>IF(D47="&lt;","WITHIN MIDDLE 1/3","INCREASE BASE TOTAL WIDTH")</f>
        <v>WITHIN MIDDLE 1/3</v>
      </c>
      <c r="H47" s="44"/>
      <c r="I47" s="45"/>
      <c r="J47">
        <f>IF(D47="&lt;",0,1)</f>
        <v>0</v>
      </c>
    </row>
    <row r="48" spans="1:16" x14ac:dyDescent="0.25">
      <c r="A48" s="66"/>
      <c r="B48" s="44"/>
      <c r="C48" s="44"/>
      <c r="D48" s="44"/>
      <c r="E48" s="44"/>
      <c r="F48" s="44"/>
      <c r="G48" s="44"/>
      <c r="H48" s="44"/>
      <c r="I48" s="45"/>
      <c r="O48">
        <f>Q6</f>
        <v>59.36</v>
      </c>
      <c r="P48">
        <f>P6</f>
        <v>0</v>
      </c>
    </row>
    <row r="49" spans="1:16" x14ac:dyDescent="0.25">
      <c r="A49" s="43" t="s">
        <v>84</v>
      </c>
      <c r="B49" s="51">
        <f>D33+D28+B37+B38</f>
        <v>416.59167000000002</v>
      </c>
      <c r="C49" s="44" t="s">
        <v>21</v>
      </c>
      <c r="D49" s="44"/>
      <c r="E49" s="44"/>
      <c r="F49" s="44"/>
      <c r="G49" s="44"/>
      <c r="H49" s="44"/>
      <c r="I49" s="45"/>
      <c r="O49">
        <f>O48</f>
        <v>59.36</v>
      </c>
      <c r="P49">
        <f>P48-(B55*(50/B54))</f>
        <v>-8.8985572476034491</v>
      </c>
    </row>
    <row r="50" spans="1:16" x14ac:dyDescent="0.25">
      <c r="A50" s="43" t="s">
        <v>85</v>
      </c>
      <c r="B50" s="51">
        <f>((B39)*B10)+D35</f>
        <v>1488.8880000000001</v>
      </c>
      <c r="C50" s="44" t="s">
        <v>21</v>
      </c>
      <c r="D50" s="44"/>
      <c r="E50" s="44"/>
      <c r="F50" s="44"/>
      <c r="G50" s="44"/>
      <c r="H50" s="44"/>
      <c r="I50" s="45"/>
      <c r="O50">
        <v>0</v>
      </c>
      <c r="P50">
        <f>P48-50</f>
        <v>-50</v>
      </c>
    </row>
    <row r="51" spans="1:16" x14ac:dyDescent="0.25">
      <c r="A51" s="43" t="s">
        <v>35</v>
      </c>
      <c r="B51" s="51">
        <f>B50/B49</f>
        <v>3.573974486815831</v>
      </c>
      <c r="C51" s="91" t="str">
        <f>IF(B51&gt;1.5,"OK","NG")</f>
        <v>OK</v>
      </c>
      <c r="D51" s="92" t="str">
        <f>IF(C51="NG","Add/Increase Key Depth, Increase Heel Width, Increase Base Thickness","")</f>
        <v/>
      </c>
      <c r="E51" s="44"/>
      <c r="F51" s="44"/>
      <c r="G51" s="44"/>
      <c r="H51" s="44"/>
      <c r="I51" s="45"/>
      <c r="J51">
        <f>IF(C51="OK",0,1)</f>
        <v>0</v>
      </c>
      <c r="O51">
        <v>0</v>
      </c>
      <c r="P51">
        <f>P48</f>
        <v>0</v>
      </c>
    </row>
    <row r="52" spans="1:16" ht="15.75" thickBot="1" x14ac:dyDescent="0.3">
      <c r="A52" s="87"/>
      <c r="B52" s="69"/>
      <c r="C52" s="69"/>
      <c r="D52" s="69"/>
      <c r="E52" s="69"/>
      <c r="F52" s="69"/>
      <c r="G52" s="69"/>
      <c r="H52" s="69"/>
      <c r="I52" s="88"/>
      <c r="O52" t="s">
        <v>76</v>
      </c>
    </row>
    <row r="53" spans="1:16" x14ac:dyDescent="0.25">
      <c r="A53" s="89" t="s">
        <v>44</v>
      </c>
      <c r="B53" s="90" t="str">
        <f>IF(G47&lt;&gt;"WITHIN MIDDLE 1/3","RESULTANT NOT IN MIDDLE 1/3, PRESSURES NOT VALID","")</f>
        <v/>
      </c>
      <c r="C53" s="79"/>
      <c r="D53" s="79"/>
      <c r="E53" s="79"/>
      <c r="F53" s="79"/>
      <c r="G53" s="79"/>
      <c r="H53" s="79"/>
      <c r="I53" s="80"/>
      <c r="O53" t="s">
        <v>11</v>
      </c>
      <c r="P53" t="s">
        <v>12</v>
      </c>
    </row>
    <row r="54" spans="1:16" x14ac:dyDescent="0.25">
      <c r="A54" s="43" t="s">
        <v>86</v>
      </c>
      <c r="B54" s="51">
        <f>((B39)*(1+((6*B47)/(B21+(B12/12)+B17))))/(1*(B21+(B12/12)+B17))</f>
        <v>1097.0047082400044</v>
      </c>
      <c r="C54" s="44" t="s">
        <v>29</v>
      </c>
      <c r="D54" s="91" t="str">
        <f>IF(B54&lt;=B4,"OK","NG")</f>
        <v>OK</v>
      </c>
      <c r="E54" s="44"/>
      <c r="F54" s="44"/>
      <c r="G54" s="44"/>
      <c r="H54" s="44"/>
      <c r="I54" s="45"/>
      <c r="J54">
        <f>IF(D54="OK",0,1)</f>
        <v>0</v>
      </c>
      <c r="O54">
        <v>0</v>
      </c>
      <c r="P54">
        <f>P48-(B4*(50/B54))</f>
        <v>-91.157311585687239</v>
      </c>
    </row>
    <row r="55" spans="1:16" x14ac:dyDescent="0.25">
      <c r="A55" s="43" t="s">
        <v>87</v>
      </c>
      <c r="B55" s="51">
        <f>((B39)*(1-((6*B47)/(B21+(B12/12)+B17))))/(1*(B21+(B12/12)+B17))</f>
        <v>195.23518394328394</v>
      </c>
      <c r="C55" s="44" t="s">
        <v>29</v>
      </c>
      <c r="D55" s="91" t="str">
        <f>IF(B55&lt;=B4,"OK","NG")</f>
        <v>OK</v>
      </c>
      <c r="E55" s="44"/>
      <c r="F55" s="44"/>
      <c r="G55" s="44"/>
      <c r="H55" s="44"/>
      <c r="I55" s="45"/>
      <c r="J55">
        <f>IF(D55="OK",0,1)</f>
        <v>0</v>
      </c>
      <c r="O55">
        <f>O48</f>
        <v>59.36</v>
      </c>
      <c r="P55">
        <f>P54</f>
        <v>-91.157311585687239</v>
      </c>
    </row>
    <row r="56" spans="1:16" ht="15.75" thickBot="1" x14ac:dyDescent="0.3">
      <c r="A56" s="87"/>
      <c r="B56" s="69"/>
      <c r="C56" s="69"/>
      <c r="D56" s="69"/>
      <c r="E56" s="69"/>
      <c r="F56" s="69"/>
      <c r="G56" s="69"/>
      <c r="H56" s="69"/>
      <c r="I56" s="88"/>
      <c r="J56">
        <f>SUM(J44:J55)</f>
        <v>0</v>
      </c>
    </row>
    <row r="57" spans="1:16" x14ac:dyDescent="0.25">
      <c r="A57" s="78" t="s">
        <v>66</v>
      </c>
      <c r="B57" s="79"/>
      <c r="C57" s="79"/>
      <c r="D57" s="79"/>
      <c r="E57" s="79"/>
      <c r="F57" s="79"/>
      <c r="G57" s="79"/>
      <c r="H57" s="79"/>
      <c r="I57" s="80"/>
    </row>
    <row r="58" spans="1:16" x14ac:dyDescent="0.25">
      <c r="A58" s="81"/>
      <c r="B58" s="44"/>
      <c r="C58" s="44"/>
      <c r="D58" s="44"/>
      <c r="E58" s="44"/>
      <c r="F58" s="44"/>
      <c r="G58" s="44"/>
      <c r="H58" s="44"/>
      <c r="I58" s="45"/>
    </row>
    <row r="59" spans="1:16" x14ac:dyDescent="0.25">
      <c r="A59" s="82" t="s">
        <v>67</v>
      </c>
      <c r="B59" s="44"/>
      <c r="C59" s="44"/>
      <c r="D59" s="44"/>
      <c r="E59" s="44"/>
      <c r="F59" s="44"/>
      <c r="G59" s="44"/>
      <c r="H59" s="44"/>
      <c r="I59" s="45"/>
    </row>
    <row r="60" spans="1:16" x14ac:dyDescent="0.25">
      <c r="A60" s="43" t="s">
        <v>31</v>
      </c>
      <c r="B60" s="51">
        <f>IF(F37="L",B37*(G37-(B16/12)),0)+IF(F38="L",B38*(G38-(B16/12)),0)+B33*B8*(B8/2)</f>
        <v>41.998612499999993</v>
      </c>
      <c r="C60" s="44" t="s">
        <v>79</v>
      </c>
      <c r="D60" s="44"/>
      <c r="E60" s="44"/>
      <c r="F60" s="44"/>
      <c r="G60" s="44"/>
      <c r="H60" s="44"/>
      <c r="I60" s="45"/>
      <c r="N60" s="3"/>
      <c r="O60" s="3"/>
    </row>
    <row r="61" spans="1:16" x14ac:dyDescent="0.25">
      <c r="A61" s="43" t="s">
        <v>64</v>
      </c>
      <c r="B61" s="51">
        <f>IF(F37="W",B37*(G37-(B16/12)),0)+IF(F38="W",B38*(G38-(B16/12)),0)</f>
        <v>0</v>
      </c>
      <c r="C61" s="44" t="s">
        <v>79</v>
      </c>
      <c r="D61" s="44"/>
      <c r="E61" s="44"/>
      <c r="F61" s="44"/>
      <c r="G61" s="44"/>
      <c r="H61" s="44"/>
      <c r="I61" s="45"/>
    </row>
    <row r="62" spans="1:16" x14ac:dyDescent="0.25">
      <c r="A62" s="43" t="s">
        <v>25</v>
      </c>
      <c r="B62" s="51">
        <f>0.5*B2*B8*B8*(B8/3)</f>
        <v>61.586765370000002</v>
      </c>
      <c r="C62" s="44" t="s">
        <v>79</v>
      </c>
      <c r="D62" s="44"/>
      <c r="E62" s="44"/>
      <c r="F62" s="44"/>
      <c r="G62" s="44"/>
      <c r="H62" s="44"/>
      <c r="I62" s="45"/>
    </row>
    <row r="63" spans="1:16" x14ac:dyDescent="0.25">
      <c r="A63" s="43" t="s">
        <v>68</v>
      </c>
      <c r="B63" s="44"/>
      <c r="C63" s="44"/>
      <c r="D63" s="44"/>
      <c r="E63" s="44"/>
      <c r="F63" s="83" t="s">
        <v>71</v>
      </c>
      <c r="G63" s="83"/>
      <c r="H63" s="83"/>
      <c r="I63" s="84"/>
    </row>
    <row r="64" spans="1:16" x14ac:dyDescent="0.25">
      <c r="A64" s="43" t="s">
        <v>69</v>
      </c>
      <c r="B64" s="44">
        <v>1.6</v>
      </c>
      <c r="C64" s="47" t="str">
        <f>"* (L + H) = "</f>
        <v xml:space="preserve">* (L + H) = </v>
      </c>
      <c r="D64" s="51">
        <f>1.6*(B60+B62)</f>
        <v>165.73660459200002</v>
      </c>
      <c r="E64" s="44" t="s">
        <v>79</v>
      </c>
      <c r="F64" s="83" t="s">
        <v>72</v>
      </c>
      <c r="G64" s="85" t="str">
        <f>"H + L = "</f>
        <v xml:space="preserve">H + L = </v>
      </c>
      <c r="H64" s="86">
        <f>B62+B60</f>
        <v>103.58537787</v>
      </c>
      <c r="I64" s="84" t="s">
        <v>79</v>
      </c>
    </row>
    <row r="65" spans="1:9" x14ac:dyDescent="0.25">
      <c r="A65" s="43" t="s">
        <v>70</v>
      </c>
      <c r="B65" s="44">
        <v>1.6</v>
      </c>
      <c r="C65" s="47" t="str">
        <f>"* (W + H) = "</f>
        <v xml:space="preserve">* (W + H) = </v>
      </c>
      <c r="D65" s="51">
        <f>1.6*(B61+B62)</f>
        <v>98.538824592000012</v>
      </c>
      <c r="E65" s="44" t="s">
        <v>79</v>
      </c>
      <c r="F65" s="83" t="s">
        <v>73</v>
      </c>
      <c r="G65" s="85" t="str">
        <f>"H + W = "</f>
        <v xml:space="preserve">H + W = </v>
      </c>
      <c r="H65" s="86">
        <f>B62+B61</f>
        <v>61.586765370000002</v>
      </c>
      <c r="I65" s="84" t="s">
        <v>79</v>
      </c>
    </row>
    <row r="66" spans="1:9" x14ac:dyDescent="0.25">
      <c r="A66" s="66"/>
      <c r="B66" s="44"/>
      <c r="C66" s="44"/>
      <c r="D66" s="44"/>
      <c r="E66" s="44"/>
      <c r="F66" s="83" t="s">
        <v>74</v>
      </c>
      <c r="G66" s="85" t="str">
        <f>"H + 0.75*W + 0.75*L = "</f>
        <v xml:space="preserve">H + 0.75*W + 0.75*L = </v>
      </c>
      <c r="H66" s="86">
        <f>B62+(0.75*B61)+(0.75*B60)</f>
        <v>93.085724744999993</v>
      </c>
      <c r="I66" s="84" t="s">
        <v>79</v>
      </c>
    </row>
    <row r="67" spans="1:9" x14ac:dyDescent="0.25">
      <c r="A67" s="82" t="s">
        <v>75</v>
      </c>
      <c r="B67" s="44"/>
      <c r="C67" s="44"/>
      <c r="D67" s="44"/>
      <c r="E67" s="44"/>
      <c r="F67" s="44"/>
      <c r="G67" s="44"/>
      <c r="H67" s="44"/>
      <c r="I67" s="45"/>
    </row>
    <row r="68" spans="1:9" x14ac:dyDescent="0.25">
      <c r="A68" s="43" t="s">
        <v>31</v>
      </c>
      <c r="B68" s="51">
        <f>IF(F37="L",B37,0)+IF(F38="L",B38,0)+B33*B8</f>
        <v>45.824999999999996</v>
      </c>
      <c r="C68" s="44" t="s">
        <v>21</v>
      </c>
      <c r="D68" s="44"/>
      <c r="E68" s="44"/>
      <c r="F68" s="44"/>
      <c r="G68" s="44"/>
      <c r="H68" s="44"/>
      <c r="I68" s="45"/>
    </row>
    <row r="69" spans="1:9" x14ac:dyDescent="0.25">
      <c r="A69" s="43" t="s">
        <v>64</v>
      </c>
      <c r="B69" s="51">
        <f>IF(F37="W",B37,0)+IF(F38="W",B38,0)</f>
        <v>0</v>
      </c>
      <c r="C69" s="44" t="s">
        <v>21</v>
      </c>
      <c r="D69" s="44"/>
      <c r="E69" s="44"/>
      <c r="F69" s="44"/>
      <c r="G69" s="44"/>
      <c r="H69" s="44"/>
      <c r="I69" s="45"/>
    </row>
    <row r="70" spans="1:9" x14ac:dyDescent="0.25">
      <c r="A70" s="43" t="s">
        <v>25</v>
      </c>
      <c r="B70" s="51">
        <f>0.5*B2*B8*B8</f>
        <v>100.79667000000001</v>
      </c>
      <c r="C70" s="44" t="s">
        <v>21</v>
      </c>
      <c r="D70" s="44"/>
      <c r="E70" s="44"/>
      <c r="F70" s="44"/>
      <c r="G70" s="44"/>
      <c r="H70" s="44"/>
      <c r="I70" s="45"/>
    </row>
    <row r="71" spans="1:9" x14ac:dyDescent="0.25">
      <c r="A71" s="43" t="s">
        <v>68</v>
      </c>
      <c r="B71" s="44"/>
      <c r="C71" s="44"/>
      <c r="D71" s="44"/>
      <c r="E71" s="44"/>
      <c r="F71" s="83" t="s">
        <v>71</v>
      </c>
      <c r="G71" s="83"/>
      <c r="H71" s="83"/>
      <c r="I71" s="84"/>
    </row>
    <row r="72" spans="1:9" x14ac:dyDescent="0.25">
      <c r="A72" s="43" t="s">
        <v>69</v>
      </c>
      <c r="B72" s="44">
        <v>1.6</v>
      </c>
      <c r="C72" s="47" t="str">
        <f>"* (L + H) = "</f>
        <v xml:space="preserve">* (L + H) = </v>
      </c>
      <c r="D72" s="51">
        <f>1.6*(B68+B70)</f>
        <v>234.594672</v>
      </c>
      <c r="E72" s="44" t="s">
        <v>21</v>
      </c>
      <c r="F72" s="83" t="s">
        <v>72</v>
      </c>
      <c r="G72" s="85" t="str">
        <f>"H + L = "</f>
        <v xml:space="preserve">H + L = </v>
      </c>
      <c r="H72" s="86">
        <f>B70+B68</f>
        <v>146.62166999999999</v>
      </c>
      <c r="I72" s="84" t="s">
        <v>21</v>
      </c>
    </row>
    <row r="73" spans="1:9" x14ac:dyDescent="0.25">
      <c r="A73" s="43" t="s">
        <v>70</v>
      </c>
      <c r="B73" s="44">
        <v>1.6</v>
      </c>
      <c r="C73" s="47" t="str">
        <f>"* (W + H) = "</f>
        <v xml:space="preserve">* (W + H) = </v>
      </c>
      <c r="D73" s="51">
        <f>1.6*(B69+B70)</f>
        <v>161.27467200000001</v>
      </c>
      <c r="E73" s="44" t="s">
        <v>21</v>
      </c>
      <c r="F73" s="83" t="s">
        <v>73</v>
      </c>
      <c r="G73" s="85" t="str">
        <f>"H + W = "</f>
        <v xml:space="preserve">H + W = </v>
      </c>
      <c r="H73" s="86">
        <f>B70+B69</f>
        <v>100.79667000000001</v>
      </c>
      <c r="I73" s="84" t="s">
        <v>21</v>
      </c>
    </row>
    <row r="74" spans="1:9" x14ac:dyDescent="0.25">
      <c r="A74" s="66"/>
      <c r="B74" s="44"/>
      <c r="C74" s="44"/>
      <c r="D74" s="44"/>
      <c r="E74" s="44"/>
      <c r="F74" s="83" t="s">
        <v>74</v>
      </c>
      <c r="G74" s="85" t="str">
        <f>"H + 0.75*W + 0.75*L = "</f>
        <v xml:space="preserve">H + 0.75*W + 0.75*L = </v>
      </c>
      <c r="H74" s="86">
        <f>B70+(0.75*B69)+(0.75*B68)</f>
        <v>135.16542000000001</v>
      </c>
      <c r="I74" s="84" t="s">
        <v>21</v>
      </c>
    </row>
    <row r="75" spans="1:9" x14ac:dyDescent="0.25">
      <c r="A75" s="66"/>
      <c r="B75" s="44"/>
      <c r="C75" s="44"/>
      <c r="D75" s="44"/>
      <c r="E75" s="44"/>
      <c r="F75" s="44"/>
      <c r="G75" s="44"/>
      <c r="H75" s="44"/>
      <c r="I75" s="45"/>
    </row>
    <row r="76" spans="1:9" x14ac:dyDescent="0.25">
      <c r="A76" s="82" t="s">
        <v>77</v>
      </c>
      <c r="B76" s="44"/>
      <c r="C76" s="44"/>
      <c r="D76" s="44"/>
      <c r="E76" s="44"/>
      <c r="F76" s="44"/>
      <c r="G76" s="44"/>
      <c r="H76" s="44"/>
      <c r="I76" s="45"/>
    </row>
    <row r="77" spans="1:9" x14ac:dyDescent="0.25">
      <c r="A77" s="43" t="s">
        <v>25</v>
      </c>
      <c r="B77" s="51">
        <f>D35*G35</f>
        <v>25.3125</v>
      </c>
      <c r="C77" s="44" t="s">
        <v>79</v>
      </c>
      <c r="D77" s="44"/>
      <c r="E77" s="44"/>
      <c r="F77" s="44"/>
      <c r="G77" s="44"/>
      <c r="H77" s="44"/>
      <c r="I77" s="45"/>
    </row>
    <row r="78" spans="1:9" x14ac:dyDescent="0.25">
      <c r="A78" s="43" t="s">
        <v>68</v>
      </c>
      <c r="B78" s="51">
        <f>1.6*B77</f>
        <v>40.5</v>
      </c>
      <c r="C78" s="44" t="s">
        <v>79</v>
      </c>
      <c r="D78" s="44"/>
      <c r="E78" s="44"/>
      <c r="F78" s="83" t="s">
        <v>71</v>
      </c>
      <c r="G78" s="86">
        <f>B77</f>
        <v>25.3125</v>
      </c>
      <c r="H78" s="83" t="s">
        <v>79</v>
      </c>
      <c r="I78" s="45"/>
    </row>
    <row r="79" spans="1:9" x14ac:dyDescent="0.25">
      <c r="A79" s="43"/>
      <c r="B79" s="51"/>
      <c r="C79" s="44"/>
      <c r="D79" s="44"/>
      <c r="E79" s="44"/>
      <c r="F79" s="83"/>
      <c r="G79" s="86"/>
      <c r="H79" s="83"/>
      <c r="I79" s="45"/>
    </row>
    <row r="80" spans="1:9" x14ac:dyDescent="0.25">
      <c r="A80" s="82" t="s">
        <v>78</v>
      </c>
      <c r="B80" s="46"/>
      <c r="C80" s="44"/>
      <c r="D80" s="44"/>
      <c r="E80" s="44"/>
      <c r="F80" s="44"/>
      <c r="G80" s="46"/>
      <c r="H80" s="44"/>
      <c r="I80" s="45"/>
    </row>
    <row r="81" spans="1:13" x14ac:dyDescent="0.25">
      <c r="A81" s="43" t="s">
        <v>25</v>
      </c>
      <c r="B81" s="51">
        <f>D35</f>
        <v>50.625</v>
      </c>
      <c r="C81" s="44" t="s">
        <v>21</v>
      </c>
      <c r="D81" s="44"/>
      <c r="E81" s="44"/>
      <c r="F81" s="44"/>
      <c r="G81" s="46"/>
      <c r="H81" s="44"/>
      <c r="I81" s="45"/>
    </row>
    <row r="82" spans="1:13" x14ac:dyDescent="0.25">
      <c r="A82" s="43" t="s">
        <v>68</v>
      </c>
      <c r="B82" s="51">
        <f>1.6*B81</f>
        <v>81</v>
      </c>
      <c r="C82" s="44" t="s">
        <v>21</v>
      </c>
      <c r="D82" s="44"/>
      <c r="E82" s="44"/>
      <c r="F82" s="83" t="s">
        <v>80</v>
      </c>
      <c r="G82" s="86">
        <f>B81</f>
        <v>50.625</v>
      </c>
      <c r="H82" s="83" t="s">
        <v>21</v>
      </c>
      <c r="I82" s="45"/>
    </row>
    <row r="83" spans="1:13" ht="15.75" thickBot="1" x14ac:dyDescent="0.3">
      <c r="A83" s="87"/>
      <c r="B83" s="69"/>
      <c r="C83" s="69"/>
      <c r="D83" s="69"/>
      <c r="E83" s="69"/>
      <c r="F83" s="69"/>
      <c r="G83" s="69"/>
      <c r="H83" s="69"/>
      <c r="I83" s="88"/>
    </row>
    <row r="84" spans="1:13" x14ac:dyDescent="0.25">
      <c r="A84" s="72" t="s">
        <v>90</v>
      </c>
      <c r="B84" s="61"/>
      <c r="C84" s="61"/>
      <c r="D84" s="61"/>
      <c r="E84" s="61"/>
      <c r="F84" s="61"/>
      <c r="G84" s="61"/>
      <c r="H84" s="61"/>
      <c r="I84" s="62"/>
    </row>
    <row r="85" spans="1:13" x14ac:dyDescent="0.25">
      <c r="A85" s="73"/>
      <c r="B85" s="74" t="s">
        <v>89</v>
      </c>
      <c r="C85" s="64"/>
      <c r="D85" s="64"/>
      <c r="E85" s="64"/>
      <c r="F85" s="64"/>
      <c r="G85" s="64"/>
      <c r="H85" s="64"/>
      <c r="I85" s="65"/>
    </row>
    <row r="86" spans="1:13" x14ac:dyDescent="0.25">
      <c r="A86" s="75" t="s">
        <v>18</v>
      </c>
      <c r="B86" s="46">
        <v>1.6</v>
      </c>
      <c r="C86" s="51">
        <f>B28*B86</f>
        <v>319.96800000000007</v>
      </c>
      <c r="D86" s="44" t="s">
        <v>91</v>
      </c>
      <c r="E86" s="47" t="s">
        <v>95</v>
      </c>
      <c r="F86" s="51">
        <f>MAX(((C97)*(1+((6*B47)/(B21+(B12/12)+B17))))/(1*(B21+(B12/12)+B17)),1.6*B54)</f>
        <v>1755.2075331840072</v>
      </c>
      <c r="G86" s="44" t="s">
        <v>29</v>
      </c>
      <c r="H86" s="64"/>
      <c r="I86" s="65"/>
    </row>
    <row r="87" spans="1:13" x14ac:dyDescent="0.25">
      <c r="A87" s="75" t="s">
        <v>65</v>
      </c>
      <c r="B87" s="46">
        <v>1.6</v>
      </c>
      <c r="C87" s="51">
        <f>B29*B87</f>
        <v>1407.7440000000001</v>
      </c>
      <c r="D87" s="44" t="s">
        <v>21</v>
      </c>
      <c r="E87" s="47" t="s">
        <v>94</v>
      </c>
      <c r="F87" s="51">
        <f>MAX(((C97)*(1-((6*B47)/(B21+(B12/12)+B17))))/(1*(B21+(B12/12)+B17)),1.6*B55)</f>
        <v>312.37629430925432</v>
      </c>
      <c r="G87" s="44" t="s">
        <v>29</v>
      </c>
      <c r="H87" s="64"/>
      <c r="I87" s="65"/>
    </row>
    <row r="88" spans="1:13" x14ac:dyDescent="0.25">
      <c r="A88" s="75" t="s">
        <v>144</v>
      </c>
      <c r="B88" s="109">
        <v>1.6</v>
      </c>
      <c r="C88" s="51">
        <f>B88*B30</f>
        <v>0</v>
      </c>
      <c r="D88" s="44" t="s">
        <v>21</v>
      </c>
      <c r="E88" s="47"/>
      <c r="F88" s="51"/>
      <c r="G88" s="44"/>
      <c r="H88" s="64"/>
      <c r="I88" s="65"/>
    </row>
    <row r="89" spans="1:13" x14ac:dyDescent="0.25">
      <c r="A89" s="75" t="s">
        <v>23</v>
      </c>
      <c r="B89" s="46">
        <v>1.2</v>
      </c>
      <c r="C89" s="51">
        <f t="shared" ref="C89:C96" si="1">B31*B89</f>
        <v>1203.9599999999998</v>
      </c>
      <c r="D89" s="44" t="s">
        <v>21</v>
      </c>
      <c r="E89" s="64"/>
      <c r="F89" s="74" t="s">
        <v>11</v>
      </c>
      <c r="G89" s="74" t="s">
        <v>29</v>
      </c>
      <c r="H89" s="64"/>
      <c r="I89" s="65"/>
    </row>
    <row r="90" spans="1:13" x14ac:dyDescent="0.25">
      <c r="A90" s="75" t="s">
        <v>27</v>
      </c>
      <c r="B90" s="46">
        <v>1.2</v>
      </c>
      <c r="C90" s="51">
        <f t="shared" si="1"/>
        <v>1335.6000000000001</v>
      </c>
      <c r="D90" s="44" t="s">
        <v>21</v>
      </c>
      <c r="E90" s="64"/>
      <c r="F90" s="6">
        <v>0</v>
      </c>
      <c r="G90" s="6">
        <f>F86</f>
        <v>1755.2075331840072</v>
      </c>
      <c r="H90" s="64"/>
      <c r="I90" s="65"/>
      <c r="K90" s="117"/>
    </row>
    <row r="91" spans="1:13" ht="18" x14ac:dyDescent="0.35">
      <c r="A91" s="75" t="s">
        <v>32</v>
      </c>
      <c r="B91" s="46">
        <v>1.6</v>
      </c>
      <c r="C91" s="51">
        <f t="shared" si="1"/>
        <v>40</v>
      </c>
      <c r="D91" s="44" t="s">
        <v>92</v>
      </c>
      <c r="E91" s="76" t="s">
        <v>96</v>
      </c>
      <c r="F91" s="6">
        <f>B17</f>
        <v>0.28000000000000003</v>
      </c>
      <c r="G91" s="7">
        <f>G90+((G92-G90)*((F91-F90)/(F92-F90)))</f>
        <v>1673.5378404175117</v>
      </c>
      <c r="H91" s="51">
        <f>(F91-F90)*(G91+G90)*0.5</f>
        <v>480.02435230421264</v>
      </c>
      <c r="I91" s="45" t="s">
        <v>98</v>
      </c>
    </row>
    <row r="92" spans="1:13" x14ac:dyDescent="0.25">
      <c r="A92" s="75" t="s">
        <v>33</v>
      </c>
      <c r="B92" s="46">
        <v>1.6</v>
      </c>
      <c r="C92" s="51">
        <f t="shared" si="1"/>
        <v>320</v>
      </c>
      <c r="D92" s="44" t="s">
        <v>21</v>
      </c>
      <c r="E92" s="76"/>
      <c r="F92" s="6">
        <f>B17+B21+(B12/12)</f>
        <v>4.9466666666666672</v>
      </c>
      <c r="G92" s="6">
        <f>F87</f>
        <v>312.37629430925432</v>
      </c>
      <c r="H92" s="46"/>
      <c r="I92" s="45"/>
    </row>
    <row r="93" spans="1:13" x14ac:dyDescent="0.25">
      <c r="A93" s="75" t="s">
        <v>41</v>
      </c>
      <c r="B93" s="46">
        <v>1.6</v>
      </c>
      <c r="C93" s="51">
        <f t="shared" si="1"/>
        <v>108</v>
      </c>
      <c r="D93" s="44" t="s">
        <v>93</v>
      </c>
      <c r="E93" s="76"/>
      <c r="F93" s="44"/>
      <c r="G93" s="44"/>
      <c r="H93" s="46"/>
      <c r="I93" s="45"/>
    </row>
    <row r="94" spans="1:13" x14ac:dyDescent="0.25">
      <c r="A94" s="75" t="s">
        <v>55</v>
      </c>
      <c r="B94" s="46">
        <v>1.2</v>
      </c>
      <c r="C94" s="51">
        <f t="shared" si="1"/>
        <v>0</v>
      </c>
      <c r="D94" s="44" t="s">
        <v>21</v>
      </c>
      <c r="E94" s="76"/>
      <c r="F94" s="6">
        <v>0</v>
      </c>
      <c r="G94" s="6">
        <f>F86</f>
        <v>1755.2075331840072</v>
      </c>
      <c r="H94" s="46"/>
      <c r="I94" s="45"/>
    </row>
    <row r="95" spans="1:13" ht="18" x14ac:dyDescent="0.35">
      <c r="A95" s="75" t="s">
        <v>60</v>
      </c>
      <c r="B95" s="46">
        <f>IF(F37="D",1.2,1.6)</f>
        <v>1.6</v>
      </c>
      <c r="C95" s="51">
        <f t="shared" si="1"/>
        <v>0</v>
      </c>
      <c r="D95" s="44" t="s">
        <v>39</v>
      </c>
      <c r="E95" s="76" t="s">
        <v>97</v>
      </c>
      <c r="F95" s="6">
        <f>B17+(B12/12)</f>
        <v>0.94666666666666666</v>
      </c>
      <c r="G95" s="7">
        <f>G94+((G96-G94)*((F95-F94)/(F96-F94)))</f>
        <v>1479.0861909734749</v>
      </c>
      <c r="H95" s="51">
        <f>(F96-F95)*(G96+G95)*0.5</f>
        <v>3582.9249705654593</v>
      </c>
      <c r="I95" s="45" t="s">
        <v>99</v>
      </c>
    </row>
    <row r="96" spans="1:13" x14ac:dyDescent="0.25">
      <c r="A96" s="75" t="s">
        <v>61</v>
      </c>
      <c r="B96" s="46">
        <f>IF(F38="D",1.2,1.6)</f>
        <v>1.6</v>
      </c>
      <c r="C96" s="51">
        <f t="shared" si="1"/>
        <v>0</v>
      </c>
      <c r="D96" s="44" t="s">
        <v>39</v>
      </c>
      <c r="E96" s="64"/>
      <c r="F96" s="6">
        <f>F92</f>
        <v>4.9466666666666672</v>
      </c>
      <c r="G96" s="6">
        <f>F87</f>
        <v>312.37629430925432</v>
      </c>
      <c r="H96" s="64"/>
      <c r="I96" s="65"/>
      <c r="L96" s="3">
        <f>F90</f>
        <v>0</v>
      </c>
      <c r="M96" s="3">
        <f>G90</f>
        <v>1755.2075331840072</v>
      </c>
    </row>
    <row r="97" spans="1:14" x14ac:dyDescent="0.25">
      <c r="A97" s="73"/>
      <c r="B97" s="47" t="s">
        <v>81</v>
      </c>
      <c r="C97" s="51">
        <f>C94+C92+C90+C89+C88+C87</f>
        <v>4267.3040000000001</v>
      </c>
      <c r="D97" s="44" t="s">
        <v>21</v>
      </c>
      <c r="E97" s="64"/>
      <c r="F97" s="64"/>
      <c r="G97" s="64"/>
      <c r="H97" s="64"/>
      <c r="I97" s="65"/>
      <c r="L97" s="3">
        <f>F91</f>
        <v>0.28000000000000003</v>
      </c>
      <c r="M97" s="3">
        <f>G91</f>
        <v>1673.5378404175117</v>
      </c>
    </row>
    <row r="98" spans="1:14" x14ac:dyDescent="0.25">
      <c r="A98" s="73"/>
      <c r="B98" s="64"/>
      <c r="C98" s="64"/>
      <c r="D98" s="64"/>
      <c r="E98" s="64"/>
      <c r="F98" s="64"/>
      <c r="G98" s="64"/>
      <c r="H98" s="64"/>
      <c r="I98" s="65"/>
      <c r="K98" s="117"/>
      <c r="L98" s="3">
        <f>L97</f>
        <v>0.28000000000000003</v>
      </c>
      <c r="M98" s="3">
        <f>M97</f>
        <v>1673.5378404175117</v>
      </c>
    </row>
    <row r="99" spans="1:14" x14ac:dyDescent="0.25">
      <c r="A99" s="75" t="s">
        <v>135</v>
      </c>
      <c r="B99" s="77">
        <f>(POWER(B17,2)*(1)*(G91+2*F86)/6)-((C90*POWER(B17,2))/(2*(B17+B21+(B12/12))))-(C88*(B17/2))</f>
        <v>57.152984648664201</v>
      </c>
      <c r="C99" s="44" t="s">
        <v>88</v>
      </c>
      <c r="D99" s="64"/>
      <c r="E99" s="64"/>
      <c r="F99" s="64"/>
      <c r="G99" s="64"/>
      <c r="H99" s="64"/>
      <c r="I99" s="65"/>
      <c r="L99" s="3">
        <f>F95</f>
        <v>0.94666666666666666</v>
      </c>
      <c r="M99" s="3">
        <f>M100</f>
        <v>1479.0861909734749</v>
      </c>
    </row>
    <row r="100" spans="1:14" x14ac:dyDescent="0.25">
      <c r="A100" s="75" t="s">
        <v>136</v>
      </c>
      <c r="B100" s="77">
        <f>((B21*(C87+C92+(C90*(B21/(B21+B17+(B12/12))))))/2)-((POWER(B21,2)*(1)*(G95+2*F87))/6)</f>
        <v>5.2512544213777801</v>
      </c>
      <c r="C100" s="44" t="s">
        <v>88</v>
      </c>
      <c r="D100" s="64"/>
      <c r="E100" s="64"/>
      <c r="F100" s="64"/>
      <c r="G100" s="64"/>
      <c r="H100" s="64"/>
      <c r="I100" s="65"/>
      <c r="L100" s="3">
        <f>L99</f>
        <v>0.94666666666666666</v>
      </c>
      <c r="M100" s="3">
        <f>G95</f>
        <v>1479.0861909734749</v>
      </c>
    </row>
    <row r="101" spans="1:14" x14ac:dyDescent="0.25">
      <c r="A101" s="75" t="s">
        <v>137</v>
      </c>
      <c r="B101" s="77">
        <f>H91-(C88+(C90*(B17/(B17+B21+(B12/12)))))</f>
        <v>404.42435230421262</v>
      </c>
      <c r="C101" s="44" t="s">
        <v>39</v>
      </c>
      <c r="D101" s="64"/>
      <c r="E101" s="64"/>
      <c r="F101" s="64"/>
      <c r="G101" s="64"/>
      <c r="H101" s="64"/>
      <c r="I101" s="65"/>
      <c r="L101" s="3">
        <f>F96</f>
        <v>4.9466666666666672</v>
      </c>
      <c r="M101" s="3">
        <f>G96</f>
        <v>312.37629430925432</v>
      </c>
    </row>
    <row r="102" spans="1:14" x14ac:dyDescent="0.25">
      <c r="A102" s="75" t="s">
        <v>138</v>
      </c>
      <c r="B102" s="77">
        <f>ABS(H95-(C87+C92+(C90*(B21/(B21+B17+(B12/12))))))</f>
        <v>775.18097056545912</v>
      </c>
      <c r="C102" s="44" t="s">
        <v>39</v>
      </c>
      <c r="D102" s="64"/>
      <c r="E102" s="64"/>
      <c r="F102" s="64"/>
      <c r="G102" s="64"/>
      <c r="H102" s="64"/>
      <c r="I102" s="65"/>
    </row>
    <row r="103" spans="1:14" x14ac:dyDescent="0.25">
      <c r="A103" s="73"/>
      <c r="B103" s="64"/>
      <c r="C103" s="64"/>
      <c r="D103" s="64"/>
      <c r="E103" s="64"/>
      <c r="F103" s="64"/>
      <c r="G103" s="64"/>
      <c r="H103" s="64"/>
      <c r="I103" s="65"/>
    </row>
    <row r="104" spans="1:14" x14ac:dyDescent="0.25">
      <c r="A104" s="73"/>
      <c r="B104" s="64"/>
      <c r="C104" s="64"/>
      <c r="D104" s="64"/>
      <c r="E104" s="64"/>
      <c r="F104" s="64"/>
      <c r="G104" s="64"/>
      <c r="H104" s="64"/>
      <c r="I104" s="65"/>
      <c r="K104" s="117"/>
    </row>
    <row r="105" spans="1:14" x14ac:dyDescent="0.25">
      <c r="A105" s="73"/>
      <c r="B105" s="64"/>
      <c r="C105" s="64"/>
      <c r="D105" s="64"/>
      <c r="E105" s="64"/>
      <c r="F105" s="64"/>
      <c r="G105" s="64"/>
      <c r="H105" s="64"/>
      <c r="I105" s="65"/>
    </row>
    <row r="106" spans="1:14" x14ac:dyDescent="0.25">
      <c r="A106" s="73"/>
      <c r="B106" s="64"/>
      <c r="C106" s="64"/>
      <c r="D106" s="64"/>
      <c r="E106" s="64"/>
      <c r="F106" s="64"/>
      <c r="G106" s="64"/>
      <c r="H106" s="64"/>
      <c r="I106" s="65"/>
    </row>
    <row r="107" spans="1:14" x14ac:dyDescent="0.25">
      <c r="A107" s="73"/>
      <c r="B107" s="64"/>
      <c r="C107" s="64"/>
      <c r="D107" s="64"/>
      <c r="E107" s="64"/>
      <c r="F107" s="64"/>
      <c r="G107" s="64"/>
      <c r="H107" s="64"/>
      <c r="I107" s="65"/>
      <c r="M107" t="s">
        <v>116</v>
      </c>
      <c r="N107" t="s">
        <v>117</v>
      </c>
    </row>
    <row r="108" spans="1:14" ht="15.75" thickBot="1" x14ac:dyDescent="0.3">
      <c r="A108" s="53"/>
      <c r="B108" s="54"/>
      <c r="C108" s="54"/>
      <c r="D108" s="54"/>
      <c r="E108" s="54"/>
      <c r="F108" s="54"/>
      <c r="G108" s="54"/>
      <c r="H108" s="54"/>
      <c r="I108" s="55"/>
      <c r="L108" s="1">
        <v>3</v>
      </c>
      <c r="M108" s="1">
        <v>0.11</v>
      </c>
      <c r="N108">
        <v>0.375</v>
      </c>
    </row>
    <row r="109" spans="1:14" ht="15.75" thickBot="1" x14ac:dyDescent="0.3">
      <c r="A109" s="106" t="s">
        <v>100</v>
      </c>
      <c r="B109" s="107"/>
      <c r="C109" s="107"/>
      <c r="D109" s="107"/>
      <c r="E109" s="107"/>
      <c r="F109" s="107"/>
      <c r="G109" s="107"/>
      <c r="H109" s="107"/>
      <c r="I109" s="108"/>
      <c r="L109" s="1">
        <v>4</v>
      </c>
      <c r="M109" s="1">
        <v>0.2</v>
      </c>
      <c r="N109">
        <v>0.5</v>
      </c>
    </row>
    <row r="110" spans="1:14" x14ac:dyDescent="0.25">
      <c r="A110" s="20" t="s">
        <v>13</v>
      </c>
      <c r="B110" s="21"/>
      <c r="C110" s="21"/>
      <c r="D110" s="21"/>
      <c r="E110" s="21"/>
      <c r="F110" s="21"/>
      <c r="G110" s="21"/>
      <c r="H110" s="21"/>
      <c r="I110" s="22"/>
      <c r="L110" s="1">
        <v>5</v>
      </c>
      <c r="M110" s="1">
        <v>0.31</v>
      </c>
      <c r="N110">
        <v>0.625</v>
      </c>
    </row>
    <row r="111" spans="1:14" x14ac:dyDescent="0.25">
      <c r="A111" s="23" t="s">
        <v>101</v>
      </c>
      <c r="B111" s="24">
        <v>4500</v>
      </c>
      <c r="C111" s="25" t="s">
        <v>102</v>
      </c>
      <c r="D111" s="26" t="s">
        <v>118</v>
      </c>
      <c r="E111" s="27">
        <v>60000</v>
      </c>
      <c r="F111" s="25" t="s">
        <v>102</v>
      </c>
      <c r="G111" s="28"/>
      <c r="H111" s="28"/>
      <c r="I111" s="29"/>
      <c r="L111" s="1">
        <v>6</v>
      </c>
      <c r="M111" s="1">
        <v>0.44</v>
      </c>
      <c r="N111">
        <v>0.75</v>
      </c>
    </row>
    <row r="112" spans="1:14" x14ac:dyDescent="0.25">
      <c r="A112" s="23" t="s">
        <v>2</v>
      </c>
      <c r="B112" s="27">
        <f>B12</f>
        <v>8</v>
      </c>
      <c r="C112" s="25" t="s">
        <v>4</v>
      </c>
      <c r="D112" s="8" t="s">
        <v>128</v>
      </c>
      <c r="E112" s="9">
        <f>IF(B111&lt;=4000,0.85,IF(B111&lt;=8000,0.85-(0.05*((B111-4000)/1000)),0.65))</f>
        <v>0.82499999999999996</v>
      </c>
      <c r="F112" s="25"/>
      <c r="G112" s="28"/>
      <c r="H112" s="28"/>
      <c r="I112" s="29"/>
      <c r="L112" s="1">
        <v>7</v>
      </c>
      <c r="M112" s="1">
        <v>0.6</v>
      </c>
      <c r="N112">
        <v>0.875</v>
      </c>
    </row>
    <row r="113" spans="1:14" x14ac:dyDescent="0.25">
      <c r="A113" s="23" t="s">
        <v>103</v>
      </c>
      <c r="B113" s="24">
        <v>4</v>
      </c>
      <c r="C113" s="25" t="s">
        <v>4</v>
      </c>
      <c r="D113" s="26" t="s">
        <v>129</v>
      </c>
      <c r="E113" s="30">
        <f>0.319*E112*(B111/$E$111)</f>
        <v>1.9738124999999999E-2</v>
      </c>
      <c r="F113" s="25"/>
      <c r="G113" s="28"/>
      <c r="H113" s="28"/>
      <c r="I113" s="29"/>
      <c r="L113" s="1">
        <v>8</v>
      </c>
      <c r="M113" s="1">
        <v>0.79</v>
      </c>
      <c r="N113">
        <v>1</v>
      </c>
    </row>
    <row r="114" spans="1:14" x14ac:dyDescent="0.25">
      <c r="A114" s="121" t="s">
        <v>112</v>
      </c>
      <c r="B114" s="122"/>
      <c r="C114" s="122"/>
      <c r="D114" s="122"/>
      <c r="E114" s="25"/>
      <c r="F114" s="25"/>
      <c r="G114" s="28"/>
      <c r="H114" s="28"/>
      <c r="I114" s="29"/>
      <c r="L114" s="1">
        <v>9</v>
      </c>
      <c r="M114" s="1">
        <v>1</v>
      </c>
      <c r="N114">
        <v>1.1279999999999999</v>
      </c>
    </row>
    <row r="115" spans="1:14" x14ac:dyDescent="0.25">
      <c r="A115" s="23" t="s">
        <v>105</v>
      </c>
      <c r="B115" s="24">
        <v>4</v>
      </c>
      <c r="C115" s="25"/>
      <c r="D115" s="25"/>
      <c r="E115" s="25"/>
      <c r="F115" s="25"/>
      <c r="G115" s="28"/>
      <c r="H115" s="28"/>
      <c r="I115" s="29"/>
      <c r="L115" s="1">
        <v>10</v>
      </c>
      <c r="M115" s="1">
        <v>1.27</v>
      </c>
      <c r="N115">
        <v>1.27</v>
      </c>
    </row>
    <row r="116" spans="1:14" x14ac:dyDescent="0.25">
      <c r="A116" s="23" t="s">
        <v>106</v>
      </c>
      <c r="B116" s="31">
        <f>B112*12</f>
        <v>96</v>
      </c>
      <c r="C116" s="25" t="s">
        <v>107</v>
      </c>
      <c r="D116" s="25"/>
      <c r="E116" s="25"/>
      <c r="F116" s="25"/>
      <c r="G116" s="28"/>
      <c r="H116" s="28"/>
      <c r="I116" s="29"/>
      <c r="L116" s="1">
        <v>11</v>
      </c>
      <c r="M116" s="1">
        <v>1.56</v>
      </c>
      <c r="N116">
        <v>1.41</v>
      </c>
    </row>
    <row r="117" spans="1:14" x14ac:dyDescent="0.25">
      <c r="A117" s="23" t="s">
        <v>108</v>
      </c>
      <c r="B117" s="31">
        <f>IF(B115&gt;5,0.0025*B116,0.002*B116)</f>
        <v>0.192</v>
      </c>
      <c r="C117" s="25" t="s">
        <v>107</v>
      </c>
      <c r="D117" s="25"/>
      <c r="E117" s="25"/>
      <c r="F117" s="25"/>
      <c r="G117" s="28"/>
      <c r="H117" s="28"/>
      <c r="I117" s="29"/>
      <c r="L117" s="1">
        <v>14</v>
      </c>
      <c r="M117" s="1">
        <v>2.25</v>
      </c>
      <c r="N117">
        <v>1.6930000000000001</v>
      </c>
    </row>
    <row r="118" spans="1:14" x14ac:dyDescent="0.25">
      <c r="A118" s="23" t="s">
        <v>109</v>
      </c>
      <c r="B118" s="31">
        <f>B117/LOOKUP(B115,L108:L118,M108:M118)</f>
        <v>0.96</v>
      </c>
      <c r="C118" s="25"/>
      <c r="D118" s="25"/>
      <c r="E118" s="25"/>
      <c r="F118" s="25"/>
      <c r="G118" s="28"/>
      <c r="H118" s="28"/>
      <c r="I118" s="29"/>
      <c r="L118" s="1">
        <v>18</v>
      </c>
      <c r="M118" s="1">
        <v>4</v>
      </c>
      <c r="N118">
        <v>2.2570000000000001</v>
      </c>
    </row>
    <row r="119" spans="1:14" x14ac:dyDescent="0.25">
      <c r="A119" s="23" t="s">
        <v>110</v>
      </c>
      <c r="B119" s="31">
        <f>FLOOR(12*(1/B118),0.25)</f>
        <v>12.5</v>
      </c>
      <c r="C119" s="25" t="s">
        <v>111</v>
      </c>
      <c r="D119" s="27" t="str">
        <f>IF(B119&gt;E119,"&gt;","&lt;")</f>
        <v>&lt;</v>
      </c>
      <c r="E119" s="27">
        <f>MIN(3*B112,18)</f>
        <v>18</v>
      </c>
      <c r="F119" s="25" t="s">
        <v>4</v>
      </c>
      <c r="G119" s="28"/>
      <c r="H119" s="28"/>
      <c r="I119" s="29"/>
    </row>
    <row r="120" spans="1:14" x14ac:dyDescent="0.25">
      <c r="A120" s="32"/>
      <c r="B120" s="25"/>
      <c r="C120" s="25"/>
      <c r="D120" s="25"/>
      <c r="E120" s="25"/>
      <c r="F120" s="25"/>
      <c r="G120" s="28"/>
      <c r="H120" s="28"/>
      <c r="I120" s="29"/>
    </row>
    <row r="121" spans="1:14" x14ac:dyDescent="0.25">
      <c r="A121" s="23" t="s">
        <v>113</v>
      </c>
      <c r="B121" s="25"/>
      <c r="C121" s="25"/>
      <c r="D121" s="25"/>
      <c r="E121" s="25"/>
      <c r="F121" s="25"/>
      <c r="G121" s="25"/>
      <c r="H121" s="25"/>
      <c r="I121" s="33"/>
    </row>
    <row r="122" spans="1:14" x14ac:dyDescent="0.25">
      <c r="A122" s="23" t="s">
        <v>105</v>
      </c>
      <c r="B122" s="24">
        <v>5</v>
      </c>
      <c r="C122" s="25"/>
      <c r="D122" s="25"/>
      <c r="E122" s="25"/>
      <c r="F122" s="25"/>
      <c r="G122" s="25"/>
      <c r="H122" s="25"/>
      <c r="I122" s="33"/>
    </row>
    <row r="123" spans="1:14" x14ac:dyDescent="0.25">
      <c r="A123" s="23" t="s">
        <v>114</v>
      </c>
      <c r="B123" s="24">
        <v>10</v>
      </c>
      <c r="C123" s="25" t="s">
        <v>4</v>
      </c>
      <c r="D123" s="25"/>
      <c r="E123" s="25"/>
      <c r="F123" s="25"/>
      <c r="G123" s="25"/>
      <c r="H123" s="25"/>
      <c r="I123" s="33"/>
    </row>
    <row r="124" spans="1:14" x14ac:dyDescent="0.25">
      <c r="A124" s="23" t="s">
        <v>115</v>
      </c>
      <c r="B124" s="27">
        <f>(12/B123)*LOOKUP(B122,L108:L118,M108:M118)</f>
        <v>0.372</v>
      </c>
      <c r="C124" s="25" t="s">
        <v>107</v>
      </c>
      <c r="D124" s="27" t="str">
        <f>IF(B124&gt;E124,"&gt;","NG")</f>
        <v>&gt;</v>
      </c>
      <c r="E124" s="30">
        <f>MAX((3*SQRT(B111)*12*B125)/$E$111,(200*12*B125)/$E$111)</f>
        <v>0.14841901200654853</v>
      </c>
      <c r="F124" s="25" t="s">
        <v>126</v>
      </c>
      <c r="G124" s="25"/>
      <c r="H124" s="25"/>
      <c r="I124" s="34" t="str">
        <f>IF(D124="&gt;","OK","NG")</f>
        <v>OK</v>
      </c>
    </row>
    <row r="125" spans="1:14" x14ac:dyDescent="0.25">
      <c r="A125" s="23" t="s">
        <v>104</v>
      </c>
      <c r="B125" s="27">
        <f>B112-B113-(LOOKUP(B122,L108:L118,N108:N118)/2)</f>
        <v>3.6875</v>
      </c>
      <c r="C125" s="25" t="s">
        <v>4</v>
      </c>
      <c r="D125" s="26" t="s">
        <v>130</v>
      </c>
      <c r="E125" s="30">
        <f>B124/(12*B125)</f>
        <v>8.4067796610169492E-3</v>
      </c>
      <c r="F125" s="27" t="str">
        <f>IF(E125&lt;E113,"&lt;","NG")</f>
        <v>&lt;</v>
      </c>
      <c r="G125" s="25" t="s">
        <v>131</v>
      </c>
      <c r="H125" s="25"/>
      <c r="I125" s="34" t="str">
        <f>IF(F125="&lt;","OK","NG")</f>
        <v>OK</v>
      </c>
    </row>
    <row r="126" spans="1:14" x14ac:dyDescent="0.25">
      <c r="A126" s="23" t="s">
        <v>119</v>
      </c>
      <c r="B126" s="31">
        <f>(B124*E111)/(0.85*B111*12)</f>
        <v>0.48627450980392156</v>
      </c>
      <c r="C126" s="25" t="s">
        <v>4</v>
      </c>
      <c r="D126" s="25"/>
      <c r="E126" s="25"/>
      <c r="F126" s="25"/>
      <c r="G126" s="25"/>
      <c r="H126" s="25"/>
      <c r="I126" s="33"/>
    </row>
    <row r="127" spans="1:14" x14ac:dyDescent="0.25">
      <c r="A127" s="23" t="s">
        <v>122</v>
      </c>
      <c r="B127" s="35">
        <f>(B124*E111)*(B125-(B126/2))*0.9</f>
        <v>69190.358823529416</v>
      </c>
      <c r="C127" s="27" t="s">
        <v>120</v>
      </c>
      <c r="D127" s="36">
        <f>B127/12</f>
        <v>5765.8632352941177</v>
      </c>
      <c r="E127" s="27" t="s">
        <v>88</v>
      </c>
      <c r="F127" s="27" t="str">
        <f>IF(D127&gt;G127,"&gt;","NG")</f>
        <v>&gt;</v>
      </c>
      <c r="G127" s="35">
        <f>MAX(D64:D65)</f>
        <v>165.73660459200002</v>
      </c>
      <c r="H127" s="25" t="s">
        <v>88</v>
      </c>
      <c r="I127" s="34" t="str">
        <f>IF(F127="&gt;","OK","NG")</f>
        <v>OK</v>
      </c>
    </row>
    <row r="128" spans="1:14" x14ac:dyDescent="0.25">
      <c r="A128" s="23" t="s">
        <v>123</v>
      </c>
      <c r="B128" s="35">
        <f>2*SQRT(B111)*12*B125*0.75</f>
        <v>4452.570360196456</v>
      </c>
      <c r="C128" s="25" t="s">
        <v>39</v>
      </c>
      <c r="D128" s="25"/>
      <c r="E128" s="25"/>
      <c r="F128" s="25"/>
      <c r="G128" s="25"/>
      <c r="H128" s="25"/>
      <c r="I128" s="33"/>
    </row>
    <row r="129" spans="1:9" x14ac:dyDescent="0.25">
      <c r="A129" s="23" t="s">
        <v>121</v>
      </c>
      <c r="B129" s="35">
        <f>0.5*B128</f>
        <v>2226.285180098228</v>
      </c>
      <c r="C129" s="25" t="s">
        <v>39</v>
      </c>
      <c r="D129" s="27" t="str">
        <f>IF(B129&gt;E129,"&gt;","NG")</f>
        <v>&gt;</v>
      </c>
      <c r="E129" s="35">
        <f>MAX(D72:D73)</f>
        <v>234.594672</v>
      </c>
      <c r="F129" s="25" t="s">
        <v>39</v>
      </c>
      <c r="G129" s="25"/>
      <c r="H129" s="25"/>
      <c r="I129" s="34" t="str">
        <f>IF(D129="&gt;","OK","NG")</f>
        <v>OK</v>
      </c>
    </row>
    <row r="130" spans="1:9" ht="15.75" thickBot="1" x14ac:dyDescent="0.3">
      <c r="A130" s="37"/>
      <c r="B130" s="38"/>
      <c r="C130" s="38"/>
      <c r="D130" s="38"/>
      <c r="E130" s="38"/>
      <c r="F130" s="38"/>
      <c r="G130" s="38"/>
      <c r="H130" s="38"/>
      <c r="I130" s="39"/>
    </row>
    <row r="131" spans="1:9" x14ac:dyDescent="0.25">
      <c r="A131" s="40" t="s">
        <v>124</v>
      </c>
      <c r="B131" s="41"/>
      <c r="C131" s="41"/>
      <c r="D131" s="41"/>
      <c r="E131" s="41"/>
      <c r="F131" s="41"/>
      <c r="G131" s="113" t="s">
        <v>150</v>
      </c>
      <c r="H131" s="111" t="str">
        <f>IF(AND(H134&gt;G141,H136&gt;E143),"OK","NG")</f>
        <v>OK</v>
      </c>
      <c r="I131" s="42"/>
    </row>
    <row r="132" spans="1:9" x14ac:dyDescent="0.25">
      <c r="A132" s="43" t="s">
        <v>101</v>
      </c>
      <c r="B132" s="24">
        <v>3000</v>
      </c>
      <c r="C132" s="44" t="s">
        <v>102</v>
      </c>
      <c r="D132" s="44"/>
      <c r="E132" s="44"/>
      <c r="F132" s="44"/>
      <c r="G132" s="43" t="s">
        <v>147</v>
      </c>
      <c r="H132" s="51">
        <f>12*POWER(B133,2)*(1/6)</f>
        <v>648</v>
      </c>
      <c r="I132" s="45" t="s">
        <v>151</v>
      </c>
    </row>
    <row r="133" spans="1:9" x14ac:dyDescent="0.25">
      <c r="A133" s="43" t="s">
        <v>2</v>
      </c>
      <c r="B133" s="46">
        <f>B16</f>
        <v>18</v>
      </c>
      <c r="C133" s="44" t="s">
        <v>4</v>
      </c>
      <c r="D133" s="5" t="s">
        <v>128</v>
      </c>
      <c r="E133" s="4">
        <f>IF(B132&lt;=4000,0.85,IF(B132&lt;=8000,0.85-(0.05*((B132-4000)/1000)),0.65))</f>
        <v>0.85</v>
      </c>
      <c r="F133" s="44"/>
      <c r="G133" s="43" t="s">
        <v>148</v>
      </c>
      <c r="H133" s="51">
        <f>(5*SQRT(B132)*H132)/12</f>
        <v>14788.509052639485</v>
      </c>
      <c r="I133" s="45" t="s">
        <v>88</v>
      </c>
    </row>
    <row r="134" spans="1:9" x14ac:dyDescent="0.25">
      <c r="A134" s="43" t="s">
        <v>103</v>
      </c>
      <c r="B134" s="24">
        <v>3</v>
      </c>
      <c r="C134" s="44" t="s">
        <v>4</v>
      </c>
      <c r="D134" s="47" t="s">
        <v>129</v>
      </c>
      <c r="E134" s="48">
        <f>0.319*E133*(B132/$E$111)</f>
        <v>1.35575E-2</v>
      </c>
      <c r="F134" s="44"/>
      <c r="G134" s="43" t="s">
        <v>122</v>
      </c>
      <c r="H134" s="51">
        <f>0.6*H133</f>
        <v>8873.10543158369</v>
      </c>
      <c r="I134" s="45" t="s">
        <v>88</v>
      </c>
    </row>
    <row r="135" spans="1:9" x14ac:dyDescent="0.25">
      <c r="A135" s="123" t="s">
        <v>125</v>
      </c>
      <c r="B135" s="124"/>
      <c r="C135" s="124"/>
      <c r="D135" s="124"/>
      <c r="E135" s="124"/>
      <c r="F135" s="44"/>
      <c r="G135" s="43" t="s">
        <v>149</v>
      </c>
      <c r="H135" s="51">
        <f>(4/3)*SQRT(B132)*12*B133</f>
        <v>15774.409656148782</v>
      </c>
      <c r="I135" s="45" t="s">
        <v>39</v>
      </c>
    </row>
    <row r="136" spans="1:9" ht="15.75" thickBot="1" x14ac:dyDescent="0.3">
      <c r="A136" s="43" t="s">
        <v>105</v>
      </c>
      <c r="B136" s="24">
        <v>3</v>
      </c>
      <c r="C136" s="44"/>
      <c r="D136" s="44"/>
      <c r="E136" s="44"/>
      <c r="F136" s="44"/>
      <c r="G136" s="67" t="s">
        <v>123</v>
      </c>
      <c r="H136" s="68">
        <f>0.6*H135</f>
        <v>9464.6457936892693</v>
      </c>
      <c r="I136" s="88" t="s">
        <v>39</v>
      </c>
    </row>
    <row r="137" spans="1:9" x14ac:dyDescent="0.25">
      <c r="A137" s="43" t="s">
        <v>114</v>
      </c>
      <c r="B137" s="24">
        <v>12</v>
      </c>
      <c r="C137" s="44" t="s">
        <v>4</v>
      </c>
      <c r="D137" s="44"/>
      <c r="E137" s="44"/>
      <c r="F137" s="44"/>
      <c r="G137" s="44"/>
      <c r="H137" s="44"/>
      <c r="I137" s="45"/>
    </row>
    <row r="138" spans="1:9" x14ac:dyDescent="0.25">
      <c r="A138" s="43" t="s">
        <v>115</v>
      </c>
      <c r="B138" s="46">
        <f>(12/B137)*LOOKUP(B136,L108:L118,M108:M118)</f>
        <v>0.11</v>
      </c>
      <c r="C138" s="44" t="s">
        <v>107</v>
      </c>
      <c r="D138" s="46" t="str">
        <f>IF(B138&gt;E138,"&gt;","NG")</f>
        <v>NG</v>
      </c>
      <c r="E138" s="46">
        <f>MAX((3*SQRT(B132)*12*B139)/$E$111,(200*12*B139)/$E$111)</f>
        <v>0.59250000000000003</v>
      </c>
      <c r="F138" s="44" t="s">
        <v>126</v>
      </c>
      <c r="G138" s="44"/>
      <c r="H138" s="44"/>
      <c r="I138" s="49" t="str">
        <f>IF(H131="OK","OK",IF(D138="&gt;","OK","NG"))</f>
        <v>OK</v>
      </c>
    </row>
    <row r="139" spans="1:9" x14ac:dyDescent="0.25">
      <c r="A139" s="43" t="s">
        <v>104</v>
      </c>
      <c r="B139" s="46">
        <f>B133-B134-(LOOKUP(B136,L108:L118,N108:N118)/2)</f>
        <v>14.8125</v>
      </c>
      <c r="C139" s="44" t="s">
        <v>4</v>
      </c>
      <c r="D139" s="47" t="s">
        <v>130</v>
      </c>
      <c r="E139" s="48">
        <f>B138/(12*B139)</f>
        <v>6.1884669479606187E-4</v>
      </c>
      <c r="F139" s="46" t="str">
        <f>IF(E139&lt;E134,"&lt;","NG")</f>
        <v>&lt;</v>
      </c>
      <c r="G139" s="44" t="s">
        <v>131</v>
      </c>
      <c r="H139" s="44"/>
      <c r="I139" s="49" t="str">
        <f>IF(H131="OK","OK",IF(F139="&lt;","OK","NG"))</f>
        <v>OK</v>
      </c>
    </row>
    <row r="140" spans="1:9" x14ac:dyDescent="0.25">
      <c r="A140" s="43" t="s">
        <v>119</v>
      </c>
      <c r="B140" s="50">
        <f>(B138*$E$111)/(0.85*B132*12)</f>
        <v>0.21568627450980393</v>
      </c>
      <c r="C140" s="44" t="s">
        <v>4</v>
      </c>
      <c r="D140" s="44"/>
      <c r="E140" s="44"/>
      <c r="F140" s="44"/>
      <c r="G140" s="44"/>
      <c r="H140" s="44"/>
      <c r="I140" s="45"/>
    </row>
    <row r="141" spans="1:9" x14ac:dyDescent="0.25">
      <c r="A141" s="43" t="s">
        <v>122</v>
      </c>
      <c r="B141" s="51">
        <f>(B138*$E$111)*(B139-(B140/2))*0.9</f>
        <v>87345.661764705888</v>
      </c>
      <c r="C141" s="46" t="s">
        <v>120</v>
      </c>
      <c r="D141" s="52">
        <f>B141/12</f>
        <v>7278.8051470588243</v>
      </c>
      <c r="E141" s="46" t="s">
        <v>88</v>
      </c>
      <c r="F141" s="46" t="str">
        <f>IF(D141&gt;G141,"&gt;","NG")</f>
        <v>&gt;</v>
      </c>
      <c r="G141" s="51">
        <f>B99</f>
        <v>57.152984648664201</v>
      </c>
      <c r="H141" s="44" t="s">
        <v>88</v>
      </c>
      <c r="I141" s="49" t="str">
        <f>IF(H131="OK","OK",IF(F141="&gt;","OK","NG"))</f>
        <v>OK</v>
      </c>
    </row>
    <row r="142" spans="1:9" x14ac:dyDescent="0.25">
      <c r="A142" s="43" t="s">
        <v>123</v>
      </c>
      <c r="B142" s="51">
        <f>2*SQRT(B132)*12*B139*0.75</f>
        <v>14603.652689481492</v>
      </c>
      <c r="C142" s="44" t="s">
        <v>39</v>
      </c>
      <c r="D142" s="44"/>
      <c r="E142" s="44"/>
      <c r="F142" s="44"/>
      <c r="G142" s="44"/>
      <c r="H142" s="44"/>
      <c r="I142" s="45"/>
    </row>
    <row r="143" spans="1:9" x14ac:dyDescent="0.25">
      <c r="A143" s="43" t="s">
        <v>121</v>
      </c>
      <c r="B143" s="51">
        <f>0.5*B142</f>
        <v>7301.8263447407462</v>
      </c>
      <c r="C143" s="44" t="s">
        <v>39</v>
      </c>
      <c r="D143" s="46" t="str">
        <f>IF(B143&gt;E143,"&gt;","NG")</f>
        <v>&gt;</v>
      </c>
      <c r="E143" s="51">
        <f>B101</f>
        <v>404.42435230421262</v>
      </c>
      <c r="F143" s="44" t="s">
        <v>39</v>
      </c>
      <c r="G143" s="44"/>
      <c r="H143" s="44"/>
      <c r="I143" s="49" t="str">
        <f>IF(H131="OK","OK",IF(D143="&gt;","OK","NG"))</f>
        <v>OK</v>
      </c>
    </row>
    <row r="144" spans="1:9" ht="15.75" thickBot="1" x14ac:dyDescent="0.3">
      <c r="A144" s="53"/>
      <c r="B144" s="54"/>
      <c r="C144" s="54"/>
      <c r="D144" s="54"/>
      <c r="E144" s="54"/>
      <c r="F144" s="54"/>
      <c r="G144" s="54"/>
      <c r="H144" s="54"/>
      <c r="I144" s="55"/>
    </row>
    <row r="145" spans="1:9" x14ac:dyDescent="0.25">
      <c r="A145" s="20" t="s">
        <v>127</v>
      </c>
      <c r="B145" s="56"/>
      <c r="C145" s="56"/>
      <c r="D145" s="56"/>
      <c r="E145" s="56"/>
      <c r="F145" s="56"/>
      <c r="G145" s="114" t="s">
        <v>150</v>
      </c>
      <c r="H145" s="112" t="str">
        <f>IF(AND(H148&gt;G155,H150&gt;E157),"OK","NG")</f>
        <v>OK</v>
      </c>
      <c r="I145" s="57"/>
    </row>
    <row r="146" spans="1:9" x14ac:dyDescent="0.25">
      <c r="A146" s="23" t="s">
        <v>101</v>
      </c>
      <c r="B146" s="27">
        <f>B132</f>
        <v>3000</v>
      </c>
      <c r="C146" s="25" t="s">
        <v>102</v>
      </c>
      <c r="D146" s="25"/>
      <c r="E146" s="25"/>
      <c r="F146" s="25"/>
      <c r="G146" s="23" t="s">
        <v>147</v>
      </c>
      <c r="H146" s="35">
        <f>12*POWER(B147,2)*(1/6)</f>
        <v>648</v>
      </c>
      <c r="I146" s="33" t="s">
        <v>151</v>
      </c>
    </row>
    <row r="147" spans="1:9" x14ac:dyDescent="0.25">
      <c r="A147" s="23" t="s">
        <v>2</v>
      </c>
      <c r="B147" s="27">
        <f>B133</f>
        <v>18</v>
      </c>
      <c r="C147" s="25" t="s">
        <v>4</v>
      </c>
      <c r="D147" s="25"/>
      <c r="E147" s="25"/>
      <c r="F147" s="25"/>
      <c r="G147" s="23" t="s">
        <v>148</v>
      </c>
      <c r="H147" s="35">
        <f>(5*SQRT(B146)*H146)/12</f>
        <v>14788.509052639485</v>
      </c>
      <c r="I147" s="33" t="s">
        <v>88</v>
      </c>
    </row>
    <row r="148" spans="1:9" x14ac:dyDescent="0.25">
      <c r="A148" s="23" t="s">
        <v>103</v>
      </c>
      <c r="B148" s="24">
        <v>2</v>
      </c>
      <c r="C148" s="25" t="s">
        <v>4</v>
      </c>
      <c r="D148" s="25"/>
      <c r="E148" s="25"/>
      <c r="F148" s="25"/>
      <c r="G148" s="23" t="s">
        <v>122</v>
      </c>
      <c r="H148" s="35">
        <f>0.6*H147</f>
        <v>8873.10543158369</v>
      </c>
      <c r="I148" s="33" t="s">
        <v>88</v>
      </c>
    </row>
    <row r="149" spans="1:9" x14ac:dyDescent="0.25">
      <c r="A149" s="121" t="s">
        <v>125</v>
      </c>
      <c r="B149" s="122"/>
      <c r="C149" s="122"/>
      <c r="D149" s="122"/>
      <c r="E149" s="25"/>
      <c r="F149" s="25"/>
      <c r="G149" s="23" t="s">
        <v>149</v>
      </c>
      <c r="H149" s="35">
        <f>(4/3)*SQRT(B146)*12*B147</f>
        <v>15774.409656148782</v>
      </c>
      <c r="I149" s="33" t="s">
        <v>39</v>
      </c>
    </row>
    <row r="150" spans="1:9" ht="15.75" thickBot="1" x14ac:dyDescent="0.3">
      <c r="A150" s="23" t="s">
        <v>105</v>
      </c>
      <c r="B150" s="24">
        <v>4</v>
      </c>
      <c r="C150" s="25"/>
      <c r="D150" s="25"/>
      <c r="E150" s="25"/>
      <c r="F150" s="25"/>
      <c r="G150" s="115" t="s">
        <v>123</v>
      </c>
      <c r="H150" s="116">
        <f>0.6*H149</f>
        <v>9464.6457936892693</v>
      </c>
      <c r="I150" s="39" t="s">
        <v>39</v>
      </c>
    </row>
    <row r="151" spans="1:9" x14ac:dyDescent="0.25">
      <c r="A151" s="23" t="s">
        <v>114</v>
      </c>
      <c r="B151" s="24">
        <v>12</v>
      </c>
      <c r="C151" s="25" t="s">
        <v>4</v>
      </c>
      <c r="D151" s="25"/>
      <c r="E151" s="25"/>
      <c r="F151" s="25"/>
      <c r="G151" s="25"/>
      <c r="H151" s="25"/>
      <c r="I151" s="33"/>
    </row>
    <row r="152" spans="1:9" x14ac:dyDescent="0.25">
      <c r="A152" s="23" t="s">
        <v>115</v>
      </c>
      <c r="B152" s="27">
        <f>(12/B151)*LOOKUP(B150,L108:L118,M108:M118)</f>
        <v>0.2</v>
      </c>
      <c r="C152" s="25" t="s">
        <v>107</v>
      </c>
      <c r="D152" s="27" t="str">
        <f>IF(B152&gt;E152,"&gt;","NG")</f>
        <v>NG</v>
      </c>
      <c r="E152" s="27">
        <f>MAX((3*SQRT(B146)*12*B153)/$E$111,(200*12*B153)/$E$111)</f>
        <v>0.63</v>
      </c>
      <c r="F152" s="25" t="s">
        <v>126</v>
      </c>
      <c r="G152" s="25"/>
      <c r="H152" s="25"/>
      <c r="I152" s="34" t="str">
        <f>IF(H145="OK","OK",IF(D152="&gt;","OK","NG"))</f>
        <v>OK</v>
      </c>
    </row>
    <row r="153" spans="1:9" x14ac:dyDescent="0.25">
      <c r="A153" s="23" t="s">
        <v>104</v>
      </c>
      <c r="B153" s="27">
        <f>B147-B148-(LOOKUP(B150,L108:L118,N108:N118)/2)</f>
        <v>15.75</v>
      </c>
      <c r="C153" s="25" t="s">
        <v>4</v>
      </c>
      <c r="D153" s="26" t="s">
        <v>130</v>
      </c>
      <c r="E153" s="30">
        <f>B152/(12*B153)</f>
        <v>1.0582010582010583E-3</v>
      </c>
      <c r="F153" s="27" t="str">
        <f>IF(E153&lt;E134,"&lt;","NG")</f>
        <v>&lt;</v>
      </c>
      <c r="G153" s="25" t="s">
        <v>131</v>
      </c>
      <c r="H153" s="25"/>
      <c r="I153" s="34" t="str">
        <f>IF(H145="OK","OK",IF(F153="&lt;","OK","NG"))</f>
        <v>OK</v>
      </c>
    </row>
    <row r="154" spans="1:9" x14ac:dyDescent="0.25">
      <c r="A154" s="23" t="s">
        <v>119</v>
      </c>
      <c r="B154" s="31">
        <f>(B152*$E$111)/(0.85*B146*12)</f>
        <v>0.39215686274509803</v>
      </c>
      <c r="C154" s="25" t="s">
        <v>4</v>
      </c>
      <c r="D154" s="25"/>
      <c r="E154" s="25"/>
      <c r="F154" s="25"/>
      <c r="G154" s="25"/>
      <c r="H154" s="25"/>
      <c r="I154" s="33"/>
    </row>
    <row r="155" spans="1:9" x14ac:dyDescent="0.25">
      <c r="A155" s="23" t="s">
        <v>122</v>
      </c>
      <c r="B155" s="35">
        <f>(B152*$E$111)*(B153-(B154/2))*0.9</f>
        <v>167982.35294117648</v>
      </c>
      <c r="C155" s="27" t="s">
        <v>120</v>
      </c>
      <c r="D155" s="36">
        <f>B155/12</f>
        <v>13998.529411764706</v>
      </c>
      <c r="E155" s="27" t="s">
        <v>88</v>
      </c>
      <c r="F155" s="27" t="str">
        <f>IF(D155&gt;G155,"&gt;","NG")</f>
        <v>&gt;</v>
      </c>
      <c r="G155" s="35">
        <f>B100</f>
        <v>5.2512544213777801</v>
      </c>
      <c r="H155" s="25" t="s">
        <v>88</v>
      </c>
      <c r="I155" s="34" t="str">
        <f>IF(H145="OK","OK",IF(F155="&gt;","OK","NG"))</f>
        <v>OK</v>
      </c>
    </row>
    <row r="156" spans="1:9" x14ac:dyDescent="0.25">
      <c r="A156" s="23" t="s">
        <v>123</v>
      </c>
      <c r="B156" s="35">
        <f>2*SQRT(B146)*12*B153*0.75</f>
        <v>15527.93450527146</v>
      </c>
      <c r="C156" s="25" t="s">
        <v>39</v>
      </c>
      <c r="D156" s="25"/>
      <c r="E156" s="25"/>
      <c r="F156" s="25"/>
      <c r="G156" s="25"/>
      <c r="H156" s="25"/>
      <c r="I156" s="33"/>
    </row>
    <row r="157" spans="1:9" x14ac:dyDescent="0.25">
      <c r="A157" s="23" t="s">
        <v>121</v>
      </c>
      <c r="B157" s="35">
        <f>0.5*B156</f>
        <v>7763.9672526357299</v>
      </c>
      <c r="C157" s="25" t="s">
        <v>39</v>
      </c>
      <c r="D157" s="27" t="str">
        <f>IF(B157&gt;E157,"&gt;","NG")</f>
        <v>&gt;</v>
      </c>
      <c r="E157" s="35">
        <f>B102</f>
        <v>775.18097056545912</v>
      </c>
      <c r="F157" s="25" t="s">
        <v>39</v>
      </c>
      <c r="G157" s="25"/>
      <c r="H157" s="25"/>
      <c r="I157" s="34" t="str">
        <f>IF(H145="OK","OK",IF(D157="&gt;","OK","NG"))</f>
        <v>OK</v>
      </c>
    </row>
    <row r="158" spans="1:9" ht="15.75" thickBot="1" x14ac:dyDescent="0.3">
      <c r="A158" s="58"/>
      <c r="B158" s="59"/>
      <c r="C158" s="59"/>
      <c r="D158" s="59"/>
      <c r="E158" s="59"/>
      <c r="F158" s="59"/>
      <c r="G158" s="59"/>
      <c r="H158" s="59"/>
      <c r="I158" s="60"/>
    </row>
    <row r="159" spans="1:9" x14ac:dyDescent="0.25">
      <c r="A159" s="40" t="s">
        <v>132</v>
      </c>
      <c r="B159" s="61"/>
      <c r="C159" s="61"/>
      <c r="D159" s="61"/>
      <c r="E159" s="61"/>
      <c r="F159" s="61"/>
      <c r="G159" s="61"/>
      <c r="H159" s="61"/>
      <c r="I159" s="62"/>
    </row>
    <row r="160" spans="1:9" x14ac:dyDescent="0.25">
      <c r="A160" s="43" t="s">
        <v>101</v>
      </c>
      <c r="B160" s="63">
        <f>B146</f>
        <v>3000</v>
      </c>
      <c r="C160" s="44" t="s">
        <v>102</v>
      </c>
      <c r="D160" s="47" t="s">
        <v>118</v>
      </c>
      <c r="E160" s="46">
        <v>60000</v>
      </c>
      <c r="F160" s="44" t="s">
        <v>102</v>
      </c>
      <c r="G160" s="64"/>
      <c r="H160" s="64"/>
      <c r="I160" s="65"/>
    </row>
    <row r="161" spans="1:9" x14ac:dyDescent="0.25">
      <c r="A161" s="43" t="s">
        <v>2</v>
      </c>
      <c r="B161" s="46">
        <f>B24</f>
        <v>0</v>
      </c>
      <c r="C161" s="44" t="s">
        <v>4</v>
      </c>
      <c r="D161" s="5" t="s">
        <v>128</v>
      </c>
      <c r="E161" s="4">
        <f>IF(B160&lt;=4000,0.85,IF(B160&lt;=8000,0.85-(0.05*((B160-4000)/1000)),0.65))</f>
        <v>0.85</v>
      </c>
      <c r="F161" s="44"/>
      <c r="G161" s="64"/>
      <c r="H161" s="64"/>
      <c r="I161" s="65"/>
    </row>
    <row r="162" spans="1:9" x14ac:dyDescent="0.25">
      <c r="A162" s="43" t="s">
        <v>103</v>
      </c>
      <c r="B162" s="63">
        <v>3</v>
      </c>
      <c r="C162" s="44" t="s">
        <v>4</v>
      </c>
      <c r="D162" s="47" t="s">
        <v>129</v>
      </c>
      <c r="E162" s="48">
        <f>0.319*E161*(B160/$E$111)</f>
        <v>1.35575E-2</v>
      </c>
      <c r="F162" s="44"/>
      <c r="G162" s="64"/>
      <c r="H162" s="64"/>
      <c r="I162" s="65"/>
    </row>
    <row r="163" spans="1:9" x14ac:dyDescent="0.25">
      <c r="A163" s="123" t="s">
        <v>112</v>
      </c>
      <c r="B163" s="124"/>
      <c r="C163" s="124"/>
      <c r="D163" s="124"/>
      <c r="E163" s="44"/>
      <c r="F163" s="44"/>
      <c r="G163" s="64"/>
      <c r="H163" s="64"/>
      <c r="I163" s="65"/>
    </row>
    <row r="164" spans="1:9" x14ac:dyDescent="0.25">
      <c r="A164" s="43" t="s">
        <v>105</v>
      </c>
      <c r="B164" s="24">
        <v>6</v>
      </c>
      <c r="C164" s="44"/>
      <c r="D164" s="44"/>
      <c r="E164" s="44"/>
      <c r="F164" s="44"/>
      <c r="G164" s="64"/>
      <c r="H164" s="64"/>
      <c r="I164" s="65"/>
    </row>
    <row r="165" spans="1:9" x14ac:dyDescent="0.25">
      <c r="A165" s="43" t="s">
        <v>106</v>
      </c>
      <c r="B165" s="50">
        <f>B161*12</f>
        <v>0</v>
      </c>
      <c r="C165" s="44" t="s">
        <v>107</v>
      </c>
      <c r="D165" s="44"/>
      <c r="E165" s="44"/>
      <c r="F165" s="44"/>
      <c r="G165" s="64"/>
      <c r="H165" s="64"/>
      <c r="I165" s="65"/>
    </row>
    <row r="166" spans="1:9" x14ac:dyDescent="0.25">
      <c r="A166" s="43" t="s">
        <v>108</v>
      </c>
      <c r="B166" s="50">
        <f>IF(B164&gt;5,0.0025*B165,0.002*B165)</f>
        <v>0</v>
      </c>
      <c r="C166" s="44" t="s">
        <v>107</v>
      </c>
      <c r="D166" s="44"/>
      <c r="E166" s="44"/>
      <c r="F166" s="44"/>
      <c r="G166" s="64"/>
      <c r="H166" s="64"/>
      <c r="I166" s="65"/>
    </row>
    <row r="167" spans="1:9" x14ac:dyDescent="0.25">
      <c r="A167" s="43" t="s">
        <v>109</v>
      </c>
      <c r="B167" s="50">
        <f>B166/LOOKUP(B164,L108:L118,M108:M118)</f>
        <v>0</v>
      </c>
      <c r="C167" s="44"/>
      <c r="D167" s="44"/>
      <c r="E167" s="44"/>
      <c r="F167" s="44"/>
      <c r="G167" s="64"/>
      <c r="H167" s="64"/>
      <c r="I167" s="65"/>
    </row>
    <row r="168" spans="1:9" x14ac:dyDescent="0.25">
      <c r="A168" s="43" t="s">
        <v>110</v>
      </c>
      <c r="B168" s="50" t="e">
        <f>FLOOR(12*(1/B167),0.25)</f>
        <v>#DIV/0!</v>
      </c>
      <c r="C168" s="44" t="s">
        <v>111</v>
      </c>
      <c r="D168" s="46" t="e">
        <f>IF(B168&gt;E168,"&gt;","&lt;")</f>
        <v>#DIV/0!</v>
      </c>
      <c r="E168" s="46">
        <f>MIN(3*B161,18)</f>
        <v>0</v>
      </c>
      <c r="F168" s="44" t="s">
        <v>4</v>
      </c>
      <c r="G168" s="64"/>
      <c r="H168" s="64"/>
      <c r="I168" s="65"/>
    </row>
    <row r="169" spans="1:9" x14ac:dyDescent="0.25">
      <c r="A169" s="66"/>
      <c r="B169" s="44"/>
      <c r="C169" s="44"/>
      <c r="D169" s="44"/>
      <c r="E169" s="44"/>
      <c r="F169" s="44"/>
      <c r="G169" s="64"/>
      <c r="H169" s="64"/>
      <c r="I169" s="65"/>
    </row>
    <row r="170" spans="1:9" x14ac:dyDescent="0.25">
      <c r="A170" s="123" t="s">
        <v>113</v>
      </c>
      <c r="B170" s="124"/>
      <c r="C170" s="124"/>
      <c r="D170" s="124"/>
      <c r="E170" s="44"/>
      <c r="F170" s="44"/>
      <c r="G170" s="44"/>
      <c r="H170" s="44"/>
      <c r="I170" s="45"/>
    </row>
    <row r="171" spans="1:9" x14ac:dyDescent="0.25">
      <c r="A171" s="43" t="s">
        <v>105</v>
      </c>
      <c r="B171" s="24">
        <v>6</v>
      </c>
      <c r="C171" s="44"/>
      <c r="D171" s="44"/>
      <c r="E171" s="44"/>
      <c r="F171" s="44"/>
      <c r="G171" s="44"/>
      <c r="H171" s="44"/>
      <c r="I171" s="45"/>
    </row>
    <row r="172" spans="1:9" x14ac:dyDescent="0.25">
      <c r="A172" s="43" t="s">
        <v>114</v>
      </c>
      <c r="B172" s="24">
        <v>10</v>
      </c>
      <c r="C172" s="44" t="s">
        <v>4</v>
      </c>
      <c r="D172" s="44"/>
      <c r="E172" s="44"/>
      <c r="F172" s="44"/>
      <c r="G172" s="44"/>
      <c r="H172" s="44"/>
      <c r="I172" s="45"/>
    </row>
    <row r="173" spans="1:9" x14ac:dyDescent="0.25">
      <c r="A173" s="43" t="s">
        <v>115</v>
      </c>
      <c r="B173" s="46">
        <f>(12/B172)*LOOKUP(B171,L108:L118,M108:M118)</f>
        <v>0.52800000000000002</v>
      </c>
      <c r="C173" s="44" t="s">
        <v>107</v>
      </c>
      <c r="D173" s="46" t="str">
        <f>IF(B173&gt;E173,"&gt;","NG")</f>
        <v>&gt;</v>
      </c>
      <c r="E173" s="46">
        <f>MAX((3*SQRT(B160)*12*B174)/$E$111,(200*12*B174)/$E$111)</f>
        <v>-0.11091381789479614</v>
      </c>
      <c r="F173" s="44" t="s">
        <v>126</v>
      </c>
      <c r="G173" s="44"/>
      <c r="H173" s="44"/>
      <c r="I173" s="49" t="str">
        <f>IF(B161=0,"N/A",IF(D173="&gt;","OK","NG"))</f>
        <v>N/A</v>
      </c>
    </row>
    <row r="174" spans="1:9" x14ac:dyDescent="0.25">
      <c r="A174" s="43" t="s">
        <v>104</v>
      </c>
      <c r="B174" s="46">
        <f>B161-B162-(LOOKUP(B171,L108:L118,N108:N118)/2)</f>
        <v>-3.375</v>
      </c>
      <c r="C174" s="44" t="s">
        <v>4</v>
      </c>
      <c r="D174" s="47" t="s">
        <v>130</v>
      </c>
      <c r="E174" s="48">
        <f>B173/(12*B174)</f>
        <v>-1.3037037037037038E-2</v>
      </c>
      <c r="F174" s="46" t="str">
        <f>IF(E174&lt;E162,"&lt;","NG")</f>
        <v>&lt;</v>
      </c>
      <c r="G174" s="44" t="s">
        <v>131</v>
      </c>
      <c r="H174" s="44"/>
      <c r="I174" s="49" t="str">
        <f>IF(B161=0,"N/A",IF(F174="&lt;","OK","NG"))</f>
        <v>N/A</v>
      </c>
    </row>
    <row r="175" spans="1:9" x14ac:dyDescent="0.25">
      <c r="A175" s="43" t="s">
        <v>119</v>
      </c>
      <c r="B175" s="50">
        <f>(B173*E160)/(0.85*B160*12)</f>
        <v>1.0352941176470589</v>
      </c>
      <c r="C175" s="44" t="s">
        <v>4</v>
      </c>
      <c r="D175" s="44"/>
      <c r="E175" s="44"/>
      <c r="F175" s="44"/>
      <c r="G175" s="44"/>
      <c r="H175" s="44"/>
      <c r="I175" s="45"/>
    </row>
    <row r="176" spans="1:9" x14ac:dyDescent="0.25">
      <c r="A176" s="43" t="s">
        <v>122</v>
      </c>
      <c r="B176" s="51">
        <f>(B173*E160)*(B174-(B175/2))*0.9</f>
        <v>-110987.15294117648</v>
      </c>
      <c r="C176" s="46" t="s">
        <v>120</v>
      </c>
      <c r="D176" s="52">
        <f>B176/12</f>
        <v>-9248.9294117647059</v>
      </c>
      <c r="E176" s="46" t="s">
        <v>88</v>
      </c>
      <c r="F176" s="46" t="str">
        <f>IF(D176&gt;G176,"&gt;","NG")</f>
        <v>NG</v>
      </c>
      <c r="G176" s="51">
        <f>ABS(B78)</f>
        <v>40.5</v>
      </c>
      <c r="H176" s="44" t="s">
        <v>88</v>
      </c>
      <c r="I176" s="49" t="str">
        <f>IF(B161=0,"N/A",IF(F176="&gt;","OK","NG"))</f>
        <v>N/A</v>
      </c>
    </row>
    <row r="177" spans="1:11" x14ac:dyDescent="0.25">
      <c r="A177" s="43" t="s">
        <v>123</v>
      </c>
      <c r="B177" s="51">
        <f>2*SQRT(B160)*12*B174*0.75</f>
        <v>-3327.4145368438844</v>
      </c>
      <c r="C177" s="44" t="s">
        <v>39</v>
      </c>
      <c r="D177" s="44"/>
      <c r="E177" s="44"/>
      <c r="F177" s="44"/>
      <c r="G177" s="44"/>
      <c r="H177" s="44"/>
      <c r="I177" s="45"/>
    </row>
    <row r="178" spans="1:11" ht="15.75" thickBot="1" x14ac:dyDescent="0.3">
      <c r="A178" s="67" t="s">
        <v>121</v>
      </c>
      <c r="B178" s="68">
        <f>0.5*B177</f>
        <v>-1663.7072684219422</v>
      </c>
      <c r="C178" s="69" t="s">
        <v>39</v>
      </c>
      <c r="D178" s="70" t="str">
        <f>IF(B178&gt;E178,"&gt;","NG")</f>
        <v>NG</v>
      </c>
      <c r="E178" s="68">
        <f>B82</f>
        <v>81</v>
      </c>
      <c r="F178" s="69" t="s">
        <v>39</v>
      </c>
      <c r="G178" s="69"/>
      <c r="H178" s="69"/>
      <c r="I178" s="71" t="str">
        <f>IF(B161=0,"N/A",IF(D178="&gt;","OK","NG"))</f>
        <v>N/A</v>
      </c>
      <c r="K178">
        <f>COUNTIF(I124:I178,"NG")</f>
        <v>0</v>
      </c>
    </row>
    <row r="179" spans="1:11" x14ac:dyDescent="0.25">
      <c r="A179" s="10" t="s">
        <v>140</v>
      </c>
      <c r="B179" s="11"/>
      <c r="C179" s="11"/>
      <c r="D179" s="11"/>
      <c r="E179" s="11"/>
      <c r="F179" s="11"/>
      <c r="G179" s="11"/>
      <c r="H179" s="11"/>
      <c r="I179" s="12"/>
    </row>
    <row r="180" spans="1:11" x14ac:dyDescent="0.25">
      <c r="A180" s="13" t="s">
        <v>134</v>
      </c>
      <c r="B180" s="14" t="str">
        <f>IF(J56&gt;=1,"NG","OK")</f>
        <v>OK</v>
      </c>
      <c r="C180" s="15"/>
      <c r="D180" s="15"/>
      <c r="E180" s="15"/>
      <c r="F180" s="15"/>
      <c r="G180" s="15"/>
      <c r="H180" s="15"/>
      <c r="I180" s="16"/>
    </row>
    <row r="181" spans="1:11" x14ac:dyDescent="0.25">
      <c r="A181" s="13" t="s">
        <v>133</v>
      </c>
      <c r="B181" s="14" t="str">
        <f>IF(K178&gt;=1,"NG","OK")</f>
        <v>OK</v>
      </c>
      <c r="C181" s="15"/>
      <c r="D181" s="15"/>
      <c r="E181" s="15"/>
      <c r="F181" s="15"/>
      <c r="G181" s="15"/>
      <c r="H181" s="15"/>
      <c r="I181" s="16"/>
    </row>
    <row r="182" spans="1:11" ht="15.75" thickBot="1" x14ac:dyDescent="0.3">
      <c r="A182" s="17"/>
      <c r="B182" s="18"/>
      <c r="C182" s="18"/>
      <c r="D182" s="18"/>
      <c r="E182" s="18"/>
      <c r="F182" s="18"/>
      <c r="G182" s="18"/>
      <c r="H182" s="18"/>
      <c r="I182" s="19"/>
    </row>
  </sheetData>
  <mergeCells count="5">
    <mergeCell ref="A114:D114"/>
    <mergeCell ref="A163:D163"/>
    <mergeCell ref="A170:D170"/>
    <mergeCell ref="A149:D149"/>
    <mergeCell ref="A135:E135"/>
  </mergeCells>
  <dataValidations count="2">
    <dataValidation type="list" allowBlank="1" showInputMessage="1" showErrorMessage="1" sqref="F37:F38" xr:uid="{00000000-0002-0000-0000-000000000000}">
      <formula1>"D,L,H,W"</formula1>
    </dataValidation>
    <dataValidation type="list" allowBlank="1" showInputMessage="1" showErrorMessage="1" sqref="B115 B171 B164 B150 B136 B122" xr:uid="{00000000-0002-0000-0000-000001000000}">
      <formula1>$L$108:$L$118</formula1>
    </dataValidation>
  </dataValidations>
  <pageMargins left="0.7" right="0.7" top="0.75" bottom="0.75" header="0.3" footer="0.3"/>
  <pageSetup scale="88" orientation="portrait" r:id="rId1"/>
  <rowBreaks count="3" manualBreakCount="3">
    <brk id="40" max="8" man="1"/>
    <brk id="83" max="8" man="1"/>
    <brk id="130" max="8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LICENSE</vt:lpstr>
      <vt:lpstr>EFP</vt:lpstr>
      <vt:lpstr>EFP!Print_Area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Bockoven</dc:creator>
  <cp:lastModifiedBy>Donald Bockoven III</cp:lastModifiedBy>
  <cp:lastPrinted>2017-01-26T23:20:16Z</cp:lastPrinted>
  <dcterms:created xsi:type="dcterms:W3CDTF">2015-05-05T15:06:45Z</dcterms:created>
  <dcterms:modified xsi:type="dcterms:W3CDTF">2021-11-27T15:50:02Z</dcterms:modified>
</cp:coreProperties>
</file>