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onB\Desktop\Spreadsheets\"/>
    </mc:Choice>
  </mc:AlternateContent>
  <xr:revisionPtr revIDLastSave="0" documentId="13_ncr:1_{B6EDCE1A-F658-4857-90E2-3FA3E935287D}" xr6:coauthVersionLast="45" xr6:coauthVersionMax="45" xr10:uidLastSave="{00000000-0000-0000-0000-000000000000}"/>
  <bookViews>
    <workbookView xWindow="-120" yWindow="-120" windowWidth="29040" windowHeight="15840" activeTab="3" xr2:uid="{95491767-4E54-4AEC-B47C-D53F18FD670B}"/>
  </bookViews>
  <sheets>
    <sheet name="License" sheetId="5" r:id="rId1"/>
    <sheet name="3 Span Moment Distribution" sheetId="1" r:id="rId2"/>
    <sheet name="2 Span Moment Distribution" sheetId="3" r:id="rId3"/>
    <sheet name="FEM Help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1" i="2" l="1"/>
  <c r="O20" i="2"/>
  <c r="C79" i="2"/>
  <c r="C80" i="2"/>
  <c r="D80" i="2"/>
  <c r="D79" i="2"/>
  <c r="J72" i="2"/>
  <c r="E72" i="2"/>
  <c r="C74" i="2" s="1"/>
  <c r="J71" i="2"/>
  <c r="I71" i="2"/>
  <c r="I82" i="2" l="1"/>
  <c r="C76" i="2"/>
  <c r="C77" i="2"/>
  <c r="F18" i="3"/>
  <c r="F20" i="3"/>
  <c r="E20" i="3"/>
  <c r="D20" i="3"/>
  <c r="C20" i="3"/>
  <c r="F19" i="3"/>
  <c r="F22" i="3" s="1"/>
  <c r="E22" i="3" s="1"/>
  <c r="C19" i="3"/>
  <c r="C22" i="3" s="1"/>
  <c r="D22" i="3" s="1"/>
  <c r="C18" i="3"/>
  <c r="J4" i="3"/>
  <c r="I4" i="3"/>
  <c r="E18" i="3" s="1"/>
  <c r="J3" i="3"/>
  <c r="D18" i="3" s="1"/>
  <c r="B8" i="3"/>
  <c r="B7" i="3"/>
  <c r="H4" i="3"/>
  <c r="G4" i="3"/>
  <c r="H3" i="3"/>
  <c r="G3" i="3"/>
  <c r="E19" i="3" l="1"/>
  <c r="E23" i="3" s="1"/>
  <c r="F23" i="3" s="1"/>
  <c r="D19" i="3"/>
  <c r="D23" i="3" s="1"/>
  <c r="I3" i="3"/>
  <c r="E71" i="2"/>
  <c r="C23" i="3" l="1"/>
  <c r="F24" i="3"/>
  <c r="E24" i="3" s="1"/>
  <c r="M43" i="2"/>
  <c r="O43" i="2"/>
  <c r="O42" i="2"/>
  <c r="M42" i="2"/>
  <c r="G62" i="2"/>
  <c r="F62" i="2"/>
  <c r="G61" i="2"/>
  <c r="F61" i="2"/>
  <c r="J21" i="2"/>
  <c r="L21" i="2"/>
  <c r="L20" i="2"/>
  <c r="J20" i="2"/>
  <c r="C48" i="2"/>
  <c r="C50" i="2" s="1"/>
  <c r="C59" i="2" s="1"/>
  <c r="H35" i="2"/>
  <c r="G35" i="2"/>
  <c r="H34" i="2"/>
  <c r="G34" i="2"/>
  <c r="C32" i="2"/>
  <c r="C38" i="2" s="1"/>
  <c r="C25" i="2"/>
  <c r="C28" i="2" s="1"/>
  <c r="C18" i="2"/>
  <c r="C17" i="2"/>
  <c r="C15" i="2"/>
  <c r="C9" i="2"/>
  <c r="C6" i="2"/>
  <c r="C8" i="2" s="1"/>
  <c r="C82" i="2" l="1" a="1"/>
  <c r="C82" i="2" s="1"/>
  <c r="C33" i="2"/>
  <c r="C24" i="3"/>
  <c r="D24" i="3" s="1"/>
  <c r="C52" i="2"/>
  <c r="C51" i="2"/>
  <c r="C65" i="2"/>
  <c r="C27" i="2"/>
  <c r="C55" i="2" l="1"/>
  <c r="E25" i="3"/>
  <c r="F25" i="3" s="1"/>
  <c r="D25" i="3"/>
  <c r="C25" i="3" s="1"/>
  <c r="C26" i="3" s="1"/>
  <c r="C39" i="2"/>
  <c r="C36" i="2" s="1"/>
  <c r="G32" i="2" s="1"/>
  <c r="G21" i="1"/>
  <c r="G24" i="1" s="1"/>
  <c r="B21" i="1"/>
  <c r="B24" i="1" s="1"/>
  <c r="C22" i="1"/>
  <c r="F22" i="1"/>
  <c r="G4" i="1"/>
  <c r="G6" i="1"/>
  <c r="F4" i="1"/>
  <c r="G22" i="1"/>
  <c r="B22" i="1"/>
  <c r="G5" i="1"/>
  <c r="F5" i="1"/>
  <c r="F6" i="1"/>
  <c r="A10" i="1"/>
  <c r="A9" i="1"/>
  <c r="C60" i="2" l="1"/>
  <c r="R42" i="2" s="1"/>
  <c r="H6" i="1"/>
  <c r="F20" i="1" s="1"/>
  <c r="C54" i="2"/>
  <c r="C66" i="2" s="1"/>
  <c r="C63" i="2" s="1"/>
  <c r="C62" i="2" s="1"/>
  <c r="C61" i="2" s="1"/>
  <c r="D26" i="3"/>
  <c r="F26" i="3"/>
  <c r="E26" i="3" s="1"/>
  <c r="C35" i="2"/>
  <c r="C34" i="2" s="1"/>
  <c r="F24" i="1"/>
  <c r="C24" i="1"/>
  <c r="H5" i="1"/>
  <c r="I5" i="1" s="1"/>
  <c r="E20" i="1" s="1"/>
  <c r="I4" i="1"/>
  <c r="I6" i="1"/>
  <c r="G20" i="1" s="1"/>
  <c r="H4" i="1"/>
  <c r="R43" i="2" l="1"/>
  <c r="F59" i="2"/>
  <c r="F58" i="2"/>
  <c r="G31" i="2"/>
  <c r="G37" i="2" s="1" a="1"/>
  <c r="E27" i="3"/>
  <c r="F27" i="3" s="1"/>
  <c r="D27" i="3"/>
  <c r="C27" i="3" s="1"/>
  <c r="F64" i="2" a="1"/>
  <c r="F64" i="2" s="1"/>
  <c r="N42" i="2" s="1"/>
  <c r="B20" i="1"/>
  <c r="C20" i="1"/>
  <c r="D20" i="1"/>
  <c r="F21" i="1"/>
  <c r="F25" i="1" s="1"/>
  <c r="E21" i="1"/>
  <c r="E25" i="1" s="1"/>
  <c r="D26" i="1" s="1"/>
  <c r="S42" i="2" l="1"/>
  <c r="G37" i="2"/>
  <c r="K20" i="2" s="1"/>
  <c r="P20" i="2" s="1"/>
  <c r="C28" i="3"/>
  <c r="D28" i="3" s="1"/>
  <c r="F28" i="3"/>
  <c r="E28" i="3" s="1"/>
  <c r="C21" i="1"/>
  <c r="C25" i="1" s="1"/>
  <c r="B26" i="1" s="1"/>
  <c r="G26" i="1"/>
  <c r="G27" i="1" s="1"/>
  <c r="F27" i="1" s="1"/>
  <c r="D21" i="1"/>
  <c r="D25" i="1" s="1"/>
  <c r="E26" i="1" s="1"/>
  <c r="D29" i="3" l="1"/>
  <c r="C29" i="3" s="1"/>
  <c r="E29" i="3"/>
  <c r="F29" i="3" s="1"/>
  <c r="F30" i="3" s="1"/>
  <c r="E30" i="3" s="1"/>
  <c r="E28" i="1"/>
  <c r="D29" i="1" s="1"/>
  <c r="F28" i="1"/>
  <c r="B27" i="1"/>
  <c r="C27" i="1" s="1"/>
  <c r="C30" i="3" l="1"/>
  <c r="D30" i="3" s="1"/>
  <c r="D31" i="3" s="1"/>
  <c r="C31" i="3" s="1"/>
  <c r="C32" i="3" s="1"/>
  <c r="D32" i="3" s="1"/>
  <c r="G29" i="1"/>
  <c r="C28" i="1"/>
  <c r="B29" i="1" s="1"/>
  <c r="B30" i="1" s="1"/>
  <c r="D28" i="1"/>
  <c r="E31" i="3" l="1"/>
  <c r="F31" i="3" s="1"/>
  <c r="F32" i="3" s="1"/>
  <c r="E32" i="3" s="1"/>
  <c r="C30" i="1"/>
  <c r="D31" i="1" s="1"/>
  <c r="E32" i="1" s="1"/>
  <c r="E29" i="1"/>
  <c r="G30" i="1"/>
  <c r="F30" i="1" s="1"/>
  <c r="E33" i="3" l="1"/>
  <c r="F33" i="3" s="1"/>
  <c r="F34" i="3" s="1"/>
  <c r="E34" i="3" s="1"/>
  <c r="D33" i="3"/>
  <c r="C33" i="3" s="1"/>
  <c r="C34" i="3" s="1"/>
  <c r="D34" i="3" s="1"/>
  <c r="C31" i="1"/>
  <c r="B32" i="1" s="1"/>
  <c r="B33" i="1" s="1"/>
  <c r="C33" i="1" s="1"/>
  <c r="E31" i="1"/>
  <c r="D32" i="1" s="1"/>
  <c r="F31" i="1"/>
  <c r="G32" i="1" s="1"/>
  <c r="G33" i="1" s="1"/>
  <c r="F33" i="1" s="1"/>
  <c r="D35" i="3" l="1"/>
  <c r="C35" i="3" s="1"/>
  <c r="E35" i="3"/>
  <c r="F35" i="3" s="1"/>
  <c r="D34" i="1"/>
  <c r="E35" i="1" s="1"/>
  <c r="C34" i="1"/>
  <c r="F34" i="1"/>
  <c r="E34" i="1"/>
  <c r="B35" i="1" l="1"/>
  <c r="G35" i="1"/>
  <c r="D35" i="1"/>
  <c r="B36" i="1" l="1"/>
  <c r="C36" i="1" s="1"/>
  <c r="G36" i="1"/>
  <c r="F36" i="1" s="1"/>
  <c r="F37" i="1" l="1"/>
  <c r="G38" i="1" s="1"/>
  <c r="G39" i="1" s="1"/>
  <c r="F39" i="1" s="1"/>
  <c r="E37" i="1"/>
  <c r="D38" i="1" s="1"/>
  <c r="C37" i="1"/>
  <c r="B38" i="1" s="1"/>
  <c r="D37" i="1"/>
  <c r="E38" i="1" s="1"/>
  <c r="B39" i="1" l="1"/>
  <c r="C39" i="1" s="1"/>
  <c r="E40" i="1"/>
  <c r="D41" i="1" s="1"/>
  <c r="F40" i="1"/>
  <c r="G41" i="1" s="1"/>
  <c r="G42" i="1" s="1"/>
  <c r="F42" i="1" s="1"/>
  <c r="D40" i="1" l="1"/>
  <c r="E41" i="1" s="1"/>
  <c r="E43" i="1" s="1"/>
  <c r="D44" i="1" s="1"/>
  <c r="C40" i="1"/>
  <c r="B41" i="1" s="1"/>
  <c r="F43" i="1" l="1"/>
  <c r="G44" i="1" s="1"/>
  <c r="G45" i="1" s="1"/>
  <c r="F45" i="1" s="1"/>
  <c r="B42" i="1"/>
  <c r="C42" i="1" s="1"/>
  <c r="D43" i="1" l="1"/>
  <c r="E44" i="1" s="1"/>
  <c r="F46" i="1" s="1"/>
  <c r="G47" i="1" s="1"/>
  <c r="C43" i="1"/>
  <c r="B44" i="1" s="1"/>
  <c r="B45" i="1" s="1"/>
  <c r="C45" i="1" s="1"/>
  <c r="G48" i="1" l="1"/>
  <c r="F48" i="1" s="1"/>
  <c r="C46" i="1"/>
  <c r="B47" i="1" s="1"/>
  <c r="B48" i="1" s="1"/>
  <c r="C48" i="1" s="1"/>
  <c r="D46" i="1"/>
  <c r="E47" i="1" s="1"/>
  <c r="E46" i="1"/>
  <c r="D47" i="1" s="1"/>
  <c r="D49" i="1" l="1"/>
  <c r="E50" i="1" s="1"/>
  <c r="C49" i="1"/>
  <c r="B50" i="1" s="1"/>
  <c r="B51" i="1" s="1"/>
  <c r="C51" i="1" s="1"/>
  <c r="E49" i="1"/>
  <c r="D50" i="1" s="1"/>
  <c r="F49" i="1"/>
  <c r="G50" i="1" s="1"/>
  <c r="G51" i="1" s="1"/>
  <c r="F51" i="1" s="1"/>
  <c r="F52" i="1" l="1"/>
  <c r="G53" i="1" s="1"/>
  <c r="G54" i="1" s="1"/>
  <c r="F54" i="1" s="1"/>
  <c r="E52" i="1"/>
  <c r="D53" i="1" s="1"/>
  <c r="C52" i="1"/>
  <c r="B53" i="1" s="1"/>
  <c r="B54" i="1" s="1"/>
  <c r="C54" i="1" s="1"/>
  <c r="D52" i="1"/>
  <c r="E53" i="1" s="1"/>
  <c r="F55" i="1" l="1"/>
  <c r="G56" i="1" s="1"/>
  <c r="G57" i="1" s="1"/>
  <c r="F57" i="1" s="1"/>
  <c r="E55" i="1"/>
  <c r="D56" i="1" s="1"/>
  <c r="C55" i="1"/>
  <c r="B56" i="1" s="1"/>
  <c r="B57" i="1" s="1"/>
  <c r="C57" i="1" s="1"/>
  <c r="D55" i="1"/>
  <c r="E56" i="1" s="1"/>
  <c r="F58" i="1" l="1"/>
  <c r="G59" i="1" s="1"/>
  <c r="G60" i="1" s="1"/>
  <c r="F60" i="1" s="1"/>
  <c r="E58" i="1"/>
  <c r="D59" i="1" s="1"/>
  <c r="D58" i="1"/>
  <c r="E59" i="1" s="1"/>
  <c r="C58" i="1"/>
  <c r="B59" i="1" s="1"/>
  <c r="B60" i="1" s="1"/>
  <c r="C60" i="1" s="1"/>
  <c r="D61" i="1" l="1"/>
  <c r="E62" i="1" s="1"/>
  <c r="C61" i="1"/>
  <c r="B62" i="1" s="1"/>
  <c r="B63" i="1" s="1"/>
  <c r="C63" i="1" s="1"/>
  <c r="E61" i="1"/>
  <c r="D62" i="1" s="1"/>
  <c r="F61" i="1"/>
  <c r="G62" i="1" s="1"/>
  <c r="D64" i="1" l="1"/>
  <c r="E65" i="1" s="1"/>
  <c r="C64" i="1"/>
  <c r="B65" i="1" s="1"/>
  <c r="B66" i="1" s="1"/>
  <c r="C66" i="1" s="1"/>
  <c r="G63" i="1"/>
  <c r="F63" i="1" s="1"/>
  <c r="E64" i="1" l="1"/>
  <c r="D65" i="1" s="1"/>
  <c r="C67" i="1" s="1"/>
  <c r="B68" i="1" s="1"/>
  <c r="B69" i="1" s="1"/>
  <c r="C69" i="1" s="1"/>
  <c r="F64" i="1"/>
  <c r="G65" i="1" s="1"/>
  <c r="D67" i="1" l="1"/>
  <c r="E68" i="1" s="1"/>
  <c r="G66" i="1"/>
  <c r="F66" i="1" s="1"/>
  <c r="F67" i="1" l="1"/>
  <c r="G68" i="1" s="1"/>
  <c r="G69" i="1" s="1"/>
  <c r="F69" i="1" s="1"/>
  <c r="E67" i="1"/>
  <c r="D68" i="1" s="1"/>
  <c r="D70" i="1" s="1"/>
  <c r="E71" i="1" s="1"/>
  <c r="C70" i="1" l="1"/>
  <c r="B71" i="1" s="1"/>
  <c r="B72" i="1" s="1"/>
  <c r="C72" i="1" s="1"/>
  <c r="E70" i="1"/>
  <c r="D71" i="1" s="1"/>
  <c r="F70" i="1"/>
  <c r="G71" i="1" s="1"/>
  <c r="D73" i="1" l="1"/>
  <c r="E74" i="1" s="1"/>
  <c r="C73" i="1"/>
  <c r="B74" i="1" s="1"/>
  <c r="B75" i="1" s="1"/>
  <c r="C75" i="1" s="1"/>
  <c r="G72" i="1"/>
  <c r="F72" i="1" s="1"/>
  <c r="F73" i="1" l="1"/>
  <c r="G74" i="1" s="1"/>
  <c r="G75" i="1" s="1"/>
  <c r="F75" i="1" s="1"/>
  <c r="E73" i="1"/>
  <c r="D74" i="1" s="1"/>
  <c r="D76" i="1" l="1"/>
  <c r="E77" i="1" s="1"/>
  <c r="C76" i="1"/>
  <c r="B77" i="1" s="1"/>
  <c r="B78" i="1" s="1"/>
  <c r="C78" i="1" s="1"/>
  <c r="F76" i="1"/>
  <c r="G77" i="1" s="1"/>
  <c r="G78" i="1" s="1"/>
  <c r="F78" i="1" s="1"/>
  <c r="E76" i="1"/>
  <c r="D77" i="1" s="1"/>
  <c r="E79" i="1" l="1"/>
  <c r="D80" i="1" s="1"/>
  <c r="F79" i="1"/>
  <c r="G80" i="1" s="1"/>
  <c r="G81" i="1" s="1"/>
  <c r="F81" i="1" s="1"/>
  <c r="C79" i="1"/>
  <c r="B80" i="1" s="1"/>
  <c r="B81" i="1" s="1"/>
  <c r="C81" i="1" s="1"/>
  <c r="D79" i="1"/>
  <c r="E80" i="1" s="1"/>
  <c r="F82" i="1" l="1"/>
  <c r="F84" i="1" s="1"/>
  <c r="E82" i="1"/>
  <c r="D83" i="1" s="1"/>
  <c r="C82" i="1"/>
  <c r="D82" i="1"/>
  <c r="E83" i="1" s="1"/>
  <c r="E84" i="1" l="1"/>
  <c r="E15" i="1" s="1"/>
  <c r="D84" i="1"/>
  <c r="D15" i="1" s="1"/>
  <c r="B83" i="1"/>
  <c r="B84" i="1" s="1"/>
  <c r="B15" i="1" s="1"/>
  <c r="C84" i="1"/>
  <c r="C15" i="1" s="1"/>
  <c r="G83" i="1"/>
  <c r="G84" i="1" s="1"/>
  <c r="G15" i="1" s="1"/>
  <c r="F15" i="1"/>
  <c r="E42" i="3" l="1"/>
  <c r="E13" i="3" s="1"/>
  <c r="D42" i="3"/>
  <c r="D13" i="3" s="1"/>
  <c r="C42" i="3" l="1"/>
  <c r="C13" i="3" s="1"/>
  <c r="F42" i="3"/>
  <c r="F13" i="3" s="1"/>
  <c r="C36" i="3" l="1"/>
  <c r="D36" i="3" s="1"/>
  <c r="F36" i="3"/>
  <c r="E36" i="3" s="1"/>
  <c r="D37" i="3" l="1"/>
  <c r="C37" i="3" s="1"/>
  <c r="C38" i="3" s="1"/>
  <c r="D38" i="3" s="1"/>
  <c r="E37" i="3"/>
  <c r="F37" i="3" s="1"/>
  <c r="F38" i="3" s="1"/>
  <c r="E38" i="3" s="1"/>
  <c r="D39" i="3" l="1"/>
  <c r="C39" i="3" s="1"/>
  <c r="E39" i="3"/>
  <c r="F39" i="3" s="1"/>
  <c r="F40" i="3" s="1"/>
  <c r="E40" i="3" s="1"/>
  <c r="C40" i="3" l="1"/>
  <c r="D40" i="3" s="1"/>
  <c r="E41" i="3" l="1"/>
  <c r="F41" i="3" s="1"/>
  <c r="D41" i="3"/>
  <c r="C41" i="3" s="1"/>
  <c r="C83" i="2"/>
  <c r="F65" i="2"/>
  <c r="N43" i="2" s="1"/>
  <c r="S43" i="2" s="1"/>
  <c r="G38" i="2"/>
  <c r="K21" i="2" s="1"/>
  <c r="P21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<sst xmlns="http://schemas.openxmlformats.org/spreadsheetml/2006/main" count="253" uniqueCount="131">
  <si>
    <t>Span 1:</t>
  </si>
  <si>
    <t>ft</t>
  </si>
  <si>
    <t>Span 2:</t>
  </si>
  <si>
    <t>Span 3:</t>
  </si>
  <si>
    <t>E (ksi)</t>
  </si>
  <si>
    <t>I (in^4)</t>
  </si>
  <si>
    <t>Fixity:</t>
  </si>
  <si>
    <t>1 for fixed - 0 for pinned</t>
  </si>
  <si>
    <t>E (ksf)</t>
  </si>
  <si>
    <t>I (ft^4)</t>
  </si>
  <si>
    <t>Joint</t>
  </si>
  <si>
    <t>Member</t>
  </si>
  <si>
    <t>K</t>
  </si>
  <si>
    <t>DF</t>
  </si>
  <si>
    <t>AB</t>
  </si>
  <si>
    <t>BA</t>
  </si>
  <si>
    <t>BC</t>
  </si>
  <si>
    <t>CB</t>
  </si>
  <si>
    <t>DC</t>
  </si>
  <si>
    <t>CD</t>
  </si>
  <si>
    <t>FEM</t>
  </si>
  <si>
    <t>ki</t>
  </si>
  <si>
    <t>kj</t>
  </si>
  <si>
    <t>COF</t>
  </si>
  <si>
    <t>Sign convention is clockwise moments are positive</t>
  </si>
  <si>
    <t>A</t>
  </si>
  <si>
    <t>B</t>
  </si>
  <si>
    <t>C</t>
  </si>
  <si>
    <t>D</t>
  </si>
  <si>
    <t>20-Cycle Distribution Results:</t>
  </si>
  <si>
    <t>span 1</t>
  </si>
  <si>
    <t>span 2</t>
  </si>
  <si>
    <t>span 3</t>
  </si>
  <si>
    <t>10-Cycle Distribution Results:</t>
  </si>
  <si>
    <t>2-Span</t>
  </si>
  <si>
    <t>3-Span</t>
  </si>
  <si>
    <t>Point Load:</t>
  </si>
  <si>
    <t>Span:</t>
  </si>
  <si>
    <t xml:space="preserve">P: </t>
  </si>
  <si>
    <t>kips</t>
  </si>
  <si>
    <t>a:</t>
  </si>
  <si>
    <t>Distance from left end of beam to load point</t>
  </si>
  <si>
    <t xml:space="preserve">b: </t>
  </si>
  <si>
    <t>Positive Loads act downward, in -y direction</t>
  </si>
  <si>
    <t xml:space="preserve">M,left = </t>
  </si>
  <si>
    <t xml:space="preserve">M,right = </t>
  </si>
  <si>
    <t>ft-kips</t>
  </si>
  <si>
    <t>Positive Moments are clockwise</t>
  </si>
  <si>
    <t>Point Moment:</t>
  </si>
  <si>
    <t>M:</t>
  </si>
  <si>
    <t>Positive moments are clockwise</t>
  </si>
  <si>
    <t xml:space="preserve">M,Left = </t>
  </si>
  <si>
    <t xml:space="preserve">M,Right = </t>
  </si>
  <si>
    <t>Uniform Line Load:</t>
  </si>
  <si>
    <t>w:</t>
  </si>
  <si>
    <t>b:</t>
  </si>
  <si>
    <t>klf</t>
  </si>
  <si>
    <t>Distance from left end of beam to load start point</t>
  </si>
  <si>
    <t>Distance from left end of beam to load end point</t>
  </si>
  <si>
    <t xml:space="preserve">RL,pin = </t>
  </si>
  <si>
    <t xml:space="preserve">RR,pin = </t>
  </si>
  <si>
    <t>c:</t>
  </si>
  <si>
    <t>width of load area</t>
  </si>
  <si>
    <t>Constants of Integration for Pin-Pin:</t>
  </si>
  <si>
    <t xml:space="preserve">C1 = </t>
  </si>
  <si>
    <t xml:space="preserve">C2 = </t>
  </si>
  <si>
    <t xml:space="preserve">C3 = </t>
  </si>
  <si>
    <t xml:space="preserve">C7 = </t>
  </si>
  <si>
    <t xml:space="preserve">C8 = </t>
  </si>
  <si>
    <t xml:space="preserve">C9 = </t>
  </si>
  <si>
    <t xml:space="preserve">C6 = </t>
  </si>
  <si>
    <t xml:space="preserve">C5 = </t>
  </si>
  <si>
    <t xml:space="preserve">C4 = </t>
  </si>
  <si>
    <t xml:space="preserve">EIS0 = </t>
  </si>
  <si>
    <t xml:space="preserve">EISL = </t>
  </si>
  <si>
    <t>Slope at x=0 for pin-pin beam</t>
  </si>
  <si>
    <t>Slope at x=L for pin-pin beam</t>
  </si>
  <si>
    <t>ML,EIS</t>
  </si>
  <si>
    <t>MR,EIS</t>
  </si>
  <si>
    <t>Pinned Beam Left end Reaction</t>
  </si>
  <si>
    <t>Pinned Beam Right end Reaction</t>
  </si>
  <si>
    <t>End Moment vs EIS Matrix</t>
  </si>
  <si>
    <t>Variable Line Load:</t>
  </si>
  <si>
    <t>w1:</t>
  </si>
  <si>
    <t>w2:</t>
  </si>
  <si>
    <t>Note: w1 and w2 must have the same sign</t>
  </si>
  <si>
    <t>Load at left end of load area - Positive Loads act downward, in -y direction</t>
  </si>
  <si>
    <t>Load at right end of load area - Positive Loads act downward, in -y direction</t>
  </si>
  <si>
    <t xml:space="preserve">s = </t>
  </si>
  <si>
    <t>slope of load area</t>
  </si>
  <si>
    <r>
      <t>x</t>
    </r>
    <r>
      <rPr>
        <sz val="11"/>
        <color theme="1"/>
        <rFont val="Calibri"/>
        <family val="2"/>
      </rPr>
      <t xml:space="preserve">̄ = </t>
    </r>
  </si>
  <si>
    <t>x-centroid of load area</t>
  </si>
  <si>
    <t xml:space="preserve">W = </t>
  </si>
  <si>
    <t>equivalent point load - area of the load area</t>
  </si>
  <si>
    <t>Imposed End Deflections:</t>
  </si>
  <si>
    <t>Left End Delta:</t>
  </si>
  <si>
    <t>Right End Delta:</t>
  </si>
  <si>
    <t>in</t>
  </si>
  <si>
    <t>ft per ft</t>
  </si>
  <si>
    <t>3-Span Beam Moment Distibution</t>
  </si>
  <si>
    <t>2-Span Beam Moment Distibution</t>
  </si>
  <si>
    <t>BSD 3-Clause License</t>
  </si>
  <si>
    <t>Copyright (c) 2020, open-struct-engineer</t>
  </si>
  <si>
    <t>All rights reserved.</t>
  </si>
  <si>
    <t>Redistribution and use in source and binary forms, with or without</t>
  </si>
  <si>
    <t>modification, are permitted provided that the following conditions are met:</t>
  </si>
  <si>
    <t>1. Redistributions of source code must retain the above copyright notice, this</t>
  </si>
  <si>
    <t>list of conditions and the following disclaimer.</t>
  </si>
  <si>
    <t>2. Redistributions in binary form must reproduce the above copyright notice,</t>
  </si>
  <si>
    <t>this list of conditions and the following disclaimer in the documentation</t>
  </si>
  <si>
    <t>and/or other materials provided with the distribution.</t>
  </si>
  <si>
    <t>3. Neither the name of the copyright holder nor the names of its</t>
  </si>
  <si>
    <t>contributors may be used to endorse or promote products derived from</t>
  </si>
  <si>
    <t>this software without specific prior written permission.</t>
  </si>
  <si>
    <t>THIS SOFTWARE IS PROVIDED BY THE COPYRIGHT HOLDERS AND CONTRIBUTORS "AS IS"</t>
  </si>
  <si>
    <t>AND ANY EXPRESS OR IMPLIED WARRANTIES, INCLUDING, BUT NOT LIMITED TO, THE</t>
  </si>
  <si>
    <t>IMPLIED WARRANTIES OF MERCHANTABILITY AND FITNESS FOR A PARTICULAR PURPOSE ARE</t>
  </si>
  <si>
    <t>DISCLAIMED. IN NO EVENT SHALL THE COPYRIGHT HOLDER OR CONTRIBUTORS BE LIABLE</t>
  </si>
  <si>
    <t>FOR ANY DIRECT, INDIRECT, INCIDENTAL, SPECIAL, EXEMPLARY, OR CONSEQUENTIAL</t>
  </si>
  <si>
    <t>DAMAGES (INCLUDING, BUT NOT LIMITED TO, PROCUREMENT OF SUBSTITUTE GOODS OR</t>
  </si>
  <si>
    <t>SERVICES; LOSS OF USE, DATA, OR PROFITS; OR BUSINESS INTERRUPTION) HOWEVER</t>
  </si>
  <si>
    <t>CAUSED AND ON ANY THEORY OF LIABILITY, WHETHER IN CONTRACT, STRICT LIABILITY,</t>
  </si>
  <si>
    <t>OR TORT (INCLUDING NEGLIGENCE OR OTHERWISE) ARISING IN ANY WAY OUT OF THE USE</t>
  </si>
  <si>
    <t>OF THIS SOFTWARE, EVEN IF ADVISED OF THE POSSIBILITY OF SUCH DAMAGE.</t>
  </si>
  <si>
    <t>S =</t>
  </si>
  <si>
    <t xml:space="preserve">S0 = </t>
  </si>
  <si>
    <t xml:space="preserve">SL = </t>
  </si>
  <si>
    <t>ML,S</t>
  </si>
  <si>
    <t>MR,S</t>
  </si>
  <si>
    <t>E*I =</t>
  </si>
  <si>
    <t>K*ft^2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</si>
</sst>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00000"/>
    <numFmt numFmtId="168" formatCode="0.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rgb="FF24292E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5" borderId="17" xfId="0" applyNumberFormat="1" applyFill="1" applyBorder="1" applyAlignment="1">
      <alignment horizontal="center"/>
    </xf>
    <xf numFmtId="0" fontId="1" fillId="0" borderId="0" xfId="0" applyFont="1"/>
    <xf numFmtId="17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3" borderId="18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5" fontId="0" fillId="3" borderId="11" xfId="0" applyNumberFormat="1" applyFill="1" applyBorder="1" applyAlignment="1">
      <alignment horizontal="center"/>
    </xf>
    <xf numFmtId="165" fontId="0" fillId="4" borderId="18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65" fontId="0" fillId="4" borderId="11" xfId="0" applyNumberFormat="1" applyFill="1" applyBorder="1" applyAlignment="1">
      <alignment horizontal="center"/>
    </xf>
    <xf numFmtId="165" fontId="0" fillId="4" borderId="19" xfId="0" applyNumberForma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165" fontId="0" fillId="4" borderId="16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165" fontId="0" fillId="5" borderId="14" xfId="0" applyNumberFormat="1" applyFill="1" applyBorder="1" applyAlignment="1">
      <alignment horizontal="center"/>
    </xf>
    <xf numFmtId="165" fontId="0" fillId="5" borderId="12" xfId="0" applyNumberFormat="1" applyFill="1" applyBorder="1" applyAlignment="1">
      <alignment horizontal="center"/>
    </xf>
    <xf numFmtId="165" fontId="0" fillId="5" borderId="15" xfId="0" applyNumberFormat="1" applyFill="1" applyBorder="1" applyAlignment="1">
      <alignment horizontal="center"/>
    </xf>
    <xf numFmtId="165" fontId="0" fillId="2" borderId="22" xfId="0" applyNumberFormat="1" applyFill="1" applyBorder="1" applyAlignment="1">
      <alignment horizontal="center"/>
    </xf>
    <xf numFmtId="165" fontId="0" fillId="2" borderId="23" xfId="0" applyNumberFormat="1" applyFill="1" applyBorder="1" applyAlignment="1">
      <alignment horizontal="center"/>
    </xf>
    <xf numFmtId="165" fontId="0" fillId="2" borderId="24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5" fontId="0" fillId="2" borderId="25" xfId="0" applyNumberFormat="1" applyFill="1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6" fontId="0" fillId="3" borderId="10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6" fontId="0" fillId="3" borderId="11" xfId="0" applyNumberFormat="1" applyFill="1" applyBorder="1" applyAlignment="1">
      <alignment horizontal="center"/>
    </xf>
    <xf numFmtId="166" fontId="0" fillId="4" borderId="10" xfId="0" applyNumberFormat="1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166" fontId="0" fillId="4" borderId="11" xfId="0" applyNumberFormat="1" applyFill="1" applyBorder="1" applyAlignment="1">
      <alignment horizontal="center"/>
    </xf>
    <xf numFmtId="166" fontId="0" fillId="4" borderId="28" xfId="0" applyNumberFormat="1" applyFill="1" applyBorder="1" applyAlignment="1">
      <alignment horizontal="center"/>
    </xf>
    <xf numFmtId="166" fontId="0" fillId="4" borderId="26" xfId="0" applyNumberFormat="1" applyFill="1" applyBorder="1" applyAlignment="1">
      <alignment horizontal="center"/>
    </xf>
    <xf numFmtId="166" fontId="0" fillId="4" borderId="27" xfId="0" applyNumberFormat="1" applyFill="1" applyBorder="1" applyAlignment="1">
      <alignment horizontal="center"/>
    </xf>
    <xf numFmtId="166" fontId="0" fillId="4" borderId="29" xfId="0" applyNumberFormat="1" applyFill="1" applyBorder="1" applyAlignment="1">
      <alignment horizontal="center"/>
    </xf>
    <xf numFmtId="166" fontId="0" fillId="3" borderId="28" xfId="0" applyNumberFormat="1" applyFill="1" applyBorder="1" applyAlignment="1">
      <alignment horizontal="center"/>
    </xf>
    <xf numFmtId="166" fontId="0" fillId="3" borderId="26" xfId="0" applyNumberFormat="1" applyFill="1" applyBorder="1" applyAlignment="1">
      <alignment horizontal="center"/>
    </xf>
    <xf numFmtId="166" fontId="0" fillId="3" borderId="27" xfId="0" applyNumberFormat="1" applyFill="1" applyBorder="1" applyAlignment="1">
      <alignment horizontal="center"/>
    </xf>
    <xf numFmtId="166" fontId="0" fillId="3" borderId="29" xfId="0" applyNumberFormat="1" applyFill="1" applyBorder="1" applyAlignment="1">
      <alignment horizontal="center"/>
    </xf>
    <xf numFmtId="166" fontId="0" fillId="4" borderId="30" xfId="0" applyNumberFormat="1" applyFill="1" applyBorder="1" applyAlignment="1">
      <alignment horizontal="center"/>
    </xf>
    <xf numFmtId="166" fontId="0" fillId="4" borderId="4" xfId="0" applyNumberFormat="1" applyFill="1" applyBorder="1" applyAlignment="1">
      <alignment horizontal="center"/>
    </xf>
    <xf numFmtId="166" fontId="0" fillId="4" borderId="31" xfId="0" applyNumberFormat="1" applyFill="1" applyBorder="1" applyAlignment="1">
      <alignment horizontal="center"/>
    </xf>
    <xf numFmtId="166" fontId="0" fillId="4" borderId="16" xfId="0" applyNumberFormat="1" applyFill="1" applyBorder="1" applyAlignment="1">
      <alignment horizontal="center"/>
    </xf>
    <xf numFmtId="166" fontId="0" fillId="5" borderId="12" xfId="0" applyNumberFormat="1" applyFill="1" applyBorder="1" applyAlignment="1">
      <alignment horizontal="center"/>
    </xf>
    <xf numFmtId="166" fontId="0" fillId="5" borderId="15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32" xfId="0" applyFont="1" applyBorder="1"/>
    <xf numFmtId="0" fontId="0" fillId="0" borderId="8" xfId="0" applyBorder="1"/>
    <xf numFmtId="0" fontId="0" fillId="0" borderId="33" xfId="0" applyBorder="1"/>
    <xf numFmtId="0" fontId="0" fillId="0" borderId="18" xfId="0" applyBorder="1" applyAlignment="1">
      <alignment horizontal="right"/>
    </xf>
    <xf numFmtId="0" fontId="0" fillId="0" borderId="0" xfId="0" applyBorder="1"/>
    <xf numFmtId="0" fontId="0" fillId="0" borderId="34" xfId="0" applyBorder="1"/>
    <xf numFmtId="0" fontId="0" fillId="0" borderId="18" xfId="0" applyBorder="1"/>
    <xf numFmtId="0" fontId="0" fillId="0" borderId="12" xfId="0" applyBorder="1"/>
    <xf numFmtId="0" fontId="0" fillId="0" borderId="15" xfId="0" applyBorder="1"/>
    <xf numFmtId="0" fontId="1" fillId="0" borderId="32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14" xfId="0" applyBorder="1"/>
    <xf numFmtId="0" fontId="0" fillId="0" borderId="0" xfId="0" applyFill="1" applyBorder="1"/>
    <xf numFmtId="164" fontId="0" fillId="0" borderId="37" xfId="0" applyNumberForma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Border="1" applyAlignment="1">
      <alignment horizontal="center"/>
    </xf>
    <xf numFmtId="0" fontId="1" fillId="5" borderId="35" xfId="0" applyFont="1" applyFill="1" applyBorder="1" applyAlignment="1">
      <alignment horizontal="right"/>
    </xf>
    <xf numFmtId="164" fontId="1" fillId="5" borderId="39" xfId="0" applyNumberFormat="1" applyFont="1" applyFill="1" applyBorder="1" applyAlignment="1">
      <alignment horizontal="center"/>
    </xf>
    <xf numFmtId="0" fontId="1" fillId="5" borderId="36" xfId="0" applyFont="1" applyFill="1" applyBorder="1"/>
    <xf numFmtId="0" fontId="1" fillId="5" borderId="26" xfId="0" applyFont="1" applyFill="1" applyBorder="1" applyAlignment="1">
      <alignment horizontal="right"/>
    </xf>
    <xf numFmtId="164" fontId="1" fillId="5" borderId="40" xfId="0" applyNumberFormat="1" applyFont="1" applyFill="1" applyBorder="1" applyAlignment="1">
      <alignment horizontal="center"/>
    </xf>
    <xf numFmtId="0" fontId="1" fillId="5" borderId="27" xfId="0" applyFont="1" applyFill="1" applyBorder="1"/>
    <xf numFmtId="0" fontId="1" fillId="5" borderId="14" xfId="0" applyFont="1" applyFill="1" applyBorder="1" applyAlignment="1">
      <alignment horizontal="right"/>
    </xf>
    <xf numFmtId="164" fontId="1" fillId="5" borderId="12" xfId="0" applyNumberFormat="1" applyFont="1" applyFill="1" applyBorder="1" applyAlignment="1">
      <alignment horizontal="center"/>
    </xf>
    <xf numFmtId="164" fontId="1" fillId="5" borderId="8" xfId="0" applyNumberFormat="1" applyFont="1" applyFill="1" applyBorder="1" applyAlignment="1">
      <alignment horizontal="center"/>
    </xf>
    <xf numFmtId="0" fontId="1" fillId="5" borderId="33" xfId="0" applyFont="1" applyFill="1" applyBorder="1"/>
    <xf numFmtId="164" fontId="0" fillId="0" borderId="0" xfId="0" applyNumberFormat="1"/>
    <xf numFmtId="0" fontId="1" fillId="0" borderId="32" xfId="0" applyFont="1" applyFill="1" applyBorder="1" applyAlignment="1">
      <alignment horizontal="left"/>
    </xf>
    <xf numFmtId="0" fontId="0" fillId="0" borderId="18" xfId="0" applyFill="1" applyBorder="1" applyAlignment="1">
      <alignment horizontal="right"/>
    </xf>
    <xf numFmtId="0" fontId="2" fillId="0" borderId="0" xfId="0" applyFont="1" applyBorder="1"/>
    <xf numFmtId="0" fontId="1" fillId="5" borderId="32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  <xf numFmtId="0" fontId="1" fillId="5" borderId="32" xfId="0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 vertical="center"/>
    </xf>
    <xf numFmtId="0" fontId="3" fillId="0" borderId="0" xfId="0" applyFont="1" applyBorder="1" applyAlignment="1">
      <alignment horizontal="center"/>
    </xf>
    <xf numFmtId="166" fontId="0" fillId="5" borderId="41" xfId="0" applyNumberFormat="1" applyFill="1" applyBorder="1" applyAlignment="1">
      <alignment horizontal="center"/>
    </xf>
    <xf numFmtId="166" fontId="0" fillId="5" borderId="42" xfId="0" applyNumberFormat="1" applyFill="1" applyBorder="1" applyAlignment="1">
      <alignment horizontal="center"/>
    </xf>
    <xf numFmtId="0" fontId="1" fillId="0" borderId="0" xfId="0" applyFont="1" applyFill="1" applyBorder="1"/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17" fontId="0" fillId="0" borderId="0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5" fontId="0" fillId="0" borderId="35" xfId="0" applyNumberFormat="1" applyBorder="1" applyAlignment="1">
      <alignment horizontal="center" vertical="center"/>
    </xf>
    <xf numFmtId="165" fontId="0" fillId="0" borderId="36" xfId="0" applyNumberFormat="1" applyBorder="1" applyAlignment="1">
      <alignment horizontal="center" vertical="center"/>
    </xf>
    <xf numFmtId="165" fontId="0" fillId="0" borderId="26" xfId="0" applyNumberFormat="1" applyBorder="1" applyAlignment="1">
      <alignment horizontal="center" vertical="center"/>
    </xf>
    <xf numFmtId="165" fontId="0" fillId="0" borderId="27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4" fillId="6" borderId="32" xfId="0" applyFont="1" applyFill="1" applyBorder="1" applyAlignment="1">
      <alignment vertical="top" wrapText="1" indent="1"/>
    </xf>
    <xf numFmtId="0" fontId="1" fillId="6" borderId="33" xfId="0" applyFont="1" applyFill="1" applyBorder="1"/>
    <xf numFmtId="0" fontId="4" fillId="6" borderId="18" xfId="0" applyFont="1" applyFill="1" applyBorder="1" applyAlignment="1">
      <alignment horizontal="right" vertical="top" indent="1"/>
    </xf>
    <xf numFmtId="0" fontId="4" fillId="6" borderId="34" xfId="0" applyFont="1" applyFill="1" applyBorder="1" applyAlignment="1">
      <alignment vertical="top" wrapText="1" indent="1"/>
    </xf>
    <xf numFmtId="0" fontId="1" fillId="6" borderId="14" xfId="0" applyFont="1" applyFill="1" applyBorder="1"/>
    <xf numFmtId="0" fontId="1" fillId="6" borderId="15" xfId="0" applyFont="1" applyFill="1" applyBorder="1"/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8" fontId="1" fillId="5" borderId="0" xfId="0" applyNumberFormat="1" applyFont="1" applyFill="1" applyBorder="1" applyAlignment="1">
      <alignment horizontal="center"/>
    </xf>
    <xf numFmtId="0" fontId="1" fillId="5" borderId="0" xfId="0" applyFont="1" applyFill="1" applyBorder="1"/>
    <xf numFmtId="0" fontId="1" fillId="5" borderId="18" xfId="0" applyFont="1" applyFill="1" applyBorder="1" applyAlignment="1">
      <alignment horizontal="right"/>
    </xf>
    <xf numFmtId="167" fontId="0" fillId="5" borderId="17" xfId="0" applyNumberFormat="1" applyFill="1" applyBorder="1" applyAlignment="1">
      <alignment horizontal="center"/>
    </xf>
    <xf numFmtId="168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FEC8-ECC4-4625-A1B6-6CF7B711C3F0}">
  <sheetPr codeName="Sheet15"/>
  <dimension ref="A1:B30"/>
  <sheetViews>
    <sheetView workbookViewId="0">
      <selection activeCell="G15" sqref="G15"/>
    </sheetView>
  </sheetViews>
  <sheetFormatPr defaultRowHeight="24" customHeight="1" x14ac:dyDescent="0.25"/>
  <cols>
    <col min="1" max="1" width="25.85546875" customWidth="1"/>
    <col min="2" max="2" width="60.42578125" customWidth="1"/>
  </cols>
  <sheetData>
    <row r="1" spans="1:2" ht="24" customHeight="1" x14ac:dyDescent="0.25">
      <c r="A1" s="125" t="s">
        <v>101</v>
      </c>
      <c r="B1" s="126"/>
    </row>
    <row r="2" spans="1:2" ht="24" customHeight="1" x14ac:dyDescent="0.25">
      <c r="A2" s="127"/>
      <c r="B2" s="128"/>
    </row>
    <row r="3" spans="1:2" ht="24" customHeight="1" x14ac:dyDescent="0.25">
      <c r="A3" s="127"/>
      <c r="B3" s="128" t="s">
        <v>102</v>
      </c>
    </row>
    <row r="4" spans="1:2" ht="24" customHeight="1" x14ac:dyDescent="0.25">
      <c r="A4" s="127"/>
      <c r="B4" s="128" t="s">
        <v>103</v>
      </c>
    </row>
    <row r="5" spans="1:2" ht="24" customHeight="1" x14ac:dyDescent="0.25">
      <c r="A5" s="127"/>
      <c r="B5" s="128"/>
    </row>
    <row r="6" spans="1:2" ht="24" customHeight="1" x14ac:dyDescent="0.25">
      <c r="A6" s="127"/>
      <c r="B6" s="128" t="s">
        <v>104</v>
      </c>
    </row>
    <row r="7" spans="1:2" ht="24" customHeight="1" x14ac:dyDescent="0.25">
      <c r="A7" s="127"/>
      <c r="B7" s="128" t="s">
        <v>105</v>
      </c>
    </row>
    <row r="8" spans="1:2" ht="24" customHeight="1" x14ac:dyDescent="0.25">
      <c r="A8" s="127"/>
      <c r="B8" s="128"/>
    </row>
    <row r="9" spans="1:2" ht="24" customHeight="1" x14ac:dyDescent="0.25">
      <c r="A9" s="127"/>
      <c r="B9" s="128" t="s">
        <v>106</v>
      </c>
    </row>
    <row r="10" spans="1:2" ht="24" customHeight="1" x14ac:dyDescent="0.25">
      <c r="A10" s="127"/>
      <c r="B10" s="128" t="s">
        <v>107</v>
      </c>
    </row>
    <row r="11" spans="1:2" ht="24" customHeight="1" x14ac:dyDescent="0.25">
      <c r="A11" s="127"/>
      <c r="B11" s="128"/>
    </row>
    <row r="12" spans="1:2" ht="24" customHeight="1" x14ac:dyDescent="0.25">
      <c r="A12" s="127"/>
      <c r="B12" s="128" t="s">
        <v>108</v>
      </c>
    </row>
    <row r="13" spans="1:2" ht="24" customHeight="1" x14ac:dyDescent="0.25">
      <c r="A13" s="127"/>
      <c r="B13" s="128" t="s">
        <v>109</v>
      </c>
    </row>
    <row r="14" spans="1:2" ht="24" customHeight="1" x14ac:dyDescent="0.25">
      <c r="A14" s="127"/>
      <c r="B14" s="128" t="s">
        <v>110</v>
      </c>
    </row>
    <row r="15" spans="1:2" ht="24" customHeight="1" x14ac:dyDescent="0.25">
      <c r="A15" s="127"/>
      <c r="B15" s="128"/>
    </row>
    <row r="16" spans="1:2" ht="24" customHeight="1" x14ac:dyDescent="0.25">
      <c r="A16" s="127"/>
      <c r="B16" s="128" t="s">
        <v>111</v>
      </c>
    </row>
    <row r="17" spans="1:2" ht="24" customHeight="1" x14ac:dyDescent="0.25">
      <c r="A17" s="127"/>
      <c r="B17" s="128" t="s">
        <v>112</v>
      </c>
    </row>
    <row r="18" spans="1:2" ht="24" customHeight="1" x14ac:dyDescent="0.25">
      <c r="A18" s="127"/>
      <c r="B18" s="128" t="s">
        <v>113</v>
      </c>
    </row>
    <row r="19" spans="1:2" ht="24" customHeight="1" x14ac:dyDescent="0.25">
      <c r="A19" s="127"/>
      <c r="B19" s="128"/>
    </row>
    <row r="20" spans="1:2" ht="24" customHeight="1" x14ac:dyDescent="0.25">
      <c r="A20" s="127"/>
      <c r="B20" s="128" t="s">
        <v>114</v>
      </c>
    </row>
    <row r="21" spans="1:2" ht="24" customHeight="1" x14ac:dyDescent="0.25">
      <c r="A21" s="127"/>
      <c r="B21" s="128" t="s">
        <v>115</v>
      </c>
    </row>
    <row r="22" spans="1:2" ht="24" customHeight="1" x14ac:dyDescent="0.25">
      <c r="A22" s="127"/>
      <c r="B22" s="128" t="s">
        <v>116</v>
      </c>
    </row>
    <row r="23" spans="1:2" ht="24" customHeight="1" x14ac:dyDescent="0.25">
      <c r="A23" s="127"/>
      <c r="B23" s="128" t="s">
        <v>117</v>
      </c>
    </row>
    <row r="24" spans="1:2" ht="24" customHeight="1" x14ac:dyDescent="0.25">
      <c r="A24" s="127"/>
      <c r="B24" s="128" t="s">
        <v>118</v>
      </c>
    </row>
    <row r="25" spans="1:2" ht="24" customHeight="1" x14ac:dyDescent="0.25">
      <c r="A25" s="127"/>
      <c r="B25" s="128" t="s">
        <v>119</v>
      </c>
    </row>
    <row r="26" spans="1:2" ht="24" customHeight="1" x14ac:dyDescent="0.25">
      <c r="A26" s="127"/>
      <c r="B26" s="128" t="s">
        <v>120</v>
      </c>
    </row>
    <row r="27" spans="1:2" ht="24" customHeight="1" x14ac:dyDescent="0.25">
      <c r="A27" s="127"/>
      <c r="B27" s="128" t="s">
        <v>121</v>
      </c>
    </row>
    <row r="28" spans="1:2" ht="24" customHeight="1" x14ac:dyDescent="0.25">
      <c r="A28" s="127"/>
      <c r="B28" s="128" t="s">
        <v>122</v>
      </c>
    </row>
    <row r="29" spans="1:2" ht="24" customHeight="1" x14ac:dyDescent="0.25">
      <c r="A29" s="127"/>
      <c r="B29" s="128" t="s">
        <v>123</v>
      </c>
    </row>
    <row r="30" spans="1:2" ht="24" customHeight="1" thickBot="1" x14ac:dyDescent="0.3">
      <c r="A30" s="129"/>
      <c r="B30" s="1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9555-2190-46B3-B0BB-06BF7F0B5A25}">
  <sheetPr codeName="Sheet1"/>
  <dimension ref="A1:Q113"/>
  <sheetViews>
    <sheetView workbookViewId="0">
      <selection activeCell="I12" sqref="I12"/>
    </sheetView>
  </sheetViews>
  <sheetFormatPr defaultRowHeight="15" x14ac:dyDescent="0.25"/>
  <cols>
    <col min="1" max="1" width="21.7109375" customWidth="1"/>
    <col min="2" max="2" width="16.5703125" customWidth="1"/>
    <col min="3" max="3" width="10.28515625" bestFit="1" customWidth="1"/>
    <col min="4" max="4" width="12" bestFit="1" customWidth="1"/>
    <col min="5" max="5" width="9.5703125" bestFit="1" customWidth="1"/>
    <col min="6" max="7" width="10.28515625" bestFit="1" customWidth="1"/>
    <col min="12" max="12" width="10.7109375" customWidth="1"/>
    <col min="13" max="13" width="11" customWidth="1"/>
    <col min="14" max="14" width="11.85546875" customWidth="1"/>
    <col min="15" max="15" width="11" customWidth="1"/>
  </cols>
  <sheetData>
    <row r="1" spans="1:17" x14ac:dyDescent="0.25">
      <c r="A1" s="38" t="s">
        <v>99</v>
      </c>
    </row>
    <row r="3" spans="1:17" x14ac:dyDescent="0.25">
      <c r="D3" s="1" t="s">
        <v>4</v>
      </c>
      <c r="E3" s="1" t="s">
        <v>5</v>
      </c>
      <c r="F3" s="1" t="s">
        <v>8</v>
      </c>
      <c r="G3" s="1" t="s">
        <v>9</v>
      </c>
      <c r="H3" s="1" t="s">
        <v>21</v>
      </c>
      <c r="I3" s="1" t="s">
        <v>22</v>
      </c>
      <c r="J3" s="1"/>
      <c r="K3" s="1"/>
    </row>
    <row r="4" spans="1:17" x14ac:dyDescent="0.25">
      <c r="A4" s="3" t="s">
        <v>0</v>
      </c>
      <c r="B4" s="2">
        <v>2</v>
      </c>
      <c r="C4" t="s">
        <v>1</v>
      </c>
      <c r="D4" s="2">
        <v>1</v>
      </c>
      <c r="E4" s="2">
        <v>1</v>
      </c>
      <c r="F4" s="1">
        <f>D4*144</f>
        <v>144</v>
      </c>
      <c r="G4">
        <f>E4/POWER(12,4)</f>
        <v>4.8225308641975306E-5</v>
      </c>
      <c r="H4" s="1">
        <f>(F4*G4)/B4</f>
        <v>3.472222222222222E-3</v>
      </c>
      <c r="I4" s="1">
        <f>IF(B9=0,(0.75*F4*G4)/B4,(F4*G4)/B4)</f>
        <v>2.6041666666666665E-3</v>
      </c>
    </row>
    <row r="5" spans="1:17" x14ac:dyDescent="0.25">
      <c r="A5" s="3" t="s">
        <v>2</v>
      </c>
      <c r="B5" s="2">
        <v>2</v>
      </c>
      <c r="C5" t="s">
        <v>1</v>
      </c>
      <c r="D5" s="2">
        <v>1</v>
      </c>
      <c r="E5" s="2">
        <v>1</v>
      </c>
      <c r="F5" s="1">
        <f t="shared" ref="F5:F6" si="0">D5*144</f>
        <v>144</v>
      </c>
      <c r="G5">
        <f t="shared" ref="G5:G6" si="1">E5/POWER(12,4)</f>
        <v>4.8225308641975306E-5</v>
      </c>
      <c r="H5" s="1">
        <f>(F5*G5)/B5</f>
        <v>3.472222222222222E-3</v>
      </c>
      <c r="I5" s="1">
        <f>H5</f>
        <v>3.472222222222222E-3</v>
      </c>
    </row>
    <row r="6" spans="1:17" x14ac:dyDescent="0.25">
      <c r="A6" s="3" t="s">
        <v>3</v>
      </c>
      <c r="B6" s="2">
        <v>2</v>
      </c>
      <c r="C6" t="s">
        <v>1</v>
      </c>
      <c r="D6" s="2">
        <v>1</v>
      </c>
      <c r="E6" s="2">
        <v>1</v>
      </c>
      <c r="F6" s="1">
        <f t="shared" si="0"/>
        <v>144</v>
      </c>
      <c r="G6">
        <f t="shared" si="1"/>
        <v>4.8225308641975306E-5</v>
      </c>
      <c r="H6" s="1">
        <f>IF(B10=0,(0.75*F6*G6)/B6,(F6*G6)/B6)</f>
        <v>2.6041666666666665E-3</v>
      </c>
      <c r="I6" s="1">
        <f>(F6*G6)/B6</f>
        <v>3.472222222222222E-3</v>
      </c>
    </row>
    <row r="8" spans="1:17" x14ac:dyDescent="0.25">
      <c r="A8" s="3" t="s">
        <v>6</v>
      </c>
      <c r="B8" t="s">
        <v>7</v>
      </c>
    </row>
    <row r="9" spans="1:17" x14ac:dyDescent="0.25">
      <c r="A9" s="3" t="str">
        <f>"@ start"</f>
        <v>@ start</v>
      </c>
      <c r="B9" s="2">
        <v>0</v>
      </c>
    </row>
    <row r="10" spans="1:17" x14ac:dyDescent="0.25">
      <c r="A10" s="3" t="str">
        <f>"@ End"</f>
        <v>@ End</v>
      </c>
      <c r="B10" s="2">
        <v>0</v>
      </c>
      <c r="K10" s="80"/>
      <c r="L10" s="80"/>
      <c r="M10" s="80"/>
      <c r="N10" s="80"/>
      <c r="O10" s="80"/>
      <c r="P10" s="80"/>
      <c r="Q10" s="80"/>
    </row>
    <row r="11" spans="1:17" x14ac:dyDescent="0.25">
      <c r="K11" s="80"/>
      <c r="L11" s="80"/>
      <c r="M11" s="80"/>
      <c r="N11" s="80"/>
      <c r="O11" s="80"/>
      <c r="P11" s="80"/>
      <c r="Q11" s="80"/>
    </row>
    <row r="12" spans="1:17" x14ac:dyDescent="0.25">
      <c r="B12" s="12" t="s">
        <v>35</v>
      </c>
      <c r="K12" s="80"/>
      <c r="L12" s="113"/>
      <c r="M12" s="80"/>
      <c r="N12" s="80"/>
      <c r="O12" s="80"/>
      <c r="P12" s="80"/>
      <c r="Q12" s="80"/>
    </row>
    <row r="13" spans="1:17" x14ac:dyDescent="0.25">
      <c r="A13" s="3"/>
      <c r="B13" s="12" t="s">
        <v>29</v>
      </c>
      <c r="D13" s="12" t="s">
        <v>24</v>
      </c>
      <c r="K13" s="80"/>
      <c r="L13" s="113"/>
      <c r="M13" s="80"/>
      <c r="N13" s="80"/>
      <c r="O13" s="113"/>
      <c r="P13" s="80"/>
      <c r="Q13" s="80"/>
    </row>
    <row r="14" spans="1:17" x14ac:dyDescent="0.25">
      <c r="A14" s="3"/>
      <c r="B14" s="136" t="s">
        <v>30</v>
      </c>
      <c r="C14" s="137"/>
      <c r="D14" s="136" t="s">
        <v>31</v>
      </c>
      <c r="E14" s="137"/>
      <c r="F14" s="135" t="s">
        <v>32</v>
      </c>
      <c r="G14" s="135"/>
      <c r="K14" s="80"/>
      <c r="L14" s="131"/>
      <c r="M14" s="131"/>
      <c r="N14" s="131"/>
      <c r="O14" s="131"/>
      <c r="P14" s="80"/>
      <c r="Q14" s="80"/>
    </row>
    <row r="15" spans="1:17" x14ac:dyDescent="0.25">
      <c r="A15" s="3"/>
      <c r="B15" s="142">
        <f>B84</f>
        <v>0</v>
      </c>
      <c r="C15" s="142">
        <f t="shared" ref="C15:G15" si="2">C84</f>
        <v>5.5509328580574689E-5</v>
      </c>
      <c r="D15" s="142">
        <f t="shared" si="2"/>
        <v>-5.5509328579206947E-5</v>
      </c>
      <c r="E15" s="142">
        <f t="shared" si="2"/>
        <v>-1.3877332144801735E-5</v>
      </c>
      <c r="F15" s="142">
        <f t="shared" si="2"/>
        <v>1.3877332144801739E-5</v>
      </c>
      <c r="G15" s="142">
        <f t="shared" si="2"/>
        <v>0</v>
      </c>
      <c r="K15" s="80"/>
      <c r="L15" s="114"/>
      <c r="M15" s="114"/>
      <c r="N15" s="114"/>
      <c r="O15" s="114"/>
      <c r="P15" s="80"/>
      <c r="Q15" s="80"/>
    </row>
    <row r="16" spans="1:17" x14ac:dyDescent="0.25">
      <c r="K16" s="80"/>
      <c r="L16" s="80"/>
      <c r="M16" s="80"/>
      <c r="N16" s="80"/>
      <c r="O16" s="80"/>
      <c r="P16" s="80"/>
      <c r="Q16" s="80"/>
    </row>
    <row r="17" spans="1:17" ht="15.75" thickBot="1" x14ac:dyDescent="0.3">
      <c r="K17" s="80"/>
      <c r="L17" s="80"/>
      <c r="M17" s="80"/>
      <c r="N17" s="80"/>
      <c r="O17" s="80"/>
      <c r="P17" s="80"/>
      <c r="Q17" s="80"/>
    </row>
    <row r="18" spans="1:17" ht="15.75" thickBot="1" x14ac:dyDescent="0.3">
      <c r="A18" s="3" t="s">
        <v>10</v>
      </c>
      <c r="B18" s="6" t="s">
        <v>25</v>
      </c>
      <c r="C18" s="133" t="s">
        <v>26</v>
      </c>
      <c r="D18" s="134"/>
      <c r="E18" s="132" t="s">
        <v>27</v>
      </c>
      <c r="F18" s="132"/>
      <c r="G18" s="7" t="s">
        <v>28</v>
      </c>
      <c r="K18" s="115"/>
      <c r="L18" s="116"/>
      <c r="M18" s="131"/>
      <c r="N18" s="131"/>
      <c r="O18" s="116"/>
      <c r="P18" s="117"/>
      <c r="Q18" s="80"/>
    </row>
    <row r="19" spans="1:17" x14ac:dyDescent="0.25">
      <c r="A19" s="3" t="s">
        <v>11</v>
      </c>
      <c r="B19" s="6" t="s">
        <v>14</v>
      </c>
      <c r="C19" s="13" t="s">
        <v>15</v>
      </c>
      <c r="D19" s="14" t="s">
        <v>16</v>
      </c>
      <c r="E19" s="15" t="s">
        <v>17</v>
      </c>
      <c r="F19" s="15" t="s">
        <v>19</v>
      </c>
      <c r="G19" s="7" t="s">
        <v>18</v>
      </c>
      <c r="K19" s="115"/>
      <c r="L19" s="116"/>
      <c r="M19" s="118"/>
      <c r="N19" s="116"/>
      <c r="O19" s="116"/>
      <c r="P19" s="116"/>
      <c r="Q19" s="80"/>
    </row>
    <row r="20" spans="1:17" x14ac:dyDescent="0.25">
      <c r="A20" s="3" t="s">
        <v>12</v>
      </c>
      <c r="B20" s="8">
        <f>H4</f>
        <v>3.472222222222222E-3</v>
      </c>
      <c r="C20" s="4">
        <f>I4</f>
        <v>2.6041666666666665E-3</v>
      </c>
      <c r="D20" s="5">
        <f>H5</f>
        <v>3.472222222222222E-3</v>
      </c>
      <c r="E20" s="9">
        <f>I5</f>
        <v>3.472222222222222E-3</v>
      </c>
      <c r="F20" s="9">
        <f>H6</f>
        <v>2.6041666666666665E-3</v>
      </c>
      <c r="G20" s="10">
        <f>I6</f>
        <v>3.472222222222222E-3</v>
      </c>
      <c r="K20" s="115"/>
      <c r="L20" s="114"/>
      <c r="M20" s="114"/>
      <c r="N20" s="114"/>
      <c r="O20" s="114"/>
      <c r="P20" s="114"/>
      <c r="Q20" s="80"/>
    </row>
    <row r="21" spans="1:17" x14ac:dyDescent="0.25">
      <c r="A21" s="3" t="s">
        <v>13</v>
      </c>
      <c r="B21" s="8">
        <f>IF(B9=0,1,0)</f>
        <v>1</v>
      </c>
      <c r="C21" s="4">
        <f>C20/(C20+D20)</f>
        <v>0.4285714285714286</v>
      </c>
      <c r="D21" s="5">
        <f>D20/(C20+D20)</f>
        <v>0.57142857142857151</v>
      </c>
      <c r="E21" s="9">
        <f>E20/(E20+F20)</f>
        <v>0.57142857142857151</v>
      </c>
      <c r="F21" s="9">
        <f>F20/(E20+F20)</f>
        <v>0.4285714285714286</v>
      </c>
      <c r="G21" s="10">
        <f>IF(B10=0,1,0)</f>
        <v>1</v>
      </c>
      <c r="K21" s="115"/>
      <c r="L21" s="114"/>
      <c r="M21" s="114"/>
      <c r="N21" s="114"/>
      <c r="O21" s="114"/>
      <c r="P21" s="114"/>
      <c r="Q21" s="80"/>
    </row>
    <row r="22" spans="1:17" ht="15.75" thickBot="1" x14ac:dyDescent="0.3">
      <c r="A22" s="3" t="s">
        <v>23</v>
      </c>
      <c r="B22" s="8">
        <f>IF(B9=0,0.5,0)</f>
        <v>0.5</v>
      </c>
      <c r="C22" s="4">
        <f>IF(B9=0,0,0.5)</f>
        <v>0</v>
      </c>
      <c r="D22" s="5">
        <v>0.5</v>
      </c>
      <c r="E22" s="9">
        <v>0.5</v>
      </c>
      <c r="F22" s="9">
        <f>IF(B10=0,0,0.5)</f>
        <v>0</v>
      </c>
      <c r="G22" s="10">
        <f>IF(B10=0,0.5,0)</f>
        <v>0.5</v>
      </c>
      <c r="K22" s="115"/>
      <c r="L22" s="114"/>
      <c r="M22" s="114"/>
      <c r="N22" s="114"/>
      <c r="O22" s="114"/>
      <c r="P22" s="114"/>
      <c r="Q22" s="80"/>
    </row>
    <row r="23" spans="1:17" ht="15.75" thickBot="1" x14ac:dyDescent="0.3">
      <c r="A23" s="3" t="s">
        <v>20</v>
      </c>
      <c r="B23" s="33">
        <v>2.0815998217476152E-4</v>
      </c>
      <c r="C23" s="34">
        <v>2.0815998217476152E-4</v>
      </c>
      <c r="D23" s="35">
        <v>0</v>
      </c>
      <c r="E23" s="36">
        <v>0</v>
      </c>
      <c r="F23" s="36">
        <v>0</v>
      </c>
      <c r="G23" s="37">
        <v>0</v>
      </c>
      <c r="H23" s="12"/>
      <c r="K23" s="115"/>
      <c r="L23" s="28"/>
      <c r="M23" s="28"/>
      <c r="N23" s="28"/>
      <c r="O23" s="28"/>
      <c r="P23" s="28"/>
      <c r="Q23" s="80"/>
    </row>
    <row r="24" spans="1:17" x14ac:dyDescent="0.25">
      <c r="A24">
        <v>1</v>
      </c>
      <c r="B24" s="16">
        <f>-1*B23*$B$21</f>
        <v>-2.0815998217476152E-4</v>
      </c>
      <c r="C24" s="17">
        <f>B24*$B$22</f>
        <v>-1.0407999108738076E-4</v>
      </c>
      <c r="D24" s="18"/>
      <c r="E24" s="17"/>
      <c r="F24" s="18">
        <f>G24*$G$22</f>
        <v>0</v>
      </c>
      <c r="G24" s="19">
        <f>-1*G23*$G$21</f>
        <v>0</v>
      </c>
      <c r="K24" s="80"/>
      <c r="L24" s="119"/>
      <c r="M24" s="119"/>
      <c r="N24" s="119"/>
      <c r="O24" s="119"/>
      <c r="P24" s="80"/>
      <c r="Q24" s="80"/>
    </row>
    <row r="25" spans="1:17" x14ac:dyDescent="0.25">
      <c r="B25" s="16"/>
      <c r="C25" s="17">
        <f>SUM(C$23:D24)*$C$21*-1</f>
        <v>-4.4605710466020329E-5</v>
      </c>
      <c r="D25" s="18">
        <f>SUM(C$23:D24)*$D$21*-1</f>
        <v>-5.9474280621360445E-5</v>
      </c>
      <c r="E25" s="17">
        <f>SUM(E$23:F24)*$E$21*-1</f>
        <v>0</v>
      </c>
      <c r="F25" s="18">
        <f>SUM(E$23:F24)*$F$21*-1</f>
        <v>0</v>
      </c>
      <c r="G25" s="19"/>
      <c r="K25" s="80"/>
      <c r="L25" s="119"/>
      <c r="M25" s="119"/>
      <c r="N25" s="119"/>
      <c r="O25" s="119"/>
      <c r="P25" s="80"/>
      <c r="Q25" s="80"/>
    </row>
    <row r="26" spans="1:17" x14ac:dyDescent="0.25">
      <c r="B26" s="16">
        <f>C25*$C$22</f>
        <v>0</v>
      </c>
      <c r="C26" s="17"/>
      <c r="D26" s="18">
        <f>E25*$E$22</f>
        <v>0</v>
      </c>
      <c r="E26" s="17">
        <f>D25*$D$22</f>
        <v>-2.9737140310680223E-5</v>
      </c>
      <c r="F26" s="18"/>
      <c r="G26" s="19">
        <f>F25*$F$22</f>
        <v>0</v>
      </c>
      <c r="K26" s="80"/>
      <c r="L26" s="119"/>
      <c r="M26" s="119"/>
      <c r="N26" s="119"/>
      <c r="O26" s="119"/>
      <c r="P26" s="80"/>
      <c r="Q26" s="80"/>
    </row>
    <row r="27" spans="1:17" x14ac:dyDescent="0.25">
      <c r="A27">
        <v>2</v>
      </c>
      <c r="B27" s="20">
        <f>-1*SUM(B$23:B26)*$B$21</f>
        <v>0</v>
      </c>
      <c r="C27" s="21">
        <f>B27*$B$22</f>
        <v>0</v>
      </c>
      <c r="D27" s="22"/>
      <c r="E27" s="21"/>
      <c r="F27" s="22">
        <f>G27*$G$22</f>
        <v>0</v>
      </c>
      <c r="G27" s="23">
        <f>-1*SUM(G23:G26)*$G$21</f>
        <v>0</v>
      </c>
      <c r="K27" s="80"/>
      <c r="L27" s="119"/>
      <c r="M27" s="119"/>
      <c r="N27" s="119"/>
      <c r="O27" s="119"/>
      <c r="P27" s="80"/>
      <c r="Q27" s="80"/>
    </row>
    <row r="28" spans="1:17" x14ac:dyDescent="0.25">
      <c r="B28" s="20"/>
      <c r="C28" s="21">
        <f>SUM(C$23:D27)*$C$21*-1</f>
        <v>5.8082259240294885E-21</v>
      </c>
      <c r="D28" s="22">
        <f>SUM(C$23:D27)*$D$21*-1</f>
        <v>7.7443012320393185E-21</v>
      </c>
      <c r="E28" s="21">
        <f>SUM(E$23:F27)*$E$21*-1</f>
        <v>1.6992651606102987E-5</v>
      </c>
      <c r="F28" s="22">
        <f>SUM(E$23:F27)*$F$21*-1</f>
        <v>1.2744488704577239E-5</v>
      </c>
      <c r="G28" s="23"/>
      <c r="K28" s="80"/>
      <c r="L28" s="119"/>
      <c r="M28" s="119"/>
      <c r="N28" s="119"/>
      <c r="O28" s="119"/>
      <c r="P28" s="80"/>
      <c r="Q28" s="80"/>
    </row>
    <row r="29" spans="1:17" x14ac:dyDescent="0.25">
      <c r="B29" s="20">
        <f>C28*$C$22</f>
        <v>0</v>
      </c>
      <c r="C29" s="21"/>
      <c r="D29" s="22">
        <f>E28*$E$22</f>
        <v>8.4963258030514936E-6</v>
      </c>
      <c r="E29" s="21">
        <f>D28*$D$22</f>
        <v>3.8721506160196592E-21</v>
      </c>
      <c r="F29" s="22"/>
      <c r="G29" s="23">
        <f>F28*$F$22</f>
        <v>0</v>
      </c>
      <c r="K29" s="80"/>
      <c r="L29" s="119"/>
      <c r="M29" s="119"/>
      <c r="N29" s="119"/>
      <c r="O29" s="119"/>
      <c r="P29" s="80"/>
      <c r="Q29" s="80"/>
    </row>
    <row r="30" spans="1:17" x14ac:dyDescent="0.25">
      <c r="A30">
        <v>3</v>
      </c>
      <c r="B30" s="16">
        <f>-1*SUM(B$23:B29)*$B$21</f>
        <v>0</v>
      </c>
      <c r="C30" s="17">
        <f>B30*$B$22</f>
        <v>0</v>
      </c>
      <c r="D30" s="18"/>
      <c r="E30" s="17"/>
      <c r="F30" s="18">
        <f>G30*$G$22</f>
        <v>0</v>
      </c>
      <c r="G30" s="19">
        <f>-1*SUM(G26:G29)*$G$21</f>
        <v>0</v>
      </c>
      <c r="K30" s="80"/>
      <c r="L30" s="119"/>
      <c r="M30" s="119"/>
      <c r="N30" s="119"/>
      <c r="O30" s="119"/>
      <c r="P30" s="80"/>
      <c r="Q30" s="80"/>
    </row>
    <row r="31" spans="1:17" x14ac:dyDescent="0.25">
      <c r="B31" s="16"/>
      <c r="C31" s="17">
        <f>SUM(C$23:D30)*$C$21*-1</f>
        <v>-3.6412824870220689E-6</v>
      </c>
      <c r="D31" s="18">
        <f>SUM(C$23:D30)*$D$21*-1</f>
        <v>-4.855043316029426E-6</v>
      </c>
      <c r="E31" s="17">
        <f>SUM(E$23:F30)*$E$21*-1</f>
        <v>-4.1487328028782073E-21</v>
      </c>
      <c r="F31" s="18">
        <f>SUM(E$23:F30)*$F$21*-1</f>
        <v>-3.1115496021586551E-21</v>
      </c>
      <c r="G31" s="19"/>
      <c r="K31" s="80"/>
      <c r="L31" s="119"/>
      <c r="M31" s="119"/>
      <c r="N31" s="119"/>
      <c r="O31" s="119"/>
      <c r="P31" s="80"/>
      <c r="Q31" s="80"/>
    </row>
    <row r="32" spans="1:17" x14ac:dyDescent="0.25">
      <c r="B32" s="16">
        <f>C31*$C$22</f>
        <v>0</v>
      </c>
      <c r="C32" s="17"/>
      <c r="D32" s="18">
        <f>E31*$E$22</f>
        <v>-2.0743664014391037E-21</v>
      </c>
      <c r="E32" s="17">
        <f>D31*$D$22</f>
        <v>-2.427521658014713E-6</v>
      </c>
      <c r="F32" s="18"/>
      <c r="G32" s="19">
        <f>F31*$F$22</f>
        <v>0</v>
      </c>
      <c r="K32" s="80"/>
      <c r="L32" s="119"/>
      <c r="M32" s="119"/>
      <c r="N32" s="119"/>
      <c r="O32" s="119"/>
      <c r="P32" s="80"/>
      <c r="Q32" s="80"/>
    </row>
    <row r="33" spans="1:17" x14ac:dyDescent="0.25">
      <c r="A33">
        <v>4</v>
      </c>
      <c r="B33" s="20">
        <f>-1*SUM(B$23:B32)*$B$21</f>
        <v>0</v>
      </c>
      <c r="C33" s="21">
        <f>B33*$B$22</f>
        <v>0</v>
      </c>
      <c r="D33" s="22"/>
      <c r="E33" s="21"/>
      <c r="F33" s="22">
        <f>G33*$G$22</f>
        <v>0</v>
      </c>
      <c r="G33" s="23">
        <f>-1*SUM(G29:G32)*$G$21</f>
        <v>0</v>
      </c>
      <c r="K33" s="80"/>
      <c r="L33" s="119"/>
      <c r="M33" s="119"/>
      <c r="N33" s="119"/>
      <c r="O33" s="119"/>
      <c r="P33" s="80"/>
      <c r="Q33" s="80"/>
    </row>
    <row r="34" spans="1:17" x14ac:dyDescent="0.25">
      <c r="B34" s="20"/>
      <c r="C34" s="21">
        <f>SUM(C$23:D33)*$C$21*-1</f>
        <v>1.2520282922971733E-21</v>
      </c>
      <c r="D34" s="22">
        <f>SUM(C$23:D33)*$D$21*-1</f>
        <v>1.6693710563962311E-21</v>
      </c>
      <c r="E34" s="21">
        <f>SUM(E$23:F33)*$E$21*-1</f>
        <v>1.3871552331512648E-6</v>
      </c>
      <c r="F34" s="22">
        <f>SUM(E$23:F33)*$F$21*-1</f>
        <v>1.0403664248634484E-6</v>
      </c>
      <c r="G34" s="23"/>
      <c r="K34" s="80"/>
      <c r="L34" s="119"/>
      <c r="M34" s="119"/>
      <c r="N34" s="119"/>
      <c r="O34" s="119"/>
      <c r="P34" s="80"/>
      <c r="Q34" s="80"/>
    </row>
    <row r="35" spans="1:17" x14ac:dyDescent="0.25">
      <c r="B35" s="20">
        <f>C34*$C$22</f>
        <v>0</v>
      </c>
      <c r="C35" s="21"/>
      <c r="D35" s="22">
        <f>E34*$E$22</f>
        <v>6.935776165756324E-7</v>
      </c>
      <c r="E35" s="21">
        <f>D34*$D$22</f>
        <v>8.3468552819811554E-22</v>
      </c>
      <c r="F35" s="22"/>
      <c r="G35" s="23">
        <f>F34*$F$22</f>
        <v>0</v>
      </c>
      <c r="K35" s="80"/>
      <c r="L35" s="119"/>
      <c r="M35" s="119"/>
      <c r="N35" s="119"/>
      <c r="O35" s="119"/>
      <c r="P35" s="80"/>
      <c r="Q35" s="80"/>
    </row>
    <row r="36" spans="1:17" x14ac:dyDescent="0.25">
      <c r="A36">
        <v>5</v>
      </c>
      <c r="B36" s="16">
        <f>-1*SUM(B$23:B35)*$B$21</f>
        <v>0</v>
      </c>
      <c r="C36" s="17">
        <f>B36*$B$22</f>
        <v>0</v>
      </c>
      <c r="D36" s="18"/>
      <c r="E36" s="17"/>
      <c r="F36" s="18">
        <f>G36*$G$22</f>
        <v>0</v>
      </c>
      <c r="G36" s="19">
        <f>-1*SUM(G32:G35)*$G$21</f>
        <v>0</v>
      </c>
      <c r="K36" s="80"/>
      <c r="L36" s="119"/>
      <c r="M36" s="119"/>
      <c r="N36" s="119"/>
      <c r="O36" s="119"/>
      <c r="P36" s="80"/>
      <c r="Q36" s="80"/>
    </row>
    <row r="37" spans="1:17" x14ac:dyDescent="0.25">
      <c r="B37" s="16"/>
      <c r="C37" s="17">
        <f>SUM(C$23:D36)*$C$21*-1</f>
        <v>-2.9724754996098534E-7</v>
      </c>
      <c r="D37" s="18">
        <f>SUM(C$23:D36)*$D$21*-1</f>
        <v>-3.9633006661464716E-7</v>
      </c>
      <c r="E37" s="17">
        <f>SUM(E$23:F36)*$E$21*-1</f>
        <v>-5.9796786572096612E-22</v>
      </c>
      <c r="F37" s="18">
        <f>SUM(E$23:F36)*$F$21*-1</f>
        <v>-4.4847589929072459E-22</v>
      </c>
      <c r="G37" s="19"/>
      <c r="K37" s="80"/>
      <c r="L37" s="119"/>
      <c r="M37" s="119"/>
      <c r="N37" s="119"/>
      <c r="O37" s="119"/>
      <c r="P37" s="80"/>
      <c r="Q37" s="80"/>
    </row>
    <row r="38" spans="1:17" x14ac:dyDescent="0.25">
      <c r="B38" s="16">
        <f>C37*$C$22</f>
        <v>0</v>
      </c>
      <c r="C38" s="17"/>
      <c r="D38" s="18">
        <f>E37*$E$22</f>
        <v>-2.9898393286048306E-22</v>
      </c>
      <c r="E38" s="17">
        <f>D37*$D$22</f>
        <v>-1.9816503330732358E-7</v>
      </c>
      <c r="F38" s="18"/>
      <c r="G38" s="19">
        <f>F37*$F$22</f>
        <v>0</v>
      </c>
      <c r="K38" s="80"/>
      <c r="L38" s="119"/>
      <c r="M38" s="119"/>
      <c r="N38" s="119"/>
      <c r="O38" s="119"/>
      <c r="P38" s="80"/>
      <c r="Q38" s="80"/>
    </row>
    <row r="39" spans="1:17" x14ac:dyDescent="0.25">
      <c r="A39">
        <v>6</v>
      </c>
      <c r="B39" s="20">
        <f>-1*SUM(B$23:B38)*$B$21</f>
        <v>0</v>
      </c>
      <c r="C39" s="21">
        <f>B39*$B$22</f>
        <v>0</v>
      </c>
      <c r="D39" s="22"/>
      <c r="E39" s="21"/>
      <c r="F39" s="22">
        <f>G39*$G$22</f>
        <v>0</v>
      </c>
      <c r="G39" s="23">
        <f>-1*SUM(G35:G38)*$G$21</f>
        <v>0</v>
      </c>
      <c r="K39" s="80"/>
      <c r="L39" s="119"/>
      <c r="M39" s="119"/>
      <c r="N39" s="119"/>
      <c r="O39" s="119"/>
      <c r="P39" s="80"/>
      <c r="Q39" s="80"/>
    </row>
    <row r="40" spans="1:17" x14ac:dyDescent="0.25">
      <c r="B40" s="20"/>
      <c r="C40" s="21">
        <f>SUM(C$23:D39)*$C$21*-1</f>
        <v>1.7351273625740171E-22</v>
      </c>
      <c r="D40" s="22">
        <f>SUM(C$23:D39)*$D$21*-1</f>
        <v>2.3135031500986896E-22</v>
      </c>
      <c r="E40" s="21">
        <f>SUM(E$23:F39)*$E$21*-1</f>
        <v>1.1323716188989921E-7</v>
      </c>
      <c r="F40" s="22">
        <f>SUM(E$23:F39)*$F$21*-1</f>
        <v>8.4927871417424401E-8</v>
      </c>
      <c r="G40" s="23"/>
      <c r="K40" s="80"/>
      <c r="L40" s="119"/>
      <c r="M40" s="119"/>
      <c r="N40" s="119"/>
      <c r="O40" s="119"/>
      <c r="P40" s="80"/>
      <c r="Q40" s="80"/>
    </row>
    <row r="41" spans="1:17" x14ac:dyDescent="0.25">
      <c r="B41" s="20">
        <f>C40*$C$22</f>
        <v>0</v>
      </c>
      <c r="C41" s="21"/>
      <c r="D41" s="22">
        <f>E40*$E$22</f>
        <v>5.6618580944949603E-8</v>
      </c>
      <c r="E41" s="21">
        <f>D40*$D$22</f>
        <v>1.1567515750493448E-22</v>
      </c>
      <c r="F41" s="22"/>
      <c r="G41" s="23">
        <f>F40*$F$22</f>
        <v>0</v>
      </c>
      <c r="K41" s="80"/>
      <c r="L41" s="119"/>
      <c r="M41" s="119"/>
      <c r="N41" s="119"/>
      <c r="O41" s="119"/>
      <c r="P41" s="80"/>
      <c r="Q41" s="80"/>
    </row>
    <row r="42" spans="1:17" x14ac:dyDescent="0.25">
      <c r="A42">
        <v>7</v>
      </c>
      <c r="B42" s="16">
        <f>-1*SUM(B$23:B41)*$B$21</f>
        <v>0</v>
      </c>
      <c r="C42" s="17">
        <f>B42*$B$22</f>
        <v>0</v>
      </c>
      <c r="D42" s="18"/>
      <c r="E42" s="17"/>
      <c r="F42" s="18">
        <f>G42*$G$22</f>
        <v>0</v>
      </c>
      <c r="G42" s="19">
        <f>-1*SUM(G38:G41)*$G$21</f>
        <v>0</v>
      </c>
      <c r="K42" s="80"/>
      <c r="L42" s="119"/>
      <c r="M42" s="119"/>
      <c r="N42" s="119"/>
      <c r="O42" s="119"/>
      <c r="P42" s="80"/>
      <c r="Q42" s="80"/>
    </row>
    <row r="43" spans="1:17" x14ac:dyDescent="0.25">
      <c r="B43" s="16"/>
      <c r="C43" s="17">
        <f>SUM(C$23:D42)*$C$21*-1</f>
        <v>-2.4265106119264118E-8</v>
      </c>
      <c r="D43" s="18">
        <f>SUM(C$23:D42)*$D$21*-1</f>
        <v>-3.2353474825685491E-8</v>
      </c>
      <c r="E43" s="17">
        <f>SUM(E$23:F42)*$E$21*-1</f>
        <v>-8.1225678346646504E-23</v>
      </c>
      <c r="F43" s="18">
        <f>SUM(E$23:F42)*$F$21*-1</f>
        <v>-6.0919258759984875E-23</v>
      </c>
      <c r="G43" s="19"/>
      <c r="K43" s="80"/>
      <c r="L43" s="119"/>
      <c r="M43" s="119"/>
      <c r="N43" s="119"/>
      <c r="O43" s="119"/>
      <c r="P43" s="80"/>
      <c r="Q43" s="80"/>
    </row>
    <row r="44" spans="1:17" x14ac:dyDescent="0.25">
      <c r="B44" s="16">
        <f>C43*$C$22</f>
        <v>0</v>
      </c>
      <c r="C44" s="17"/>
      <c r="D44" s="18">
        <f>E43*$E$22</f>
        <v>-4.0612839173323252E-23</v>
      </c>
      <c r="E44" s="17">
        <f>D43*$D$22</f>
        <v>-1.6176737412842746E-8</v>
      </c>
      <c r="F44" s="18"/>
      <c r="G44" s="19">
        <f>F43*$F$22</f>
        <v>0</v>
      </c>
      <c r="K44" s="80"/>
      <c r="L44" s="119"/>
      <c r="M44" s="119"/>
      <c r="N44" s="119"/>
      <c r="O44" s="119"/>
      <c r="P44" s="80"/>
      <c r="Q44" s="80"/>
    </row>
    <row r="45" spans="1:17" x14ac:dyDescent="0.25">
      <c r="A45">
        <v>8</v>
      </c>
      <c r="B45" s="20">
        <f>-1*SUM(B$23:B44)*$B$21</f>
        <v>0</v>
      </c>
      <c r="C45" s="21">
        <f>B45*$B$22</f>
        <v>0</v>
      </c>
      <c r="D45" s="22"/>
      <c r="E45" s="21"/>
      <c r="F45" s="22">
        <f>G45*$G$22</f>
        <v>0</v>
      </c>
      <c r="G45" s="23">
        <f>-1*SUM(G41:G44)*$G$21</f>
        <v>0</v>
      </c>
      <c r="K45" s="80"/>
      <c r="L45" s="80"/>
      <c r="M45" s="80"/>
      <c r="N45" s="80"/>
      <c r="O45" s="80"/>
      <c r="P45" s="80"/>
      <c r="Q45" s="80"/>
    </row>
    <row r="46" spans="1:17" x14ac:dyDescent="0.25">
      <c r="B46" s="20"/>
      <c r="C46" s="21">
        <f>SUM(C$23:D45)*$C$21*-1</f>
        <v>2.0241550317320348E-23</v>
      </c>
      <c r="D46" s="22">
        <f>SUM(C$23:D45)*$D$21*-1</f>
        <v>2.6988733756427129E-23</v>
      </c>
      <c r="E46" s="21">
        <f>SUM(E$23:F45)*$E$21*-1</f>
        <v>9.2438499501958558E-9</v>
      </c>
      <c r="F46" s="22">
        <f>SUM(E$23:F45)*$F$21*-1</f>
        <v>6.9328874626468914E-9</v>
      </c>
      <c r="G46" s="23"/>
      <c r="K46" s="80"/>
      <c r="L46" s="80"/>
      <c r="M46" s="80"/>
      <c r="N46" s="80"/>
      <c r="O46" s="80"/>
      <c r="P46" s="80"/>
      <c r="Q46" s="80"/>
    </row>
    <row r="47" spans="1:17" x14ac:dyDescent="0.25">
      <c r="B47" s="20">
        <f>C46*$C$22</f>
        <v>0</v>
      </c>
      <c r="C47" s="21"/>
      <c r="D47" s="22">
        <f>E46*$E$22</f>
        <v>4.6219249750979279E-9</v>
      </c>
      <c r="E47" s="21">
        <f>D46*$D$22</f>
        <v>1.3494366878213564E-23</v>
      </c>
      <c r="F47" s="22"/>
      <c r="G47" s="23">
        <f>F46*$F$22</f>
        <v>0</v>
      </c>
      <c r="K47" s="80"/>
      <c r="L47" s="80"/>
      <c r="M47" s="80"/>
      <c r="N47" s="80"/>
      <c r="O47" s="80"/>
      <c r="P47" s="80"/>
      <c r="Q47" s="80"/>
    </row>
    <row r="48" spans="1:17" x14ac:dyDescent="0.25">
      <c r="A48">
        <v>9</v>
      </c>
      <c r="B48" s="16">
        <f>-1*SUM(B$23:B47)*$B$21</f>
        <v>0</v>
      </c>
      <c r="C48" s="17">
        <f>B48*$B$22</f>
        <v>0</v>
      </c>
      <c r="D48" s="18"/>
      <c r="E48" s="17"/>
      <c r="F48" s="18">
        <f>G48*$G$22</f>
        <v>0</v>
      </c>
      <c r="G48" s="19">
        <f>-1*SUM(G44:G47)*$G$21</f>
        <v>0</v>
      </c>
    </row>
    <row r="49" spans="1:7" x14ac:dyDescent="0.25">
      <c r="B49" s="16"/>
      <c r="C49" s="17">
        <f>SUM(C$23:D48)*$C$21*-1</f>
        <v>-1.9808249893276836E-9</v>
      </c>
      <c r="D49" s="18">
        <f>SUM(C$23:D48)*$D$21*-1</f>
        <v>-2.6410999857702447E-9</v>
      </c>
      <c r="E49" s="17">
        <f>SUM(E$23:F48)*$E$21*-1</f>
        <v>-8.6564160590397843E-24</v>
      </c>
      <c r="F49" s="18">
        <f>SUM(E$23:F48)*$F$21*-1</f>
        <v>-6.4923120442798375E-24</v>
      </c>
      <c r="G49" s="19"/>
    </row>
    <row r="50" spans="1:7" x14ac:dyDescent="0.25">
      <c r="B50" s="16">
        <f>C49*$C$22</f>
        <v>0</v>
      </c>
      <c r="C50" s="17"/>
      <c r="D50" s="18">
        <f>E49*$E$22</f>
        <v>-4.3282080295198922E-24</v>
      </c>
      <c r="E50" s="17">
        <f>D49*$D$22</f>
        <v>-1.3205499928851223E-9</v>
      </c>
      <c r="F50" s="18"/>
      <c r="G50" s="19">
        <f>F49*$F$22</f>
        <v>0</v>
      </c>
    </row>
    <row r="51" spans="1:7" x14ac:dyDescent="0.25">
      <c r="A51">
        <v>10</v>
      </c>
      <c r="B51" s="20">
        <f>-1*SUM(B$23:B50)*$B$21</f>
        <v>0</v>
      </c>
      <c r="C51" s="21">
        <f>B51*$B$22</f>
        <v>0</v>
      </c>
      <c r="D51" s="22"/>
      <c r="E51" s="21"/>
      <c r="F51" s="22">
        <f>G51*$G$22</f>
        <v>0</v>
      </c>
      <c r="G51" s="23">
        <f>-1*SUM(G47:G50)*$G$21</f>
        <v>0</v>
      </c>
    </row>
    <row r="52" spans="1:7" x14ac:dyDescent="0.25">
      <c r="B52" s="20"/>
      <c r="C52" s="21">
        <f>SUM(C$23:D51)*$C$21*-1</f>
        <v>2.0321992867698884E-24</v>
      </c>
      <c r="D52" s="22">
        <f>SUM(C$23:D51)*$D$21*-1</f>
        <v>2.7095990490265179E-24</v>
      </c>
      <c r="E52" s="21">
        <f>SUM(E$23:F51)*$E$21*-1</f>
        <v>7.5459999593435576E-10</v>
      </c>
      <c r="F52" s="22">
        <f>SUM(E$23:F51)*$F$21*-1</f>
        <v>5.6594999695076679E-10</v>
      </c>
      <c r="G52" s="23"/>
    </row>
    <row r="53" spans="1:7" x14ac:dyDescent="0.25">
      <c r="B53" s="20">
        <f>C52*$C$22</f>
        <v>0</v>
      </c>
      <c r="C53" s="21"/>
      <c r="D53" s="22">
        <f>E52*$E$22</f>
        <v>3.7729999796717788E-10</v>
      </c>
      <c r="E53" s="21">
        <f>D52*$D$22</f>
        <v>1.354799524513259E-24</v>
      </c>
      <c r="F53" s="22"/>
      <c r="G53" s="23">
        <f>F52*$F$22</f>
        <v>0</v>
      </c>
    </row>
    <row r="54" spans="1:7" x14ac:dyDescent="0.25">
      <c r="A54">
        <v>11</v>
      </c>
      <c r="B54" s="16">
        <f>-1*SUM(B$23:B53)*$B$21</f>
        <v>0</v>
      </c>
      <c r="C54" s="17">
        <f>B54*$B$22</f>
        <v>0</v>
      </c>
      <c r="D54" s="18"/>
      <c r="E54" s="17"/>
      <c r="F54" s="18">
        <f>G54*$G$22</f>
        <v>0</v>
      </c>
      <c r="G54" s="19">
        <f>-1*SUM(G50:G53)*$G$21</f>
        <v>0</v>
      </c>
    </row>
    <row r="55" spans="1:7" x14ac:dyDescent="0.25">
      <c r="B55" s="16"/>
      <c r="C55" s="17">
        <f>SUM(C$23:D54)*$C$21*-1</f>
        <v>-1.6169999912879052E-10</v>
      </c>
      <c r="D55" s="18">
        <f>SUM(C$23:D54)*$D$21*-1</f>
        <v>-2.1559999883838738E-10</v>
      </c>
      <c r="E55" s="17">
        <f>SUM(E$23:F54)*$E$21*-1</f>
        <v>-8.923398158008664E-25</v>
      </c>
      <c r="F55" s="18">
        <f>SUM(E$23:F54)*$F$21*-1</f>
        <v>-6.6925486185064975E-25</v>
      </c>
      <c r="G55" s="19"/>
    </row>
    <row r="56" spans="1:7" x14ac:dyDescent="0.25">
      <c r="B56" s="16">
        <f>C55*$C$22</f>
        <v>0</v>
      </c>
      <c r="C56" s="17"/>
      <c r="D56" s="18">
        <f>E55*$E$22</f>
        <v>-4.461699079004332E-25</v>
      </c>
      <c r="E56" s="17">
        <f>D55*$D$22</f>
        <v>-1.0779999941919369E-10</v>
      </c>
      <c r="F56" s="18"/>
      <c r="G56" s="19">
        <f>F55*$F$22</f>
        <v>0</v>
      </c>
    </row>
    <row r="57" spans="1:7" x14ac:dyDescent="0.25">
      <c r="A57">
        <v>12</v>
      </c>
      <c r="B57" s="20">
        <f>-1*SUM(B$23:B56)*$B$21</f>
        <v>0</v>
      </c>
      <c r="C57" s="21">
        <f>B57*$B$22</f>
        <v>0</v>
      </c>
      <c r="D57" s="22"/>
      <c r="E57" s="21"/>
      <c r="F57" s="22">
        <f>G57*$G$22</f>
        <v>0</v>
      </c>
      <c r="G57" s="23">
        <f>-1*SUM(G53:G56)*$G$21</f>
        <v>0</v>
      </c>
    </row>
    <row r="58" spans="1:7" x14ac:dyDescent="0.25">
      <c r="B58" s="20"/>
      <c r="C58" s="21">
        <f>SUM(C$23:D57)*$C$21*-1</f>
        <v>2.0229398658973516E-25</v>
      </c>
      <c r="D58" s="22">
        <f>SUM(C$23:D57)*$D$21*-1</f>
        <v>2.6972531545298023E-25</v>
      </c>
      <c r="E58" s="21">
        <f>SUM(E$23:F57)*$E$21*-1</f>
        <v>6.1599999668110684E-11</v>
      </c>
      <c r="F58" s="22">
        <f>SUM(E$23:F57)*$F$21*-1</f>
        <v>4.6199999751083013E-11</v>
      </c>
      <c r="G58" s="23"/>
    </row>
    <row r="59" spans="1:7" x14ac:dyDescent="0.25">
      <c r="B59" s="20">
        <f>C58*$C$22</f>
        <v>0</v>
      </c>
      <c r="C59" s="21"/>
      <c r="D59" s="22">
        <f>E58*$E$22</f>
        <v>3.0799999834055342E-11</v>
      </c>
      <c r="E59" s="21">
        <f>D58*$D$22</f>
        <v>1.3486265772649011E-25</v>
      </c>
      <c r="F59" s="22"/>
      <c r="G59" s="23">
        <f>F58*$F$22</f>
        <v>0</v>
      </c>
    </row>
    <row r="60" spans="1:7" x14ac:dyDescent="0.25">
      <c r="A60">
        <v>13</v>
      </c>
      <c r="B60" s="16">
        <f>-1*SUM(B$23:B59)*$B$21</f>
        <v>0</v>
      </c>
      <c r="C60" s="17">
        <f>B60*$B$22</f>
        <v>0</v>
      </c>
      <c r="D60" s="18"/>
      <c r="E60" s="17"/>
      <c r="F60" s="18">
        <f>G60*$G$22</f>
        <v>0</v>
      </c>
      <c r="G60" s="19">
        <f>-1*SUM(G56:G59)*$G$21</f>
        <v>0</v>
      </c>
    </row>
    <row r="61" spans="1:7" x14ac:dyDescent="0.25">
      <c r="B61" s="16"/>
      <c r="C61" s="17">
        <f>SUM(C$23:D60)*$C$21*-1</f>
        <v>-1.3199999928880861E-11</v>
      </c>
      <c r="D61" s="18">
        <f>SUM(C$23:D60)*$D$21*-1</f>
        <v>-1.7599999905174483E-11</v>
      </c>
      <c r="E61" s="17">
        <f>SUM(E$23:F60)*$E$21*-1</f>
        <v>-8.0757146435463234E-26</v>
      </c>
      <c r="F61" s="18">
        <f>SUM(E$23:F60)*$F$21*-1</f>
        <v>-6.056785982659742E-26</v>
      </c>
      <c r="G61" s="19"/>
    </row>
    <row r="62" spans="1:7" x14ac:dyDescent="0.25">
      <c r="B62" s="16">
        <f>C61*$C$22</f>
        <v>0</v>
      </c>
      <c r="C62" s="17"/>
      <c r="D62" s="18">
        <f>E61*$E$22</f>
        <v>-4.0378573217731617E-26</v>
      </c>
      <c r="E62" s="17">
        <f>D61*$D$22</f>
        <v>-8.7999999525872413E-12</v>
      </c>
      <c r="F62" s="18"/>
      <c r="G62" s="19">
        <f>F61*$F$22</f>
        <v>0</v>
      </c>
    </row>
    <row r="63" spans="1:7" x14ac:dyDescent="0.25">
      <c r="A63">
        <v>14</v>
      </c>
      <c r="B63" s="20">
        <f>-1*SUM(B$23:B62)*$B$21</f>
        <v>0</v>
      </c>
      <c r="C63" s="21">
        <f>B63*$B$22</f>
        <v>0</v>
      </c>
      <c r="D63" s="22"/>
      <c r="E63" s="21"/>
      <c r="F63" s="22">
        <f>G63*$G$22</f>
        <v>0</v>
      </c>
      <c r="G63" s="23">
        <f>-1*SUM(G59:G62)*$G$21</f>
        <v>0</v>
      </c>
    </row>
    <row r="64" spans="1:7" x14ac:dyDescent="0.25">
      <c r="B64" s="20"/>
      <c r="C64" s="21">
        <f>SUM(C$23:D63)*$C$21*-1</f>
        <v>1.8689891779507237E-26</v>
      </c>
      <c r="D64" s="22">
        <f>SUM(C$23:D63)*$D$21*-1</f>
        <v>2.491985570600965E-26</v>
      </c>
      <c r="E64" s="21">
        <f>SUM(E$23:F63)*$E$21*-1</f>
        <v>5.028571401478424E-12</v>
      </c>
      <c r="F64" s="22">
        <f>SUM(E$23:F63)*$F$21*-1</f>
        <v>3.771428551108818E-12</v>
      </c>
      <c r="G64" s="23"/>
    </row>
    <row r="65" spans="1:7" x14ac:dyDescent="0.25">
      <c r="B65" s="20">
        <f>C64*$C$22</f>
        <v>0</v>
      </c>
      <c r="C65" s="21"/>
      <c r="D65" s="22">
        <f>E64*$E$22</f>
        <v>2.514285700739212E-12</v>
      </c>
      <c r="E65" s="21">
        <f>D64*$D$22</f>
        <v>1.2459927853004825E-26</v>
      </c>
      <c r="F65" s="22"/>
      <c r="G65" s="23">
        <f>F64*$F$22</f>
        <v>0</v>
      </c>
    </row>
    <row r="66" spans="1:7" x14ac:dyDescent="0.25">
      <c r="A66">
        <v>15</v>
      </c>
      <c r="B66" s="16">
        <f>-1*SUM(B$23:B65)*$B$21</f>
        <v>0</v>
      </c>
      <c r="C66" s="17">
        <f>B66*$B$22</f>
        <v>0</v>
      </c>
      <c r="D66" s="18"/>
      <c r="E66" s="17"/>
      <c r="F66" s="18">
        <f>G66*$G$22</f>
        <v>0</v>
      </c>
      <c r="G66" s="19">
        <f>-1*SUM(G62:G65)*$G$21</f>
        <v>0</v>
      </c>
    </row>
    <row r="67" spans="1:7" x14ac:dyDescent="0.25">
      <c r="B67" s="16"/>
      <c r="C67" s="17">
        <f>SUM(C$23:D66)*$C$21*-1</f>
        <v>-1.0775510146025196E-12</v>
      </c>
      <c r="D67" s="18">
        <f>SUM(C$23:D66)*$D$21*-1</f>
        <v>-1.4367346861366928E-12</v>
      </c>
      <c r="E67" s="17">
        <f>SUM(E$23:F66)*$E$21*-1</f>
        <v>-7.5815550971149402E-27</v>
      </c>
      <c r="F67" s="18">
        <f>SUM(E$23:F66)*$F$21*-1</f>
        <v>-5.6861663228362045E-27</v>
      </c>
      <c r="G67" s="19"/>
    </row>
    <row r="68" spans="1:7" x14ac:dyDescent="0.25">
      <c r="B68" s="16">
        <f>C67*$C$22</f>
        <v>0</v>
      </c>
      <c r="C68" s="17"/>
      <c r="D68" s="18">
        <f>E67*$E$22</f>
        <v>-3.7907775485574701E-27</v>
      </c>
      <c r="E68" s="17">
        <f>D67*$D$22</f>
        <v>-7.1836734306834641E-13</v>
      </c>
      <c r="F68" s="18"/>
      <c r="G68" s="19">
        <f>F67*$F$22</f>
        <v>0</v>
      </c>
    </row>
    <row r="69" spans="1:7" x14ac:dyDescent="0.25">
      <c r="A69">
        <v>16</v>
      </c>
      <c r="B69" s="20">
        <f>-1*SUM(B$23:B68)*$B$21</f>
        <v>0</v>
      </c>
      <c r="C69" s="21">
        <f>B69*$B$22</f>
        <v>0</v>
      </c>
      <c r="D69" s="22"/>
      <c r="E69" s="21"/>
      <c r="F69" s="22">
        <f>G69*$G$22</f>
        <v>0</v>
      </c>
      <c r="G69" s="23">
        <f>-1*SUM(G65:G68)*$G$21</f>
        <v>0</v>
      </c>
    </row>
    <row r="70" spans="1:7" x14ac:dyDescent="0.25">
      <c r="B70" s="20"/>
      <c r="C70" s="21">
        <f>SUM(C$23:D69)*$C$21*-1</f>
        <v>1.7977175708702694E-27</v>
      </c>
      <c r="D70" s="22">
        <f>SUM(C$23:D69)*$D$21*-1</f>
        <v>2.3969567611603591E-27</v>
      </c>
      <c r="E70" s="21">
        <f>SUM(E$23:F69)*$E$21*-1</f>
        <v>4.1049562461048373E-13</v>
      </c>
      <c r="F70" s="22">
        <f>SUM(E$23:F69)*$F$21*-1</f>
        <v>3.0787171845786278E-13</v>
      </c>
      <c r="G70" s="23"/>
    </row>
    <row r="71" spans="1:7" x14ac:dyDescent="0.25">
      <c r="B71" s="20">
        <f>C70*$C$22</f>
        <v>0</v>
      </c>
      <c r="C71" s="21"/>
      <c r="D71" s="22">
        <f>E70*$E$22</f>
        <v>2.0524781230524186E-13</v>
      </c>
      <c r="E71" s="21">
        <f>D70*$D$22</f>
        <v>1.1984783805801796E-27</v>
      </c>
      <c r="F71" s="22"/>
      <c r="G71" s="23">
        <f>F70*$F$22</f>
        <v>0</v>
      </c>
    </row>
    <row r="72" spans="1:7" x14ac:dyDescent="0.25">
      <c r="A72">
        <v>17</v>
      </c>
      <c r="B72" s="16">
        <f>-1*SUM(B$23:B71)*$B$21</f>
        <v>0</v>
      </c>
      <c r="C72" s="17">
        <f>B72*$B$22</f>
        <v>0</v>
      </c>
      <c r="D72" s="18"/>
      <c r="E72" s="17"/>
      <c r="F72" s="18">
        <f>G72*$G$22</f>
        <v>0</v>
      </c>
      <c r="G72" s="19">
        <f>-1*SUM(G68:G71)*$G$21</f>
        <v>0</v>
      </c>
    </row>
    <row r="73" spans="1:7" x14ac:dyDescent="0.25">
      <c r="B73" s="16"/>
      <c r="C73" s="17">
        <f>SUM(C$23:D72)*$C$21*-1</f>
        <v>-8.7963348130817954E-14</v>
      </c>
      <c r="D73" s="18">
        <f>SUM(C$23:D72)*$D$21*-1</f>
        <v>-1.1728446417442395E-13</v>
      </c>
      <c r="E73" s="17">
        <f>SUM(E$23:F72)*$E$21*-1</f>
        <v>-7.4254432939912526E-28</v>
      </c>
      <c r="F73" s="18">
        <f>SUM(E$23:F72)*$F$21*-1</f>
        <v>-5.569082470493439E-28</v>
      </c>
      <c r="G73" s="19"/>
    </row>
    <row r="74" spans="1:7" x14ac:dyDescent="0.25">
      <c r="B74" s="16">
        <f>C73*$C$22</f>
        <v>0</v>
      </c>
      <c r="C74" s="17"/>
      <c r="D74" s="18">
        <f>E73*$E$22</f>
        <v>-3.7127216469956263E-28</v>
      </c>
      <c r="E74" s="17">
        <f>D73*$D$22</f>
        <v>-5.8642232087211973E-14</v>
      </c>
      <c r="F74" s="18"/>
      <c r="G74" s="19">
        <f>F73*$F$22</f>
        <v>0</v>
      </c>
    </row>
    <row r="75" spans="1:7" x14ac:dyDescent="0.25">
      <c r="A75">
        <v>18</v>
      </c>
      <c r="B75" s="20">
        <f>-1*SUM(B$23:B74)*$B$21</f>
        <v>0</v>
      </c>
      <c r="C75" s="21">
        <f>B75*$B$22</f>
        <v>0</v>
      </c>
      <c r="D75" s="22"/>
      <c r="E75" s="21"/>
      <c r="F75" s="22">
        <f>G75*$G$22</f>
        <v>0</v>
      </c>
      <c r="G75" s="23">
        <f>-1*SUM(G71:G74)*$G$21</f>
        <v>0</v>
      </c>
    </row>
    <row r="76" spans="1:7" x14ac:dyDescent="0.25">
      <c r="B76" s="20"/>
      <c r="C76" s="21">
        <f>SUM(C$23:D75)*$C$21*-1</f>
        <v>1.6993530585712929E-28</v>
      </c>
      <c r="D76" s="22">
        <f>SUM(C$23:D75)*$D$21*-1</f>
        <v>2.2658040780950576E-28</v>
      </c>
      <c r="E76" s="21">
        <f>SUM(E$23:F75)*$E$21*-1</f>
        <v>3.3509846906978276E-14</v>
      </c>
      <c r="F76" s="22">
        <f>SUM(E$23:F75)*$F$21*-1</f>
        <v>2.5132385180233704E-14</v>
      </c>
      <c r="G76" s="23"/>
    </row>
    <row r="77" spans="1:7" x14ac:dyDescent="0.25">
      <c r="B77" s="20">
        <f>C76*$C$22</f>
        <v>0</v>
      </c>
      <c r="C77" s="21"/>
      <c r="D77" s="22">
        <f>E76*$E$22</f>
        <v>1.6754923453489138E-14</v>
      </c>
      <c r="E77" s="21">
        <f>D76*$D$22</f>
        <v>1.1329020390475288E-28</v>
      </c>
      <c r="F77" s="22"/>
      <c r="G77" s="23">
        <f>F76*$F$22</f>
        <v>0</v>
      </c>
    </row>
    <row r="78" spans="1:7" x14ac:dyDescent="0.25">
      <c r="A78">
        <v>19</v>
      </c>
      <c r="B78" s="16">
        <f>-1*SUM(B$23:B77)*$B$21</f>
        <v>0</v>
      </c>
      <c r="C78" s="17">
        <f>B78*$B$22</f>
        <v>0</v>
      </c>
      <c r="D78" s="18"/>
      <c r="E78" s="17"/>
      <c r="F78" s="18">
        <f>G78*$G$22</f>
        <v>0</v>
      </c>
      <c r="G78" s="19">
        <f>-1*SUM(G74:G77)*$G$21</f>
        <v>0</v>
      </c>
    </row>
    <row r="79" spans="1:7" x14ac:dyDescent="0.25">
      <c r="B79" s="16"/>
      <c r="C79" s="17">
        <f>SUM(C$23:D78)*$C$21*-1</f>
        <v>-7.1806814800667734E-15</v>
      </c>
      <c r="D79" s="18">
        <f>SUM(C$23:D78)*$D$21*-1</f>
        <v>-9.5742419734223661E-15</v>
      </c>
      <c r="E79" s="17">
        <f>SUM(E$23:F78)*$E$21*-1</f>
        <v>-6.8343480655154848E-29</v>
      </c>
      <c r="F79" s="18">
        <f>SUM(E$23:F78)*$F$21*-1</f>
        <v>-5.1257610491366136E-29</v>
      </c>
      <c r="G79" s="19"/>
    </row>
    <row r="80" spans="1:7" x14ac:dyDescent="0.25">
      <c r="B80" s="16">
        <f>C79*$C$22</f>
        <v>0</v>
      </c>
      <c r="C80" s="17"/>
      <c r="D80" s="18">
        <f>E79*$E$22</f>
        <v>-3.4171740327577424E-29</v>
      </c>
      <c r="E80" s="17">
        <f>D79*$D$22</f>
        <v>-4.7871209867111831E-15</v>
      </c>
      <c r="F80" s="18"/>
      <c r="G80" s="19">
        <f>F79*$F$22</f>
        <v>0</v>
      </c>
    </row>
    <row r="81" spans="1:7" x14ac:dyDescent="0.25">
      <c r="A81">
        <v>20</v>
      </c>
      <c r="B81" s="20">
        <f>-1*SUM(B$23:B80)*$B$21</f>
        <v>0</v>
      </c>
      <c r="C81" s="21">
        <f>B81*$B$22</f>
        <v>0</v>
      </c>
      <c r="D81" s="22"/>
      <c r="E81" s="21"/>
      <c r="F81" s="22">
        <f>G81*$G$22</f>
        <v>0</v>
      </c>
      <c r="G81" s="23">
        <f>-1*SUM(G77:G80)*$G$21</f>
        <v>0</v>
      </c>
    </row>
    <row r="82" spans="1:7" x14ac:dyDescent="0.25">
      <c r="B82" s="20"/>
      <c r="C82" s="21">
        <f>SUM(C$23:D81)*$C$21*-1</f>
        <v>1.5321198059151194E-29</v>
      </c>
      <c r="D82" s="22">
        <f>SUM(C$23:D81)*$D$21*-1</f>
        <v>2.0428264078868259E-29</v>
      </c>
      <c r="E82" s="21">
        <f>SUM(E$23:F81)*$E$21*-1</f>
        <v>2.7354977066921051E-15</v>
      </c>
      <c r="F82" s="22">
        <f>SUM(E$23:F81)*$F$21*-1</f>
        <v>2.0516232800190788E-15</v>
      </c>
      <c r="G82" s="23"/>
    </row>
    <row r="83" spans="1:7" ht="15.75" thickBot="1" x14ac:dyDescent="0.3">
      <c r="B83" s="24">
        <f>C82*$C$22</f>
        <v>0</v>
      </c>
      <c r="C83" s="25"/>
      <c r="D83" s="26">
        <f>E82*$E$22</f>
        <v>1.3677488533460525E-15</v>
      </c>
      <c r="E83" s="25">
        <f>D82*$D$22</f>
        <v>1.021413203943413E-29</v>
      </c>
      <c r="F83" s="26"/>
      <c r="G83" s="27">
        <f>F82*$F$22</f>
        <v>0</v>
      </c>
    </row>
    <row r="84" spans="1:7" ht="16.5" thickTop="1" thickBot="1" x14ac:dyDescent="0.3">
      <c r="B84" s="30">
        <f>SUM(B23:B83)</f>
        <v>0</v>
      </c>
      <c r="C84" s="31">
        <f t="shared" ref="C84:G84" si="3">SUM(C23:C83)</f>
        <v>5.5509328580574689E-5</v>
      </c>
      <c r="D84" s="31">
        <f t="shared" si="3"/>
        <v>-5.5509328579206947E-5</v>
      </c>
      <c r="E84" s="31">
        <f t="shared" si="3"/>
        <v>-1.3877332144801735E-5</v>
      </c>
      <c r="F84" s="31">
        <f t="shared" si="3"/>
        <v>1.3877332144801739E-5</v>
      </c>
      <c r="G84" s="32">
        <f t="shared" si="3"/>
        <v>0</v>
      </c>
    </row>
    <row r="85" spans="1:7" x14ac:dyDescent="0.25">
      <c r="B85" s="28"/>
      <c r="C85" s="28"/>
      <c r="D85" s="28"/>
      <c r="E85" s="28"/>
      <c r="F85" s="28"/>
      <c r="G85" s="28"/>
    </row>
    <row r="86" spans="1:7" x14ac:dyDescent="0.25">
      <c r="B86" s="28"/>
      <c r="C86" s="28"/>
      <c r="D86" s="28"/>
      <c r="E86" s="28"/>
      <c r="F86" s="28"/>
      <c r="G86" s="28"/>
    </row>
    <row r="87" spans="1:7" x14ac:dyDescent="0.25">
      <c r="A87" s="1"/>
      <c r="B87" s="28"/>
      <c r="C87" s="28"/>
      <c r="D87" s="28"/>
      <c r="E87" s="28"/>
      <c r="F87" s="28"/>
      <c r="G87" s="28"/>
    </row>
    <row r="88" spans="1:7" x14ac:dyDescent="0.25">
      <c r="A88" s="1"/>
      <c r="B88" s="28"/>
      <c r="C88" s="28"/>
      <c r="D88" s="28"/>
      <c r="E88" s="28"/>
      <c r="F88" s="28"/>
      <c r="G88" s="28"/>
    </row>
    <row r="89" spans="1:7" x14ac:dyDescent="0.25">
      <c r="A89" s="1"/>
      <c r="B89" s="28"/>
      <c r="C89" s="28"/>
      <c r="D89" s="28"/>
      <c r="E89" s="28"/>
      <c r="F89" s="28"/>
      <c r="G89" s="28"/>
    </row>
    <row r="90" spans="1:7" x14ac:dyDescent="0.25">
      <c r="C90" s="28"/>
      <c r="D90" s="28"/>
      <c r="E90" s="28"/>
      <c r="F90" s="28"/>
      <c r="G90" s="28"/>
    </row>
    <row r="91" spans="1:7" x14ac:dyDescent="0.25">
      <c r="B91" s="28"/>
      <c r="C91" s="28"/>
      <c r="D91" s="28"/>
      <c r="E91" s="28"/>
      <c r="F91" s="28"/>
      <c r="G91" s="28"/>
    </row>
    <row r="92" spans="1:7" x14ac:dyDescent="0.25">
      <c r="B92" s="28"/>
      <c r="C92" s="28"/>
      <c r="D92" s="28"/>
      <c r="E92" s="28"/>
      <c r="F92" s="28"/>
      <c r="G92" s="28"/>
    </row>
    <row r="93" spans="1:7" x14ac:dyDescent="0.25">
      <c r="B93" s="28"/>
      <c r="C93" s="28"/>
      <c r="D93" s="28"/>
      <c r="E93" s="28"/>
      <c r="F93" s="28"/>
      <c r="G93" s="28"/>
    </row>
    <row r="94" spans="1:7" x14ac:dyDescent="0.25">
      <c r="B94" s="28"/>
      <c r="C94" s="28"/>
      <c r="D94" s="28"/>
      <c r="E94" s="28"/>
      <c r="F94" s="28"/>
      <c r="G94" s="28"/>
    </row>
    <row r="95" spans="1:7" x14ac:dyDescent="0.25">
      <c r="B95" s="28"/>
      <c r="C95" s="28"/>
      <c r="D95" s="28"/>
      <c r="E95" s="28"/>
      <c r="F95" s="28"/>
      <c r="G95" s="28"/>
    </row>
    <row r="96" spans="1:7" x14ac:dyDescent="0.25">
      <c r="B96" s="28"/>
      <c r="C96" s="28"/>
      <c r="D96" s="28"/>
      <c r="E96" s="28"/>
      <c r="F96" s="28"/>
      <c r="G96" s="28"/>
    </row>
    <row r="97" spans="2:7" x14ac:dyDescent="0.25">
      <c r="B97" s="28"/>
      <c r="C97" s="28"/>
      <c r="D97" s="28"/>
      <c r="E97" s="28"/>
      <c r="F97" s="28"/>
      <c r="G97" s="28"/>
    </row>
    <row r="98" spans="2:7" x14ac:dyDescent="0.25">
      <c r="B98" s="28"/>
      <c r="C98" s="28"/>
      <c r="D98" s="28"/>
      <c r="E98" s="28"/>
      <c r="F98" s="28"/>
      <c r="G98" s="28"/>
    </row>
    <row r="99" spans="2:7" x14ac:dyDescent="0.25">
      <c r="B99" s="28"/>
      <c r="C99" s="28"/>
      <c r="D99" s="28"/>
      <c r="E99" s="28"/>
      <c r="F99" s="28"/>
      <c r="G99" s="28"/>
    </row>
    <row r="100" spans="2:7" x14ac:dyDescent="0.25">
      <c r="B100" s="28"/>
      <c r="C100" s="28"/>
      <c r="D100" s="28"/>
      <c r="E100" s="28"/>
      <c r="F100" s="28"/>
      <c r="G100" s="28"/>
    </row>
    <row r="101" spans="2:7" x14ac:dyDescent="0.25">
      <c r="B101" s="28"/>
      <c r="C101" s="28"/>
      <c r="D101" s="28"/>
      <c r="E101" s="28"/>
      <c r="F101" s="28"/>
      <c r="G101" s="28"/>
    </row>
    <row r="102" spans="2:7" x14ac:dyDescent="0.25">
      <c r="B102" s="28"/>
      <c r="C102" s="28"/>
      <c r="D102" s="28"/>
      <c r="E102" s="28"/>
      <c r="F102" s="28"/>
      <c r="G102" s="28"/>
    </row>
    <row r="103" spans="2:7" x14ac:dyDescent="0.25">
      <c r="B103" s="28"/>
      <c r="C103" s="28"/>
      <c r="D103" s="28"/>
      <c r="E103" s="28"/>
      <c r="F103" s="28"/>
      <c r="G103" s="28"/>
    </row>
    <row r="104" spans="2:7" x14ac:dyDescent="0.25">
      <c r="B104" s="28"/>
      <c r="C104" s="28"/>
      <c r="D104" s="28"/>
      <c r="E104" s="28"/>
      <c r="F104" s="28"/>
      <c r="G104" s="28"/>
    </row>
    <row r="105" spans="2:7" x14ac:dyDescent="0.25">
      <c r="B105" s="28"/>
      <c r="C105" s="28"/>
      <c r="D105" s="28"/>
      <c r="E105" s="28"/>
      <c r="F105" s="28"/>
      <c r="G105" s="28"/>
    </row>
    <row r="106" spans="2:7" x14ac:dyDescent="0.25">
      <c r="B106" s="28"/>
      <c r="C106" s="28"/>
      <c r="D106" s="28"/>
      <c r="E106" s="28"/>
      <c r="F106" s="28"/>
      <c r="G106" s="28"/>
    </row>
    <row r="107" spans="2:7" x14ac:dyDescent="0.25">
      <c r="B107" s="28"/>
      <c r="C107" s="28"/>
      <c r="D107" s="28"/>
      <c r="E107" s="28"/>
      <c r="F107" s="28"/>
      <c r="G107" s="28"/>
    </row>
    <row r="108" spans="2:7" x14ac:dyDescent="0.25">
      <c r="B108" s="28"/>
      <c r="C108" s="28"/>
      <c r="D108" s="28"/>
      <c r="E108" s="28"/>
      <c r="F108" s="28"/>
      <c r="G108" s="28"/>
    </row>
    <row r="109" spans="2:7" x14ac:dyDescent="0.25">
      <c r="B109" s="28"/>
      <c r="C109" s="28"/>
      <c r="D109" s="28"/>
      <c r="E109" s="28"/>
      <c r="F109" s="28"/>
      <c r="G109" s="28"/>
    </row>
    <row r="110" spans="2:7" x14ac:dyDescent="0.25">
      <c r="B110" s="28"/>
      <c r="C110" s="28"/>
      <c r="D110" s="28"/>
      <c r="E110" s="28"/>
      <c r="F110" s="28"/>
      <c r="G110" s="28"/>
    </row>
    <row r="111" spans="2:7" x14ac:dyDescent="0.25">
      <c r="B111" s="28"/>
      <c r="C111" s="28"/>
      <c r="D111" s="28"/>
      <c r="E111" s="28"/>
      <c r="F111" s="28"/>
      <c r="G111" s="28"/>
    </row>
    <row r="112" spans="2:7" x14ac:dyDescent="0.25">
      <c r="B112" s="28"/>
      <c r="C112" s="28"/>
      <c r="D112" s="28"/>
      <c r="E112" s="28"/>
      <c r="F112" s="28"/>
      <c r="G112" s="28"/>
    </row>
    <row r="113" spans="2:7" x14ac:dyDescent="0.25">
      <c r="B113" s="29"/>
      <c r="C113" s="29"/>
      <c r="D113" s="29"/>
      <c r="E113" s="29"/>
      <c r="F113" s="29"/>
      <c r="G113" s="29"/>
    </row>
  </sheetData>
  <mergeCells count="8">
    <mergeCell ref="M18:N18"/>
    <mergeCell ref="L14:M14"/>
    <mergeCell ref="N14:O14"/>
    <mergeCell ref="E18:F18"/>
    <mergeCell ref="C18:D18"/>
    <mergeCell ref="F14:G14"/>
    <mergeCell ref="B14:C14"/>
    <mergeCell ref="D14:E14"/>
  </mergeCells>
  <pageMargins left="0.7" right="0.7" top="0.75" bottom="0.75" header="0.3" footer="0.3"/>
  <ignoredErrors>
    <ignoredError sqref="D21:E2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96F7-AB3E-4241-9774-38FA5C32FCD4}">
  <sheetPr codeName="Sheet2"/>
  <dimension ref="A1:L42"/>
  <sheetViews>
    <sheetView topLeftCell="A16" workbookViewId="0">
      <selection activeCell="I8" sqref="I8"/>
    </sheetView>
  </sheetViews>
  <sheetFormatPr defaultRowHeight="15" x14ac:dyDescent="0.25"/>
  <cols>
    <col min="3" max="3" width="11" customWidth="1"/>
    <col min="4" max="4" width="10.85546875" customWidth="1"/>
    <col min="5" max="5" width="10.28515625" customWidth="1"/>
    <col min="6" max="6" width="10.42578125" customWidth="1"/>
  </cols>
  <sheetData>
    <row r="1" spans="1:12" x14ac:dyDescent="0.25">
      <c r="A1" s="38" t="s">
        <v>100</v>
      </c>
    </row>
    <row r="2" spans="1:12" x14ac:dyDescent="0.25">
      <c r="E2" s="1" t="s">
        <v>4</v>
      </c>
      <c r="F2" s="1" t="s">
        <v>5</v>
      </c>
      <c r="G2" s="1" t="s">
        <v>8</v>
      </c>
      <c r="H2" s="1" t="s">
        <v>9</v>
      </c>
      <c r="I2" s="1" t="s">
        <v>21</v>
      </c>
      <c r="J2" s="1" t="s">
        <v>22</v>
      </c>
      <c r="K2" s="1"/>
      <c r="L2" s="1"/>
    </row>
    <row r="3" spans="1:12" x14ac:dyDescent="0.25">
      <c r="B3" s="3" t="s">
        <v>0</v>
      </c>
      <c r="C3" s="2">
        <v>10</v>
      </c>
      <c r="D3" t="s">
        <v>1</v>
      </c>
      <c r="E3" s="2">
        <v>29</v>
      </c>
      <c r="F3" s="2">
        <v>30.8</v>
      </c>
      <c r="G3" s="1">
        <f>E3*144</f>
        <v>4176</v>
      </c>
      <c r="H3">
        <f>F3/POWER(12,4)</f>
        <v>1.4853395061728396E-3</v>
      </c>
      <c r="I3" s="1">
        <f>(G3*H3)/C3</f>
        <v>0.62027777777777782</v>
      </c>
      <c r="J3" s="1">
        <f>IF(C7=0,(0.75*G3*H3)/C3,(G3*H3)/C3)</f>
        <v>0.46520833333333333</v>
      </c>
    </row>
    <row r="4" spans="1:12" x14ac:dyDescent="0.25">
      <c r="B4" s="3" t="s">
        <v>2</v>
      </c>
      <c r="C4" s="2">
        <v>10</v>
      </c>
      <c r="D4" t="s">
        <v>1</v>
      </c>
      <c r="E4" s="2">
        <v>29</v>
      </c>
      <c r="F4" s="2">
        <v>30.8</v>
      </c>
      <c r="G4" s="1">
        <f t="shared" ref="G4" si="0">E4*144</f>
        <v>4176</v>
      </c>
      <c r="H4">
        <f t="shared" ref="H4" si="1">F4/POWER(12,4)</f>
        <v>1.4853395061728396E-3</v>
      </c>
      <c r="I4" s="1">
        <f>IF(C8=0,(0.75*G4*H4)/C4,(G4*H4)/C4)</f>
        <v>0.46520833333333333</v>
      </c>
      <c r="J4" s="1">
        <f>(G4*H4)/C4</f>
        <v>0.62027777777777782</v>
      </c>
    </row>
    <row r="6" spans="1:12" x14ac:dyDescent="0.25">
      <c r="B6" s="3" t="s">
        <v>6</v>
      </c>
      <c r="C6" t="s">
        <v>7</v>
      </c>
    </row>
    <row r="7" spans="1:12" x14ac:dyDescent="0.25">
      <c r="B7" s="3" t="str">
        <f>"@ start"</f>
        <v>@ start</v>
      </c>
      <c r="C7" s="2">
        <v>0</v>
      </c>
    </row>
    <row r="8" spans="1:12" x14ac:dyDescent="0.25">
      <c r="B8" s="3" t="str">
        <f>"@ End"</f>
        <v>@ End</v>
      </c>
      <c r="C8" s="2">
        <v>0</v>
      </c>
    </row>
    <row r="10" spans="1:12" x14ac:dyDescent="0.25">
      <c r="C10" s="12" t="s">
        <v>34</v>
      </c>
    </row>
    <row r="11" spans="1:12" x14ac:dyDescent="0.25">
      <c r="C11" s="12" t="s">
        <v>33</v>
      </c>
      <c r="F11" s="12" t="s">
        <v>24</v>
      </c>
    </row>
    <row r="12" spans="1:12" x14ac:dyDescent="0.25">
      <c r="C12" s="136" t="s">
        <v>30</v>
      </c>
      <c r="D12" s="137"/>
      <c r="E12" s="136" t="s">
        <v>31</v>
      </c>
      <c r="F12" s="137"/>
    </row>
    <row r="13" spans="1:12" x14ac:dyDescent="0.25">
      <c r="C13" s="11">
        <f>C42</f>
        <v>0</v>
      </c>
      <c r="D13" s="11">
        <f>D42</f>
        <v>12.499949999999998</v>
      </c>
      <c r="E13" s="11">
        <f>E42</f>
        <v>-12.499949999999998</v>
      </c>
      <c r="F13" s="11">
        <f>F42</f>
        <v>0</v>
      </c>
    </row>
    <row r="15" spans="1:12" ht="15.75" thickBot="1" x14ac:dyDescent="0.3"/>
    <row r="16" spans="1:12" x14ac:dyDescent="0.25">
      <c r="B16" s="3" t="s">
        <v>10</v>
      </c>
      <c r="C16" s="6" t="s">
        <v>25</v>
      </c>
      <c r="D16" s="133" t="s">
        <v>26</v>
      </c>
      <c r="E16" s="134"/>
      <c r="F16" s="7" t="s">
        <v>27</v>
      </c>
    </row>
    <row r="17" spans="2:6" x14ac:dyDescent="0.25">
      <c r="B17" s="3" t="s">
        <v>11</v>
      </c>
      <c r="C17" s="42" t="s">
        <v>14</v>
      </c>
      <c r="D17" s="40" t="s">
        <v>15</v>
      </c>
      <c r="E17" s="41" t="s">
        <v>16</v>
      </c>
      <c r="F17" s="43" t="s">
        <v>17</v>
      </c>
    </row>
    <row r="18" spans="2:6" x14ac:dyDescent="0.25">
      <c r="B18" s="3" t="s">
        <v>12</v>
      </c>
      <c r="C18" s="8">
        <f>I3</f>
        <v>0.62027777777777782</v>
      </c>
      <c r="D18" s="4">
        <f>J3</f>
        <v>0.46520833333333333</v>
      </c>
      <c r="E18" s="5">
        <f>I4</f>
        <v>0.46520833333333333</v>
      </c>
      <c r="F18" s="10">
        <f>J4</f>
        <v>0.62027777777777782</v>
      </c>
    </row>
    <row r="19" spans="2:6" x14ac:dyDescent="0.25">
      <c r="B19" s="3" t="s">
        <v>13</v>
      </c>
      <c r="C19" s="8">
        <f>IF(C7=0,1,0)</f>
        <v>1</v>
      </c>
      <c r="D19" s="4">
        <f>D18/(D18+E18)</f>
        <v>0.5</v>
      </c>
      <c r="E19" s="5">
        <f>E18/(D18+E18)</f>
        <v>0.5</v>
      </c>
      <c r="F19" s="10">
        <f>IF(C8=0,1,0)</f>
        <v>1</v>
      </c>
    </row>
    <row r="20" spans="2:6" ht="15.75" thickBot="1" x14ac:dyDescent="0.3">
      <c r="B20" s="3" t="s">
        <v>23</v>
      </c>
      <c r="C20" s="8">
        <f>IF(C7=0,0.5,0)</f>
        <v>0.5</v>
      </c>
      <c r="D20" s="4">
        <f>IF(C7=0,0,0.5)</f>
        <v>0</v>
      </c>
      <c r="E20" s="5">
        <f>IF(C8=0,0,0.5)</f>
        <v>0</v>
      </c>
      <c r="F20" s="10">
        <f>IF(C8=0,0.5,0)</f>
        <v>0.5</v>
      </c>
    </row>
    <row r="21" spans="2:6" ht="15.75" thickBot="1" x14ac:dyDescent="0.3">
      <c r="B21" s="3" t="s">
        <v>20</v>
      </c>
      <c r="C21" s="33">
        <v>-8.3332999999999995</v>
      </c>
      <c r="D21" s="34">
        <v>8.3332999999999995</v>
      </c>
      <c r="E21" s="35">
        <v>-8.3332999999999995</v>
      </c>
      <c r="F21" s="37">
        <v>8.3332999999999995</v>
      </c>
    </row>
    <row r="22" spans="2:6" x14ac:dyDescent="0.25">
      <c r="B22">
        <v>1</v>
      </c>
      <c r="C22" s="44">
        <f>C21*-1*$C$19</f>
        <v>8.3332999999999995</v>
      </c>
      <c r="D22" s="45">
        <f>C22*$C$20</f>
        <v>4.1666499999999997</v>
      </c>
      <c r="E22" s="46">
        <f>F22*$F$20</f>
        <v>-4.1666499999999997</v>
      </c>
      <c r="F22" s="47">
        <f>F21*-1*$F$19</f>
        <v>-8.3332999999999995</v>
      </c>
    </row>
    <row r="23" spans="2:6" x14ac:dyDescent="0.25">
      <c r="C23" s="44">
        <f>D23*$D$20</f>
        <v>0</v>
      </c>
      <c r="D23" s="45">
        <f>SUM(D21:E$22)*-1*$D$19</f>
        <v>0</v>
      </c>
      <c r="E23" s="46">
        <f>SUM(D21:E$22)*-1*$E$19</f>
        <v>0</v>
      </c>
      <c r="F23" s="47">
        <f>E23*$E$20</f>
        <v>0</v>
      </c>
    </row>
    <row r="24" spans="2:6" x14ac:dyDescent="0.25">
      <c r="B24">
        <v>2</v>
      </c>
      <c r="C24" s="48">
        <f>SUM(C$21:C23)*-1*$C$19</f>
        <v>0</v>
      </c>
      <c r="D24" s="49">
        <f>C24*$C$20</f>
        <v>0</v>
      </c>
      <c r="E24" s="50">
        <f>F24*$F$20</f>
        <v>0</v>
      </c>
      <c r="F24" s="51">
        <f>SUM(F$21:F23)*-1*$F$19</f>
        <v>0</v>
      </c>
    </row>
    <row r="25" spans="2:6" x14ac:dyDescent="0.25">
      <c r="C25" s="52">
        <f>D25*$D$20</f>
        <v>0</v>
      </c>
      <c r="D25" s="53">
        <f>SUM(D$21:E24)*-1*$D$19</f>
        <v>0</v>
      </c>
      <c r="E25" s="54">
        <f>SUM(D$21:E24)*-1*$E$19</f>
        <v>0</v>
      </c>
      <c r="F25" s="55">
        <f>E25*$E$19</f>
        <v>0</v>
      </c>
    </row>
    <row r="26" spans="2:6" x14ac:dyDescent="0.25">
      <c r="B26">
        <v>3</v>
      </c>
      <c r="C26" s="44">
        <f>SUM(C$21:C25)*-1*$C$19</f>
        <v>0</v>
      </c>
      <c r="D26" s="45">
        <f>C26*$C$20</f>
        <v>0</v>
      </c>
      <c r="E26" s="46">
        <f>F26*$F$20</f>
        <v>0</v>
      </c>
      <c r="F26" s="47">
        <f>SUM(F$21:F25)*-1*$F$19</f>
        <v>0</v>
      </c>
    </row>
    <row r="27" spans="2:6" x14ac:dyDescent="0.25">
      <c r="C27" s="56">
        <f>D27*$D$20</f>
        <v>0</v>
      </c>
      <c r="D27" s="57">
        <f>SUM(D$21:E26)*-1*$D$19</f>
        <v>0</v>
      </c>
      <c r="E27" s="58">
        <f>SUM(D$21:E26)*-1*$E$19</f>
        <v>0</v>
      </c>
      <c r="F27" s="59">
        <f>E27*$E$20</f>
        <v>0</v>
      </c>
    </row>
    <row r="28" spans="2:6" x14ac:dyDescent="0.25">
      <c r="B28">
        <v>4</v>
      </c>
      <c r="C28" s="48">
        <f>SUM(C$21:C27)*-1*$C$19</f>
        <v>0</v>
      </c>
      <c r="D28" s="49">
        <f>C28*$C$20</f>
        <v>0</v>
      </c>
      <c r="E28" s="50">
        <f>F28*$F$20</f>
        <v>0</v>
      </c>
      <c r="F28" s="51">
        <f>SUM(F$21:F27)*-1*$F$19</f>
        <v>0</v>
      </c>
    </row>
    <row r="29" spans="2:6" x14ac:dyDescent="0.25">
      <c r="C29" s="52">
        <f>D29*$D$20</f>
        <v>0</v>
      </c>
      <c r="D29" s="53">
        <f>SUM(D$21:E28)*-1*$D$19</f>
        <v>0</v>
      </c>
      <c r="E29" s="54">
        <f>SUM(D$21:E28)*-1*$E$19</f>
        <v>0</v>
      </c>
      <c r="F29" s="55">
        <f>E29*$E$19</f>
        <v>0</v>
      </c>
    </row>
    <row r="30" spans="2:6" x14ac:dyDescent="0.25">
      <c r="B30">
        <v>5</v>
      </c>
      <c r="C30" s="44">
        <f>SUM(C$21:C29)*-1*$C$19</f>
        <v>0</v>
      </c>
      <c r="D30" s="45">
        <f>C30*$C$20</f>
        <v>0</v>
      </c>
      <c r="E30" s="46">
        <f>F30*$F$20</f>
        <v>0</v>
      </c>
      <c r="F30" s="47">
        <f>SUM(F$21:F29)*-1*$F$19</f>
        <v>0</v>
      </c>
    </row>
    <row r="31" spans="2:6" x14ac:dyDescent="0.25">
      <c r="C31" s="56">
        <f>D31*$D$20</f>
        <v>0</v>
      </c>
      <c r="D31" s="57">
        <f>SUM(D$21:E30)*-1*$D$19</f>
        <v>0</v>
      </c>
      <c r="E31" s="58">
        <f>SUM(D$21:E30)*-1*$E$19</f>
        <v>0</v>
      </c>
      <c r="F31" s="59">
        <f>E31*$E$20</f>
        <v>0</v>
      </c>
    </row>
    <row r="32" spans="2:6" x14ac:dyDescent="0.25">
      <c r="B32">
        <v>6</v>
      </c>
      <c r="C32" s="48">
        <f>SUM(C$21:C31)*-1*$C$19</f>
        <v>0</v>
      </c>
      <c r="D32" s="49">
        <f>C32*$C$20</f>
        <v>0</v>
      </c>
      <c r="E32" s="50">
        <f>F32*$F$20</f>
        <v>0</v>
      </c>
      <c r="F32" s="51">
        <f>SUM(F$21:F31)*-1*$F$19</f>
        <v>0</v>
      </c>
    </row>
    <row r="33" spans="2:6" x14ac:dyDescent="0.25">
      <c r="C33" s="52">
        <f>D33*$D$20</f>
        <v>0</v>
      </c>
      <c r="D33" s="53">
        <f>SUM(D$21:E32)*-1*$D$19</f>
        <v>0</v>
      </c>
      <c r="E33" s="54">
        <f>SUM(D$21:E32)*-1*$E$19</f>
        <v>0</v>
      </c>
      <c r="F33" s="55">
        <f>E33*$E$19</f>
        <v>0</v>
      </c>
    </row>
    <row r="34" spans="2:6" x14ac:dyDescent="0.25">
      <c r="B34">
        <v>7</v>
      </c>
      <c r="C34" s="44">
        <f>SUM(C$21:C33)*-1*$C$19</f>
        <v>0</v>
      </c>
      <c r="D34" s="45">
        <f>C34*$C$20</f>
        <v>0</v>
      </c>
      <c r="E34" s="46">
        <f>F34*$F$20</f>
        <v>0</v>
      </c>
      <c r="F34" s="47">
        <f>SUM(F$21:F33)*-1*$F$19</f>
        <v>0</v>
      </c>
    </row>
    <row r="35" spans="2:6" x14ac:dyDescent="0.25">
      <c r="C35" s="56">
        <f>D35*$D$20</f>
        <v>0</v>
      </c>
      <c r="D35" s="57">
        <f>SUM(D$21:E34)*-1*$D$19</f>
        <v>0</v>
      </c>
      <c r="E35" s="58">
        <f>SUM(D$21:E34)*-1*$E$19</f>
        <v>0</v>
      </c>
      <c r="F35" s="59">
        <f>E35*$E$20</f>
        <v>0</v>
      </c>
    </row>
    <row r="36" spans="2:6" x14ac:dyDescent="0.25">
      <c r="B36">
        <v>8</v>
      </c>
      <c r="C36" s="48">
        <f>SUM(C$21:C35)*-1*$C$19</f>
        <v>0</v>
      </c>
      <c r="D36" s="49">
        <f>C36*$C$20</f>
        <v>0</v>
      </c>
      <c r="E36" s="50">
        <f>F36*$F$20</f>
        <v>0</v>
      </c>
      <c r="F36" s="51">
        <f>SUM(F$21:F35)*-1*$F$19</f>
        <v>0</v>
      </c>
    </row>
    <row r="37" spans="2:6" x14ac:dyDescent="0.25">
      <c r="C37" s="52">
        <f>D37*$D$20</f>
        <v>0</v>
      </c>
      <c r="D37" s="53">
        <f>SUM(D$21:E36)*-1*$D$19</f>
        <v>0</v>
      </c>
      <c r="E37" s="54">
        <f>SUM(D$21:E36)*-1*$E$19</f>
        <v>0</v>
      </c>
      <c r="F37" s="55">
        <f>E37*$E$19</f>
        <v>0</v>
      </c>
    </row>
    <row r="38" spans="2:6" x14ac:dyDescent="0.25">
      <c r="B38">
        <v>9</v>
      </c>
      <c r="C38" s="44">
        <f>SUM(C$21:C37)*-1*$C$19</f>
        <v>0</v>
      </c>
      <c r="D38" s="45">
        <f>C38*$C$20</f>
        <v>0</v>
      </c>
      <c r="E38" s="46">
        <f>F38*$F$20</f>
        <v>0</v>
      </c>
      <c r="F38" s="47">
        <f>SUM(F$21:F37)*-1*$F$19</f>
        <v>0</v>
      </c>
    </row>
    <row r="39" spans="2:6" x14ac:dyDescent="0.25">
      <c r="C39" s="56">
        <f>D39*$D$20</f>
        <v>0</v>
      </c>
      <c r="D39" s="57">
        <f>SUM(D$21:E38)*-1*$D$19</f>
        <v>0</v>
      </c>
      <c r="E39" s="58">
        <f>SUM(D$21:E38)*-1*$E$19</f>
        <v>0</v>
      </c>
      <c r="F39" s="59">
        <f>E39*$E$20</f>
        <v>0</v>
      </c>
    </row>
    <row r="40" spans="2:6" x14ac:dyDescent="0.25">
      <c r="B40">
        <v>10</v>
      </c>
      <c r="C40" s="48">
        <f>SUM(C$21:C39)*-1*$C$19</f>
        <v>0</v>
      </c>
      <c r="D40" s="49">
        <f>C40*$C$20</f>
        <v>0</v>
      </c>
      <c r="E40" s="50">
        <f>F40*$F$20</f>
        <v>0</v>
      </c>
      <c r="F40" s="51">
        <f>SUM(F$21:F39)*-1*$F$19</f>
        <v>0</v>
      </c>
    </row>
    <row r="41" spans="2:6" ht="15.75" thickBot="1" x14ac:dyDescent="0.3">
      <c r="C41" s="60">
        <f>D41*$D$20</f>
        <v>0</v>
      </c>
      <c r="D41" s="61">
        <f>SUM(D$21:E40)*-1*$D$19</f>
        <v>0</v>
      </c>
      <c r="E41" s="62">
        <f>SUM(D$21:E40)*-1*$E$19</f>
        <v>0</v>
      </c>
      <c r="F41" s="63">
        <f>E41*$E$19</f>
        <v>0</v>
      </c>
    </row>
    <row r="42" spans="2:6" ht="16.5" thickTop="1" thickBot="1" x14ac:dyDescent="0.3">
      <c r="C42" s="111">
        <f>SUM(C21:C31)</f>
        <v>0</v>
      </c>
      <c r="D42" s="64">
        <f>SUM(D21:D31)</f>
        <v>12.499949999999998</v>
      </c>
      <c r="E42" s="112">
        <f>SUM(E21:E31)</f>
        <v>-12.499949999999998</v>
      </c>
      <c r="F42" s="65">
        <f>SUM(F21:F31)</f>
        <v>0</v>
      </c>
    </row>
  </sheetData>
  <mergeCells count="3">
    <mergeCell ref="C12:D12"/>
    <mergeCell ref="E12:F12"/>
    <mergeCell ref="D16:E16"/>
  </mergeCells>
  <pageMargins left="0.7" right="0.7" top="0.75" bottom="0.75" header="0.3" footer="0.3"/>
  <ignoredErrors>
    <ignoredError sqref="C25:C26 D27:F27 C28 D29:F29 C30 D31:F31 C32 D33:F33 C34 D35:F35 C36 D37:F37 C38 D39:F39 C40:E40 D23:E23 C24 D25:F2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7662-1602-403F-AC45-74ADC7BDF63A}">
  <sheetPr codeName="Sheet3"/>
  <dimension ref="B1:U84"/>
  <sheetViews>
    <sheetView tabSelected="1" topLeftCell="A11" workbookViewId="0">
      <selection activeCell="O39" sqref="O39"/>
    </sheetView>
  </sheetViews>
  <sheetFormatPr defaultRowHeight="15" x14ac:dyDescent="0.25"/>
  <cols>
    <col min="2" max="2" width="22.28515625" customWidth="1"/>
    <col min="3" max="3" width="11.5703125" bestFit="1" customWidth="1"/>
    <col min="5" max="5" width="9.42578125" customWidth="1"/>
    <col min="6" max="6" width="9.85546875" bestFit="1" customWidth="1"/>
    <col min="9" max="9" width="13.7109375" bestFit="1" customWidth="1"/>
    <col min="10" max="10" width="9.85546875" bestFit="1" customWidth="1"/>
  </cols>
  <sheetData>
    <row r="1" spans="2:15" ht="15.75" thickBot="1" x14ac:dyDescent="0.3"/>
    <row r="2" spans="2:15" x14ac:dyDescent="0.25">
      <c r="B2" s="67" t="s">
        <v>36</v>
      </c>
      <c r="C2" s="68"/>
      <c r="D2" s="68"/>
      <c r="E2" s="68"/>
      <c r="F2" s="68"/>
      <c r="G2" s="68"/>
      <c r="H2" s="68"/>
      <c r="I2" s="69"/>
    </row>
    <row r="3" spans="2:15" x14ac:dyDescent="0.25">
      <c r="B3" s="70" t="s">
        <v>37</v>
      </c>
      <c r="C3" s="84">
        <v>10</v>
      </c>
      <c r="D3" s="71" t="s">
        <v>1</v>
      </c>
      <c r="E3" s="71"/>
      <c r="F3" s="71"/>
      <c r="G3" s="71"/>
      <c r="H3" s="71"/>
      <c r="I3" s="72"/>
      <c r="K3" s="39"/>
      <c r="L3" s="110"/>
      <c r="M3" s="39"/>
      <c r="N3" s="110"/>
      <c r="O3" s="9"/>
    </row>
    <row r="4" spans="2:15" x14ac:dyDescent="0.25">
      <c r="B4" s="70" t="s">
        <v>38</v>
      </c>
      <c r="C4" s="84">
        <v>1</v>
      </c>
      <c r="D4" s="71" t="s">
        <v>39</v>
      </c>
      <c r="E4" s="71" t="s">
        <v>43</v>
      </c>
      <c r="F4" s="71"/>
      <c r="G4" s="71"/>
      <c r="H4" s="71"/>
      <c r="I4" s="72"/>
      <c r="J4" s="109"/>
    </row>
    <row r="5" spans="2:15" x14ac:dyDescent="0.25">
      <c r="B5" s="70" t="s">
        <v>40</v>
      </c>
      <c r="C5" s="84">
        <v>5</v>
      </c>
      <c r="D5" s="71" t="s">
        <v>1</v>
      </c>
      <c r="E5" s="71" t="s">
        <v>41</v>
      </c>
      <c r="F5" s="71"/>
      <c r="G5" s="71"/>
      <c r="H5" s="71"/>
      <c r="I5" s="72"/>
      <c r="J5" s="109"/>
    </row>
    <row r="6" spans="2:15" x14ac:dyDescent="0.25">
      <c r="B6" s="70" t="s">
        <v>42</v>
      </c>
      <c r="C6" s="9">
        <f>C3-C5</f>
        <v>5</v>
      </c>
      <c r="D6" s="71" t="s">
        <v>1</v>
      </c>
      <c r="E6" s="71"/>
      <c r="F6" s="71"/>
      <c r="G6" s="71"/>
      <c r="H6" s="71"/>
      <c r="I6" s="72"/>
      <c r="J6" s="109"/>
    </row>
    <row r="7" spans="2:15" ht="15.75" thickBot="1" x14ac:dyDescent="0.3">
      <c r="B7" s="73"/>
      <c r="C7" s="71"/>
      <c r="D7" s="71"/>
      <c r="E7" s="71"/>
      <c r="F7" s="71"/>
      <c r="G7" s="71"/>
      <c r="H7" s="71"/>
      <c r="I7" s="72"/>
      <c r="J7" s="109"/>
    </row>
    <row r="8" spans="2:15" x14ac:dyDescent="0.25">
      <c r="B8" s="104" t="s">
        <v>44</v>
      </c>
      <c r="C8" s="95">
        <f>(-1*C4*C5*C6*C6)/(C3*C3)</f>
        <v>-1.25</v>
      </c>
      <c r="D8" s="96" t="s">
        <v>46</v>
      </c>
      <c r="E8" s="71" t="s">
        <v>47</v>
      </c>
      <c r="F8" s="71"/>
      <c r="G8" s="71"/>
      <c r="H8" s="71"/>
      <c r="I8" s="72"/>
    </row>
    <row r="9" spans="2:15" ht="15.75" thickBot="1" x14ac:dyDescent="0.3">
      <c r="B9" s="93" t="s">
        <v>45</v>
      </c>
      <c r="C9" s="94">
        <f>(C4*C5*C5*C6)/(C3*C3)</f>
        <v>1.25</v>
      </c>
      <c r="D9" s="103" t="s">
        <v>46</v>
      </c>
      <c r="E9" s="74" t="s">
        <v>47</v>
      </c>
      <c r="F9" s="74"/>
      <c r="G9" s="74"/>
      <c r="H9" s="74"/>
      <c r="I9" s="75"/>
    </row>
    <row r="10" spans="2:15" ht="15.75" thickBot="1" x14ac:dyDescent="0.3"/>
    <row r="11" spans="2:15" x14ac:dyDescent="0.25">
      <c r="B11" s="76" t="s">
        <v>48</v>
      </c>
      <c r="C11" s="68"/>
      <c r="D11" s="68"/>
      <c r="E11" s="68"/>
      <c r="F11" s="68"/>
      <c r="G11" s="68"/>
      <c r="H11" s="68"/>
      <c r="I11" s="69"/>
    </row>
    <row r="12" spans="2:15" x14ac:dyDescent="0.25">
      <c r="B12" s="70" t="s">
        <v>37</v>
      </c>
      <c r="C12" s="84">
        <v>10</v>
      </c>
      <c r="D12" s="71" t="s">
        <v>1</v>
      </c>
      <c r="E12" s="71"/>
      <c r="F12" s="71"/>
      <c r="G12" s="71"/>
      <c r="H12" s="71"/>
      <c r="I12" s="72"/>
    </row>
    <row r="13" spans="2:15" x14ac:dyDescent="0.25">
      <c r="B13" s="70" t="s">
        <v>49</v>
      </c>
      <c r="C13" s="84">
        <v>1</v>
      </c>
      <c r="D13" s="71" t="s">
        <v>46</v>
      </c>
      <c r="E13" s="71" t="s">
        <v>50</v>
      </c>
      <c r="F13" s="71"/>
      <c r="G13" s="71"/>
      <c r="H13" s="71"/>
      <c r="I13" s="72"/>
    </row>
    <row r="14" spans="2:15" x14ac:dyDescent="0.25">
      <c r="B14" s="70" t="s">
        <v>40</v>
      </c>
      <c r="C14" s="84">
        <v>5</v>
      </c>
      <c r="D14" s="71" t="s">
        <v>1</v>
      </c>
      <c r="E14" s="71" t="s">
        <v>41</v>
      </c>
      <c r="F14" s="71"/>
      <c r="G14" s="71"/>
      <c r="H14" s="71"/>
      <c r="I14" s="72"/>
    </row>
    <row r="15" spans="2:15" x14ac:dyDescent="0.25">
      <c r="B15" s="70" t="s">
        <v>42</v>
      </c>
      <c r="C15" s="9">
        <f>C12-C14</f>
        <v>5</v>
      </c>
      <c r="D15" s="71" t="s">
        <v>1</v>
      </c>
      <c r="E15" s="71"/>
      <c r="F15" s="71"/>
      <c r="G15" s="71"/>
      <c r="H15" s="71"/>
      <c r="I15" s="72"/>
    </row>
    <row r="16" spans="2:15" ht="15.75" thickBot="1" x14ac:dyDescent="0.3">
      <c r="B16" s="73"/>
      <c r="C16" s="71"/>
      <c r="D16" s="71"/>
      <c r="E16" s="71"/>
      <c r="F16" s="71"/>
      <c r="G16" s="71"/>
      <c r="H16" s="71"/>
      <c r="I16" s="72"/>
    </row>
    <row r="17" spans="2:16" x14ac:dyDescent="0.25">
      <c r="B17" s="104" t="s">
        <v>51</v>
      </c>
      <c r="C17" s="95">
        <f>((-1*C13)/(C12*C12))*((C12*C12)-(4*C12*C14)+(3*C14*C14))</f>
        <v>0.25</v>
      </c>
      <c r="D17" s="96" t="s">
        <v>46</v>
      </c>
      <c r="E17" s="71" t="s">
        <v>47</v>
      </c>
      <c r="F17" s="71"/>
      <c r="G17" s="71"/>
      <c r="H17" s="71"/>
      <c r="I17" s="72"/>
    </row>
    <row r="18" spans="2:16" ht="15.75" thickBot="1" x14ac:dyDescent="0.3">
      <c r="B18" s="93" t="s">
        <v>52</v>
      </c>
      <c r="C18" s="94">
        <f>((-1*C13)/(C12*C12))*((3*C14*C14)-(2*C14*C12))</f>
        <v>0.25</v>
      </c>
      <c r="D18" s="103" t="s">
        <v>46</v>
      </c>
      <c r="E18" s="74" t="s">
        <v>47</v>
      </c>
      <c r="F18" s="74"/>
      <c r="G18" s="74"/>
      <c r="H18" s="74"/>
      <c r="I18" s="75"/>
    </row>
    <row r="19" spans="2:16" ht="15.75" thickBot="1" x14ac:dyDescent="0.3"/>
    <row r="20" spans="2:16" x14ac:dyDescent="0.25">
      <c r="B20" s="76" t="s">
        <v>53</v>
      </c>
      <c r="C20" s="68"/>
      <c r="D20" s="68"/>
      <c r="E20" s="68"/>
      <c r="F20" s="68"/>
      <c r="G20" s="68"/>
      <c r="H20" s="68"/>
      <c r="I20" s="68"/>
      <c r="J20" s="104" t="str">
        <f>F37</f>
        <v xml:space="preserve">M,Left = </v>
      </c>
      <c r="K20" s="95">
        <f t="shared" ref="K20:L20" si="0">G37</f>
        <v>-8.3333333333333535</v>
      </c>
      <c r="L20" s="96" t="str">
        <f t="shared" si="0"/>
        <v>ft-kips</v>
      </c>
      <c r="O20">
        <f>((((C28*C21*C21)/2)-(C33*C21)-C36+(-2*C34))/(-0.5*C21))</f>
        <v>-8.3333333333333535</v>
      </c>
      <c r="P20">
        <f>K20/O20</f>
        <v>1</v>
      </c>
    </row>
    <row r="21" spans="2:16" ht="15.75" thickBot="1" x14ac:dyDescent="0.3">
      <c r="B21" s="70" t="s">
        <v>37</v>
      </c>
      <c r="C21" s="84">
        <v>10</v>
      </c>
      <c r="D21" s="71" t="s">
        <v>1</v>
      </c>
      <c r="E21" s="71"/>
      <c r="F21" s="71"/>
      <c r="G21" s="71"/>
      <c r="H21" s="71"/>
      <c r="I21" s="71"/>
      <c r="J21" s="93" t="str">
        <f>F38</f>
        <v xml:space="preserve">M,Right = </v>
      </c>
      <c r="K21" s="94">
        <f t="shared" ref="K21" si="1">G38</f>
        <v>8.3333333333333215</v>
      </c>
      <c r="L21" s="103" t="str">
        <f t="shared" ref="L21" si="2">H38</f>
        <v>ft-kips</v>
      </c>
      <c r="O21">
        <f>(-1*C34+(O20*(C21/3)))/(C21/6)</f>
        <v>8.3333333333333197</v>
      </c>
      <c r="P21">
        <f>K21/O21</f>
        <v>1.0000000000000002</v>
      </c>
    </row>
    <row r="22" spans="2:16" x14ac:dyDescent="0.25">
      <c r="B22" s="70" t="s">
        <v>54</v>
      </c>
      <c r="C22" s="84">
        <v>1</v>
      </c>
      <c r="D22" s="71" t="s">
        <v>56</v>
      </c>
      <c r="E22" s="71" t="s">
        <v>43</v>
      </c>
      <c r="F22" s="71"/>
      <c r="G22" s="71"/>
      <c r="H22" s="71"/>
      <c r="I22" s="71"/>
      <c r="J22" s="71"/>
      <c r="K22" s="71"/>
      <c r="L22" s="72"/>
    </row>
    <row r="23" spans="2:16" x14ac:dyDescent="0.25">
      <c r="B23" s="70" t="s">
        <v>40</v>
      </c>
      <c r="C23" s="84">
        <v>0</v>
      </c>
      <c r="D23" s="71" t="s">
        <v>1</v>
      </c>
      <c r="E23" s="71" t="s">
        <v>57</v>
      </c>
      <c r="F23" s="71"/>
      <c r="G23" s="71"/>
      <c r="H23" s="71"/>
      <c r="I23" s="71"/>
      <c r="J23" s="71"/>
      <c r="K23" s="71"/>
      <c r="L23" s="72"/>
    </row>
    <row r="24" spans="2:16" x14ac:dyDescent="0.25">
      <c r="B24" s="70" t="s">
        <v>55</v>
      </c>
      <c r="C24" s="84">
        <v>10</v>
      </c>
      <c r="D24" s="71" t="s">
        <v>1</v>
      </c>
      <c r="E24" s="71" t="s">
        <v>58</v>
      </c>
      <c r="F24" s="71"/>
      <c r="G24" s="71"/>
      <c r="H24" s="71"/>
      <c r="I24" s="71"/>
      <c r="J24" s="71"/>
      <c r="K24" s="71"/>
      <c r="L24" s="72"/>
    </row>
    <row r="25" spans="2:16" x14ac:dyDescent="0.25">
      <c r="B25" s="70" t="s">
        <v>61</v>
      </c>
      <c r="C25" s="9">
        <f>C24-C23</f>
        <v>10</v>
      </c>
      <c r="D25" s="71" t="s">
        <v>1</v>
      </c>
      <c r="E25" s="71" t="s">
        <v>62</v>
      </c>
      <c r="F25" s="71"/>
      <c r="G25" s="71"/>
      <c r="H25" s="71"/>
      <c r="I25" s="71"/>
      <c r="J25" s="71"/>
      <c r="K25" s="71"/>
      <c r="L25" s="72"/>
    </row>
    <row r="26" spans="2:16" x14ac:dyDescent="0.25">
      <c r="B26" s="73"/>
      <c r="C26" s="71"/>
      <c r="D26" s="71"/>
      <c r="E26" s="71"/>
      <c r="F26" s="71"/>
      <c r="G26" s="71"/>
      <c r="H26" s="71"/>
      <c r="I26" s="71"/>
      <c r="J26" s="71"/>
      <c r="K26" s="71"/>
      <c r="L26" s="72"/>
    </row>
    <row r="27" spans="2:16" x14ac:dyDescent="0.25">
      <c r="B27" s="70" t="s">
        <v>59</v>
      </c>
      <c r="C27" s="9">
        <f>(C22*C25)-(((C22*C25)*(C23+(C25/2)))/C21)</f>
        <v>5</v>
      </c>
      <c r="D27" s="71" t="s">
        <v>39</v>
      </c>
      <c r="E27" s="80" t="s">
        <v>79</v>
      </c>
      <c r="F27" s="71"/>
      <c r="G27" s="71"/>
      <c r="H27" s="71"/>
      <c r="I27" s="71"/>
      <c r="J27" s="71"/>
      <c r="K27" s="71"/>
      <c r="L27" s="72"/>
    </row>
    <row r="28" spans="2:16" x14ac:dyDescent="0.25">
      <c r="B28" s="70" t="s">
        <v>60</v>
      </c>
      <c r="C28" s="9">
        <f>(((C22*C25)*(C23+(C25/2)))/C21)</f>
        <v>5</v>
      </c>
      <c r="D28" s="71" t="s">
        <v>39</v>
      </c>
      <c r="E28" s="80" t="s">
        <v>80</v>
      </c>
      <c r="F28" s="71"/>
      <c r="G28" s="71"/>
      <c r="H28" s="71"/>
      <c r="I28" s="71"/>
      <c r="J28" s="71"/>
      <c r="K28" s="71"/>
      <c r="L28" s="72"/>
    </row>
    <row r="29" spans="2:16" x14ac:dyDescent="0.25">
      <c r="B29" s="73"/>
      <c r="C29" s="71"/>
      <c r="D29" s="71"/>
      <c r="E29" s="71"/>
      <c r="F29" s="71"/>
      <c r="G29" s="71"/>
      <c r="H29" s="71"/>
      <c r="I29" s="71"/>
      <c r="J29" s="71"/>
      <c r="K29" s="71"/>
      <c r="L29" s="72"/>
    </row>
    <row r="30" spans="2:16" x14ac:dyDescent="0.25">
      <c r="B30" s="77" t="s">
        <v>63</v>
      </c>
      <c r="C30" s="71"/>
      <c r="D30" s="71"/>
      <c r="E30" s="71"/>
      <c r="F30" s="71"/>
      <c r="G30" s="71"/>
      <c r="H30" s="71"/>
      <c r="I30" s="71"/>
      <c r="J30" s="71"/>
      <c r="K30" s="71"/>
      <c r="L30" s="72"/>
    </row>
    <row r="31" spans="2:16" x14ac:dyDescent="0.25">
      <c r="B31" s="70" t="s">
        <v>64</v>
      </c>
      <c r="C31" s="83">
        <v>0</v>
      </c>
      <c r="D31" s="71"/>
      <c r="E31" s="71"/>
      <c r="F31" s="78" t="s">
        <v>73</v>
      </c>
      <c r="G31" s="81">
        <f>C34*-1</f>
        <v>41.666666666666714</v>
      </c>
      <c r="H31" s="71" t="s">
        <v>75</v>
      </c>
      <c r="I31" s="71"/>
      <c r="J31" s="71"/>
      <c r="K31" s="71"/>
      <c r="L31" s="72"/>
    </row>
    <row r="32" spans="2:16" x14ac:dyDescent="0.25">
      <c r="B32" s="70" t="s">
        <v>65</v>
      </c>
      <c r="C32" s="9">
        <f>((-1*C22*C23*C23)/2)</f>
        <v>0</v>
      </c>
      <c r="D32" s="71"/>
      <c r="E32" s="71"/>
      <c r="F32" s="78" t="s">
        <v>74</v>
      </c>
      <c r="G32" s="82">
        <f>(((-1 * C28*C21*C21) / 2) + (C33 *C21) +C36)*-1</f>
        <v>-41.666666666666657</v>
      </c>
      <c r="H32" s="71" t="s">
        <v>76</v>
      </c>
      <c r="I32" s="71"/>
      <c r="J32" s="71"/>
      <c r="K32" s="71"/>
      <c r="L32" s="72"/>
    </row>
    <row r="33" spans="2:21" x14ac:dyDescent="0.25">
      <c r="B33" s="70" t="s">
        <v>66</v>
      </c>
      <c r="C33" s="9">
        <f>C28*C21</f>
        <v>50</v>
      </c>
      <c r="D33" s="71"/>
      <c r="E33" s="71"/>
      <c r="F33" s="71"/>
      <c r="G33" s="71"/>
      <c r="H33" s="71"/>
      <c r="I33" s="71"/>
      <c r="J33" s="71"/>
      <c r="K33" s="71"/>
      <c r="L33" s="72"/>
    </row>
    <row r="34" spans="2:21" x14ac:dyDescent="0.25">
      <c r="B34" s="70" t="s">
        <v>72</v>
      </c>
      <c r="C34" s="9">
        <f>((C22*C23*C23*C23) / 3) + (C32*C23) +C35 - (C31*C23)</f>
        <v>-41.666666666666714</v>
      </c>
      <c r="D34" s="71"/>
      <c r="E34" s="71"/>
      <c r="F34" s="71" t="s">
        <v>77</v>
      </c>
      <c r="G34" s="120">
        <f>(-1*C21)/3</f>
        <v>-3.3333333333333335</v>
      </c>
      <c r="H34" s="121">
        <f>C21/6</f>
        <v>1.6666666666666667</v>
      </c>
      <c r="I34" s="71" t="s">
        <v>81</v>
      </c>
      <c r="J34" s="71"/>
      <c r="K34" s="71"/>
      <c r="L34" s="72"/>
    </row>
    <row r="35" spans="2:21" x14ac:dyDescent="0.25">
      <c r="B35" s="70" t="s">
        <v>71</v>
      </c>
      <c r="C35" s="9">
        <f>((-1*C27*C24*C24) / 2) + ((C22*POWER(C24,3)) / 6) - ((C22*C23*C24*C24) / 2) - ((C28*C24*C24) / 2) + (C33*C24) - (C32*C24) + C36</f>
        <v>-41.666666666666714</v>
      </c>
      <c r="D35" s="71"/>
      <c r="E35" s="71"/>
      <c r="F35" s="80" t="s">
        <v>78</v>
      </c>
      <c r="G35" s="122">
        <f>C21/6</f>
        <v>1.6666666666666667</v>
      </c>
      <c r="H35" s="123">
        <f>(-1*C21)/3</f>
        <v>-3.3333333333333335</v>
      </c>
      <c r="I35" s="71"/>
      <c r="J35" s="71"/>
      <c r="K35" s="71"/>
      <c r="L35" s="72"/>
    </row>
    <row r="36" spans="2:21" x14ac:dyDescent="0.25">
      <c r="B36" s="70" t="s">
        <v>70</v>
      </c>
      <c r="C36" s="9">
        <f>((C28*C21*C21)/6)-((C33*C21)/2)-(C39/C21)</f>
        <v>-208.33333333333334</v>
      </c>
      <c r="D36" s="71"/>
      <c r="E36" s="71"/>
      <c r="F36" s="71"/>
      <c r="G36" s="71"/>
      <c r="H36" s="71"/>
      <c r="I36" s="71"/>
      <c r="J36" s="71"/>
      <c r="K36" s="71"/>
      <c r="L36" s="72"/>
    </row>
    <row r="37" spans="2:21" x14ac:dyDescent="0.25">
      <c r="B37" s="70" t="s">
        <v>67</v>
      </c>
      <c r="C37" s="9">
        <v>0</v>
      </c>
      <c r="D37" s="71"/>
      <c r="E37" s="71"/>
      <c r="F37" s="87" t="s">
        <v>51</v>
      </c>
      <c r="G37" s="88" cm="1">
        <f t="array" ref="G37:G38">MMULT(MINVERSE(G34:H35),G31:G32)</f>
        <v>-8.3333333333333535</v>
      </c>
      <c r="H37" s="89" t="s">
        <v>46</v>
      </c>
      <c r="I37" s="71" t="s">
        <v>47</v>
      </c>
      <c r="J37" s="71"/>
      <c r="K37" s="71"/>
      <c r="L37" s="72"/>
    </row>
    <row r="38" spans="2:21" x14ac:dyDescent="0.25">
      <c r="B38" s="70" t="s">
        <v>68</v>
      </c>
      <c r="C38" s="9">
        <f>((-1*C31*C23*C23)/2)+((C32*C23*C23)/2)+((5*C22*POWER(C23,4))/24)+C37</f>
        <v>0</v>
      </c>
      <c r="D38" s="71"/>
      <c r="E38" s="71"/>
      <c r="F38" s="90" t="s">
        <v>52</v>
      </c>
      <c r="G38" s="91">
        <v>8.3333333333333215</v>
      </c>
      <c r="H38" s="92" t="s">
        <v>46</v>
      </c>
      <c r="I38" s="71" t="s">
        <v>47</v>
      </c>
      <c r="J38" s="71"/>
      <c r="K38" s="71"/>
      <c r="L38" s="72"/>
    </row>
    <row r="39" spans="2:21" x14ac:dyDescent="0.25">
      <c r="B39" s="70" t="s">
        <v>69</v>
      </c>
      <c r="C39" s="9">
        <f>((-1*C27*POWER(C24,3))/3)-((C28*POWER(C24,3))/3)+((C22*POWER(C24,4))/8)-((C22*C23*POWER(C24,3))/3)-((C32*C24*C24)/2)+((C33*C24*C24)/2)+C38</f>
        <v>416.66666666666652</v>
      </c>
      <c r="D39" s="71"/>
      <c r="E39" s="71"/>
      <c r="F39" s="71"/>
      <c r="G39" s="71"/>
      <c r="H39" s="71"/>
      <c r="I39" s="71"/>
      <c r="J39" s="71"/>
      <c r="K39" s="71"/>
      <c r="L39" s="72"/>
    </row>
    <row r="40" spans="2:21" ht="15.75" thickBot="1" x14ac:dyDescent="0.3">
      <c r="B40" s="79"/>
      <c r="C40" s="74"/>
      <c r="D40" s="74"/>
      <c r="E40" s="74"/>
      <c r="F40" s="74"/>
      <c r="G40" s="74"/>
      <c r="H40" s="74"/>
      <c r="I40" s="74"/>
      <c r="J40" s="74"/>
      <c r="K40" s="74"/>
      <c r="L40" s="75"/>
    </row>
    <row r="41" spans="2:21" ht="15.75" thickBot="1" x14ac:dyDescent="0.3"/>
    <row r="42" spans="2:21" x14ac:dyDescent="0.25">
      <c r="B42" s="98" t="s">
        <v>82</v>
      </c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101" t="str">
        <f>E64</f>
        <v xml:space="preserve">M,Left = </v>
      </c>
      <c r="N42" s="95">
        <f t="shared" ref="N42:O42" si="3">F64</f>
        <v>-0.13333333333333341</v>
      </c>
      <c r="O42" s="96" t="str">
        <f t="shared" si="3"/>
        <v>ft-kips</v>
      </c>
      <c r="R42">
        <f>((((C55*C43*C43)/2)-(C60*C43)-C63+(-2*C61))/(-0.5*C43))</f>
        <v>-0.13333333333333341</v>
      </c>
      <c r="S42">
        <f>N42/R42</f>
        <v>1</v>
      </c>
    </row>
    <row r="43" spans="2:21" ht="15.75" thickBot="1" x14ac:dyDescent="0.3">
      <c r="B43" s="99" t="s">
        <v>37</v>
      </c>
      <c r="C43" s="84">
        <v>2</v>
      </c>
      <c r="D43" s="71" t="s">
        <v>1</v>
      </c>
      <c r="E43" s="100" t="s">
        <v>85</v>
      </c>
      <c r="F43" s="71"/>
      <c r="G43" s="71"/>
      <c r="H43" s="71"/>
      <c r="I43" s="71"/>
      <c r="J43" s="71"/>
      <c r="K43" s="71"/>
      <c r="L43" s="71"/>
      <c r="M43" s="102" t="str">
        <f>E65</f>
        <v xml:space="preserve">M,Right = </v>
      </c>
      <c r="N43" s="94">
        <f t="shared" ref="N43" si="4">F65</f>
        <v>0.2</v>
      </c>
      <c r="O43" s="103" t="str">
        <f t="shared" ref="O43" si="5">G65</f>
        <v>ft-kips</v>
      </c>
      <c r="R43">
        <f>(-1*C61+(R42*(C43/3)))/(C43/6)</f>
        <v>0.20000000000000004</v>
      </c>
      <c r="S43">
        <f>N43/R43</f>
        <v>0.99999999999999989</v>
      </c>
    </row>
    <row r="44" spans="2:21" x14ac:dyDescent="0.25">
      <c r="B44" s="99" t="s">
        <v>83</v>
      </c>
      <c r="C44" s="84">
        <v>0</v>
      </c>
      <c r="D44" s="71" t="s">
        <v>56</v>
      </c>
      <c r="E44" s="71" t="s">
        <v>86</v>
      </c>
      <c r="F44" s="71"/>
      <c r="G44" s="71"/>
      <c r="H44" s="71"/>
      <c r="I44" s="71"/>
      <c r="J44" s="71"/>
      <c r="K44" s="71"/>
      <c r="L44" s="71"/>
      <c r="M44" s="71"/>
      <c r="N44" s="71"/>
      <c r="O44" s="72"/>
      <c r="Q44" s="1"/>
      <c r="R44" s="105"/>
      <c r="S44" s="1"/>
      <c r="T44" s="105"/>
      <c r="U44" s="66"/>
    </row>
    <row r="45" spans="2:21" x14ac:dyDescent="0.25">
      <c r="B45" s="99" t="s">
        <v>84</v>
      </c>
      <c r="C45" s="84">
        <v>1</v>
      </c>
      <c r="D45" s="71" t="s">
        <v>56</v>
      </c>
      <c r="E45" s="71" t="s">
        <v>87</v>
      </c>
      <c r="F45" s="71"/>
      <c r="G45" s="71"/>
      <c r="H45" s="71"/>
      <c r="I45" s="71"/>
      <c r="J45" s="71"/>
      <c r="K45" s="71"/>
      <c r="L45" s="71"/>
      <c r="M45" s="71"/>
      <c r="N45" s="71"/>
      <c r="O45" s="72"/>
      <c r="P45" s="3"/>
      <c r="Q45" s="85"/>
      <c r="R45" s="1"/>
      <c r="S45" s="1"/>
      <c r="T45" s="1"/>
      <c r="U45" s="1"/>
    </row>
    <row r="46" spans="2:21" x14ac:dyDescent="0.25">
      <c r="B46" s="99" t="s">
        <v>40</v>
      </c>
      <c r="C46" s="84">
        <v>0</v>
      </c>
      <c r="D46" s="71" t="s">
        <v>1</v>
      </c>
      <c r="E46" s="71" t="s">
        <v>57</v>
      </c>
      <c r="F46" s="71"/>
      <c r="G46" s="71"/>
      <c r="H46" s="71"/>
      <c r="I46" s="71"/>
      <c r="J46" s="71"/>
      <c r="K46" s="71"/>
      <c r="L46" s="71"/>
      <c r="M46" s="71"/>
      <c r="N46" s="71"/>
      <c r="O46" s="72"/>
      <c r="P46" s="3"/>
      <c r="Q46" s="1"/>
      <c r="R46" s="1"/>
      <c r="S46" s="1"/>
      <c r="T46" s="1"/>
      <c r="U46" s="1"/>
    </row>
    <row r="47" spans="2:21" x14ac:dyDescent="0.25">
      <c r="B47" s="99" t="s">
        <v>55</v>
      </c>
      <c r="C47" s="84">
        <v>2</v>
      </c>
      <c r="D47" s="71" t="s">
        <v>1</v>
      </c>
      <c r="E47" s="71" t="s">
        <v>58</v>
      </c>
      <c r="F47" s="71"/>
      <c r="G47" s="71"/>
      <c r="H47" s="71"/>
      <c r="I47" s="71"/>
      <c r="J47" s="71"/>
      <c r="K47" s="71"/>
      <c r="L47" s="71"/>
      <c r="M47" s="71"/>
      <c r="N47" s="71"/>
      <c r="O47" s="72"/>
      <c r="P47" s="3"/>
      <c r="Q47" s="1"/>
      <c r="R47" s="1"/>
      <c r="S47" s="1"/>
      <c r="T47" s="1"/>
      <c r="U47" s="1"/>
    </row>
    <row r="48" spans="2:21" x14ac:dyDescent="0.25">
      <c r="B48" s="99" t="s">
        <v>61</v>
      </c>
      <c r="C48" s="9">
        <f>C47-C46</f>
        <v>2</v>
      </c>
      <c r="D48" s="71" t="s">
        <v>1</v>
      </c>
      <c r="E48" s="71" t="s">
        <v>62</v>
      </c>
      <c r="F48" s="71"/>
      <c r="G48" s="71"/>
      <c r="H48" s="71"/>
      <c r="I48" s="71"/>
      <c r="J48" s="71"/>
      <c r="K48" s="71"/>
      <c r="L48" s="71"/>
      <c r="M48" s="71"/>
      <c r="N48" s="71"/>
      <c r="O48" s="72"/>
      <c r="P48" s="3"/>
      <c r="Q48" s="1"/>
      <c r="R48" s="1"/>
      <c r="S48" s="1"/>
      <c r="T48" s="1"/>
      <c r="U48" s="1"/>
    </row>
    <row r="49" spans="2:21" x14ac:dyDescent="0.25">
      <c r="B49" s="73"/>
      <c r="C49" s="9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2"/>
      <c r="Q49" s="66"/>
      <c r="R49" s="105"/>
      <c r="S49" s="1"/>
      <c r="T49" s="105"/>
      <c r="U49" s="66"/>
    </row>
    <row r="50" spans="2:21" x14ac:dyDescent="0.25">
      <c r="B50" s="99" t="s">
        <v>88</v>
      </c>
      <c r="C50" s="9">
        <f>(C45-C44)/C48</f>
        <v>0.5</v>
      </c>
      <c r="D50" s="71" t="s">
        <v>89</v>
      </c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2"/>
      <c r="P50" s="3"/>
    </row>
    <row r="51" spans="2:21" x14ac:dyDescent="0.25">
      <c r="B51" s="99" t="s">
        <v>90</v>
      </c>
      <c r="C51" s="9">
        <f>(C48* ((2 *C45) + C44)) / (3 * (C45+ C44))</f>
        <v>1.3333333333333333</v>
      </c>
      <c r="D51" s="71" t="s">
        <v>91</v>
      </c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2"/>
      <c r="P51" s="3"/>
    </row>
    <row r="52" spans="2:21" x14ac:dyDescent="0.25">
      <c r="B52" s="99" t="s">
        <v>92</v>
      </c>
      <c r="C52" s="9">
        <f>C48 * ((C44 + C45) / 2)</f>
        <v>1</v>
      </c>
      <c r="D52" s="71" t="s">
        <v>93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2"/>
      <c r="P52" s="3"/>
    </row>
    <row r="53" spans="2:21" x14ac:dyDescent="0.25">
      <c r="B53" s="73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2"/>
      <c r="P53" s="3"/>
    </row>
    <row r="54" spans="2:21" x14ac:dyDescent="0.25">
      <c r="B54" s="70" t="s">
        <v>59</v>
      </c>
      <c r="C54" s="86">
        <f>C52-C55</f>
        <v>0.33333333333333337</v>
      </c>
      <c r="D54" s="71" t="s">
        <v>39</v>
      </c>
      <c r="E54" s="80" t="s">
        <v>79</v>
      </c>
      <c r="F54" s="71"/>
      <c r="G54" s="71"/>
      <c r="H54" s="71"/>
      <c r="I54" s="71"/>
      <c r="J54" s="71"/>
      <c r="K54" s="71"/>
      <c r="L54" s="71"/>
      <c r="M54" s="71"/>
      <c r="N54" s="71"/>
      <c r="O54" s="72"/>
      <c r="Q54" s="97"/>
      <c r="R54" s="105"/>
      <c r="S54" s="1"/>
      <c r="T54" s="105"/>
      <c r="U54" s="97"/>
    </row>
    <row r="55" spans="2:21" x14ac:dyDescent="0.25">
      <c r="B55" s="70" t="s">
        <v>60</v>
      </c>
      <c r="C55" s="86">
        <f>(C52* (C46 +C51)) / C43</f>
        <v>0.66666666666666663</v>
      </c>
      <c r="D55" s="71" t="s">
        <v>39</v>
      </c>
      <c r="E55" s="80" t="s">
        <v>80</v>
      </c>
      <c r="F55" s="71"/>
      <c r="G55" s="71"/>
      <c r="H55" s="71"/>
      <c r="I55" s="71"/>
      <c r="J55" s="71"/>
      <c r="K55" s="71"/>
      <c r="L55" s="71"/>
      <c r="M55" s="71"/>
      <c r="N55" s="71"/>
      <c r="O55" s="72"/>
      <c r="P55" s="3"/>
    </row>
    <row r="56" spans="2:21" x14ac:dyDescent="0.25">
      <c r="B56" s="73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2"/>
      <c r="P56" s="3"/>
    </row>
    <row r="57" spans="2:21" x14ac:dyDescent="0.25">
      <c r="B57" s="77" t="s">
        <v>63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2"/>
      <c r="P57" s="3"/>
    </row>
    <row r="58" spans="2:21" x14ac:dyDescent="0.25">
      <c r="B58" s="70" t="s">
        <v>64</v>
      </c>
      <c r="C58" s="124">
        <v>0</v>
      </c>
      <c r="D58" s="71"/>
      <c r="E58" s="78" t="s">
        <v>73</v>
      </c>
      <c r="F58" s="81">
        <f>C61*-1</f>
        <v>0.15555555555555561</v>
      </c>
      <c r="G58" s="71" t="s">
        <v>75</v>
      </c>
      <c r="H58" s="71"/>
      <c r="I58" s="71"/>
      <c r="J58" s="71"/>
      <c r="K58" s="71"/>
      <c r="L58" s="71"/>
      <c r="M58" s="71"/>
      <c r="N58" s="71"/>
      <c r="O58" s="72"/>
      <c r="P58" s="3"/>
    </row>
    <row r="59" spans="2:21" x14ac:dyDescent="0.25">
      <c r="B59" s="70" t="s">
        <v>65</v>
      </c>
      <c r="C59" s="124">
        <f>C58 + ((POWER(C46,3) * C50) / 6) + ((C46*C46* (C44 - (C50 * C46))) / 2) + ((((C50 * C46) - (2 * C44)) * C46*C46) / 2)</f>
        <v>0</v>
      </c>
      <c r="D59" s="71"/>
      <c r="E59" s="78" t="s">
        <v>74</v>
      </c>
      <c r="F59" s="82">
        <f>(((-1 * C55 * C43*C43) / 2) + (C60 * C43) + C63)*-1</f>
        <v>-0.17777777777777781</v>
      </c>
      <c r="G59" s="71" t="s">
        <v>76</v>
      </c>
      <c r="H59" s="71"/>
      <c r="I59" s="71"/>
      <c r="J59" s="71"/>
      <c r="K59" s="71"/>
      <c r="L59" s="71"/>
      <c r="M59" s="71"/>
      <c r="N59" s="71"/>
      <c r="O59" s="72"/>
    </row>
    <row r="60" spans="2:21" x14ac:dyDescent="0.25">
      <c r="B60" s="70" t="s">
        <v>66</v>
      </c>
      <c r="C60" s="124">
        <f>C55*C43</f>
        <v>1.3333333333333333</v>
      </c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2"/>
    </row>
    <row r="61" spans="2:21" x14ac:dyDescent="0.25">
      <c r="B61" s="70" t="s">
        <v>72</v>
      </c>
      <c r="C61" s="124">
        <f>((-1 * POWER(C46,4) *C50) / 24) - ((POWER(C46,3) * (C44 - (C50 * C46))) / 6) - ((((C50 * C46) - (2 * C44)) * POWER(C46,3)) / 4) + (C59* C46) + C62 - (C58 * C46)</f>
        <v>-0.15555555555555561</v>
      </c>
      <c r="D61" s="71"/>
      <c r="E61" s="71" t="s">
        <v>77</v>
      </c>
      <c r="F61" s="120">
        <f>(-1*C43)/3</f>
        <v>-0.66666666666666663</v>
      </c>
      <c r="G61" s="121">
        <f>C43/6</f>
        <v>0.33333333333333331</v>
      </c>
      <c r="H61" s="71" t="s">
        <v>81</v>
      </c>
      <c r="I61" s="71"/>
      <c r="J61" s="71"/>
      <c r="K61" s="71"/>
      <c r="L61" s="71"/>
      <c r="M61" s="71"/>
      <c r="N61" s="71"/>
      <c r="O61" s="72"/>
    </row>
    <row r="62" spans="2:21" x14ac:dyDescent="0.25">
      <c r="B62" s="70" t="s">
        <v>71</v>
      </c>
      <c r="C62" s="124">
        <f>((-1 * C55 * C47*C47) / 2) + (C60 *C47) + C63 - ((C54 * C47*C47) / 2) + ((POWER(C47,4) *C50) / 24) + ((POWER(C47,3)* (C44 - (C50 * C46))) / 6) + ((((C50 * C46) - (2 * C44)) *C46 *C47*C47) / 4) - (C59 * C47)</f>
        <v>-0.15555555555555561</v>
      </c>
      <c r="D62" s="71"/>
      <c r="E62" s="80" t="s">
        <v>78</v>
      </c>
      <c r="F62" s="122">
        <f>C43/6</f>
        <v>0.33333333333333331</v>
      </c>
      <c r="G62" s="123">
        <f>(-1*C43)/3</f>
        <v>-0.66666666666666663</v>
      </c>
      <c r="H62" s="71"/>
      <c r="I62" s="71"/>
      <c r="J62" s="71"/>
      <c r="K62" s="71"/>
      <c r="L62" s="71"/>
      <c r="M62" s="71"/>
      <c r="N62" s="71"/>
      <c r="O62" s="72"/>
    </row>
    <row r="63" spans="2:21" x14ac:dyDescent="0.25">
      <c r="B63" s="70" t="s">
        <v>70</v>
      </c>
      <c r="C63" s="124">
        <f>(((C55 * C43*C43*C43) / 6) - ((C60 * C43*C43) / 2) - C66) / C43</f>
        <v>-1.1555555555555554</v>
      </c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2"/>
    </row>
    <row r="64" spans="2:21" x14ac:dyDescent="0.25">
      <c r="B64" s="70" t="s">
        <v>67</v>
      </c>
      <c r="C64" s="124">
        <v>0</v>
      </c>
      <c r="D64" s="71"/>
      <c r="E64" s="87" t="s">
        <v>51</v>
      </c>
      <c r="F64" s="88" cm="1">
        <f t="array" ref="F64:F65">MMULT(MINVERSE(F61:G62),F58:F59)</f>
        <v>-0.13333333333333341</v>
      </c>
      <c r="G64" s="89" t="s">
        <v>46</v>
      </c>
      <c r="H64" s="71" t="s">
        <v>47</v>
      </c>
      <c r="I64" s="71"/>
      <c r="J64" s="71"/>
      <c r="K64" s="71"/>
      <c r="L64" s="71"/>
      <c r="M64" s="71"/>
      <c r="N64" s="71"/>
      <c r="O64" s="72"/>
    </row>
    <row r="65" spans="2:15" x14ac:dyDescent="0.25">
      <c r="B65" s="70" t="s">
        <v>68</v>
      </c>
      <c r="C65" s="124">
        <f>((-1 * C58 * C46*C46) / 2) - ((POWER(C46,5) *C50) / 30) - ((POWER(C46,4) * (C44 - (C50 * C46))) / 8) - ((((C50 * C46) - (2 * C44)) * POWER(C46,4)) / 6) + ((C59 * C46*C46) / 2) + C64</f>
        <v>0</v>
      </c>
      <c r="D65" s="71"/>
      <c r="E65" s="90" t="s">
        <v>52</v>
      </c>
      <c r="F65" s="91">
        <v>0.2</v>
      </c>
      <c r="G65" s="92" t="s">
        <v>46</v>
      </c>
      <c r="H65" s="71" t="s">
        <v>47</v>
      </c>
      <c r="I65" s="71"/>
      <c r="J65" s="71"/>
      <c r="K65" s="71"/>
      <c r="L65" s="71"/>
      <c r="M65" s="71"/>
      <c r="N65" s="71"/>
      <c r="O65" s="72"/>
    </row>
    <row r="66" spans="2:15" x14ac:dyDescent="0.25">
      <c r="B66" s="70" t="s">
        <v>69</v>
      </c>
      <c r="C66" s="124">
        <f>((-1 * C54* POWER(C47,3)) / 3) + ((POWER(C47,5)* C50) / 30) + ((POWER(C47, 4) * (C44 - (C50 * C46))) / 8) + ((((C50 * C46) - (2 * C44)) * C46 * POWER(C47,3)) / 6) - ((C59 *C47*C47) / 2) + C65 - ((C55* POWER(C47,3)) / 3) + ((C60 * C47*C47) / 2)</f>
        <v>0.53333333333333321</v>
      </c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2"/>
    </row>
    <row r="67" spans="2:15" ht="15.75" thickBot="1" x14ac:dyDescent="0.3">
      <c r="B67" s="79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5"/>
    </row>
    <row r="68" spans="2:15" ht="15.75" thickBot="1" x14ac:dyDescent="0.3"/>
    <row r="69" spans="2:15" x14ac:dyDescent="0.25">
      <c r="B69" s="98" t="s">
        <v>94</v>
      </c>
      <c r="C69" s="68"/>
      <c r="D69" s="68"/>
      <c r="E69" s="68"/>
      <c r="F69" s="68"/>
      <c r="G69" s="68"/>
      <c r="H69" s="68"/>
      <c r="I69" s="68"/>
      <c r="J69" s="68"/>
      <c r="K69" s="69"/>
    </row>
    <row r="70" spans="2:15" x14ac:dyDescent="0.25">
      <c r="B70" s="99" t="s">
        <v>37</v>
      </c>
      <c r="C70" s="106">
        <v>10</v>
      </c>
      <c r="D70" s="71" t="s">
        <v>1</v>
      </c>
      <c r="E70" s="71"/>
      <c r="F70" s="71"/>
      <c r="G70" s="39" t="s">
        <v>4</v>
      </c>
      <c r="H70" s="39" t="s">
        <v>5</v>
      </c>
      <c r="I70" s="39" t="s">
        <v>8</v>
      </c>
      <c r="J70" s="39" t="s">
        <v>9</v>
      </c>
      <c r="K70" s="72"/>
    </row>
    <row r="71" spans="2:15" x14ac:dyDescent="0.25">
      <c r="B71" s="99" t="s">
        <v>95</v>
      </c>
      <c r="C71" s="106">
        <v>0</v>
      </c>
      <c r="D71" s="107" t="s">
        <v>97</v>
      </c>
      <c r="E71" s="108">
        <f>C71/12</f>
        <v>0</v>
      </c>
      <c r="F71" s="71" t="s">
        <v>1</v>
      </c>
      <c r="G71" s="106">
        <v>1</v>
      </c>
      <c r="H71" s="106">
        <v>1</v>
      </c>
      <c r="I71" s="39">
        <f>G71*144</f>
        <v>144</v>
      </c>
      <c r="J71" s="71">
        <f>H71/POWER(12,4)</f>
        <v>4.8225308641975306E-5</v>
      </c>
      <c r="K71" s="72"/>
    </row>
    <row r="72" spans="2:15" x14ac:dyDescent="0.25">
      <c r="B72" s="99" t="s">
        <v>96</v>
      </c>
      <c r="C72" s="106">
        <v>3</v>
      </c>
      <c r="D72" s="107" t="s">
        <v>97</v>
      </c>
      <c r="E72" s="108">
        <f>C72/12</f>
        <v>0.25</v>
      </c>
      <c r="F72" s="71" t="s">
        <v>1</v>
      </c>
      <c r="G72" s="71"/>
      <c r="H72" s="71"/>
      <c r="I72" s="78" t="s">
        <v>129</v>
      </c>
      <c r="J72" s="71">
        <f>I71*J71</f>
        <v>6.9444444444444441E-3</v>
      </c>
      <c r="K72" s="72" t="s">
        <v>130</v>
      </c>
    </row>
    <row r="73" spans="2:15" x14ac:dyDescent="0.25">
      <c r="B73" s="73"/>
      <c r="C73" s="71"/>
      <c r="D73" s="71"/>
      <c r="E73" s="71"/>
      <c r="F73" s="71"/>
      <c r="G73" s="71"/>
      <c r="H73" s="71"/>
      <c r="I73" s="71"/>
      <c r="J73" s="71"/>
      <c r="K73" s="72"/>
    </row>
    <row r="74" spans="2:15" x14ac:dyDescent="0.25">
      <c r="B74" s="99" t="s">
        <v>124</v>
      </c>
      <c r="C74" s="39">
        <f>((E72-E71)/C70)*J72</f>
        <v>1.7361111111111112E-4</v>
      </c>
      <c r="D74" s="80" t="s">
        <v>98</v>
      </c>
      <c r="E74" s="71"/>
      <c r="F74" s="71"/>
      <c r="G74" s="71"/>
      <c r="H74" s="71"/>
      <c r="I74" s="71"/>
      <c r="J74" s="71"/>
      <c r="K74" s="72"/>
    </row>
    <row r="75" spans="2:15" x14ac:dyDescent="0.25">
      <c r="B75" s="73"/>
      <c r="C75" s="71"/>
      <c r="D75" s="71"/>
      <c r="E75" s="71"/>
      <c r="F75" s="71"/>
      <c r="G75" s="71"/>
      <c r="H75" s="71"/>
      <c r="I75" s="71"/>
      <c r="J75" s="71"/>
      <c r="K75" s="72"/>
    </row>
    <row r="76" spans="2:15" x14ac:dyDescent="0.25">
      <c r="B76" s="70" t="s">
        <v>125</v>
      </c>
      <c r="C76" s="138">
        <f>-1*C74</f>
        <v>-1.7361111111111112E-4</v>
      </c>
      <c r="D76" s="71" t="s">
        <v>75</v>
      </c>
      <c r="E76" s="71"/>
      <c r="F76" s="71"/>
      <c r="G76" s="71"/>
      <c r="H76" s="71"/>
      <c r="I76" s="71"/>
      <c r="J76" s="71"/>
      <c r="K76" s="72"/>
    </row>
    <row r="77" spans="2:15" x14ac:dyDescent="0.25">
      <c r="B77" s="70" t="s">
        <v>126</v>
      </c>
      <c r="C77" s="138">
        <f>-1*C74</f>
        <v>-1.7361111111111112E-4</v>
      </c>
      <c r="D77" s="71" t="s">
        <v>76</v>
      </c>
      <c r="E77" s="71"/>
      <c r="F77" s="71"/>
      <c r="G77" s="71"/>
      <c r="H77" s="71"/>
      <c r="I77" s="71"/>
      <c r="J77" s="71"/>
      <c r="K77" s="72"/>
    </row>
    <row r="78" spans="2:15" x14ac:dyDescent="0.25">
      <c r="B78" s="73"/>
      <c r="C78" s="71"/>
      <c r="D78" s="71"/>
      <c r="E78" s="71"/>
      <c r="F78" s="71"/>
      <c r="G78" s="71"/>
      <c r="H78" s="71"/>
      <c r="I78" s="71"/>
      <c r="J78" s="71"/>
      <c r="K78" s="72"/>
    </row>
    <row r="79" spans="2:15" x14ac:dyDescent="0.25">
      <c r="B79" s="70" t="s">
        <v>127</v>
      </c>
      <c r="C79" s="86">
        <f>(-1*C70)/(3)</f>
        <v>-3.3333333333333335</v>
      </c>
      <c r="D79" s="86">
        <f>C70/(6)</f>
        <v>1.6666666666666667</v>
      </c>
      <c r="E79" s="71" t="s">
        <v>81</v>
      </c>
      <c r="F79" s="71"/>
      <c r="G79" s="71"/>
      <c r="H79" s="71"/>
      <c r="I79" s="71"/>
      <c r="J79" s="71"/>
      <c r="K79" s="72"/>
    </row>
    <row r="80" spans="2:15" x14ac:dyDescent="0.25">
      <c r="B80" s="99" t="s">
        <v>128</v>
      </c>
      <c r="C80" s="86">
        <f>C70/(6)</f>
        <v>1.6666666666666667</v>
      </c>
      <c r="D80" s="86">
        <f>(-1*C70)/(3)</f>
        <v>-3.3333333333333335</v>
      </c>
      <c r="E80" s="71"/>
      <c r="F80" s="71"/>
      <c r="G80" s="71"/>
      <c r="H80" s="71"/>
      <c r="I80" s="71"/>
      <c r="J80" s="71"/>
      <c r="K80" s="72"/>
    </row>
    <row r="81" spans="2:11" x14ac:dyDescent="0.25">
      <c r="B81" s="73"/>
      <c r="C81" s="71"/>
      <c r="D81" s="71"/>
      <c r="E81" s="71"/>
      <c r="F81" s="71"/>
      <c r="G81" s="71"/>
      <c r="H81" s="71"/>
      <c r="I81" s="71"/>
      <c r="J81" s="71"/>
      <c r="K81" s="72"/>
    </row>
    <row r="82" spans="2:11" x14ac:dyDescent="0.25">
      <c r="B82" s="141" t="s">
        <v>51</v>
      </c>
      <c r="C82" s="139" cm="1">
        <f t="array" ref="C82:C83">MMULT(MINVERSE(C79:D80),C76:C77)</f>
        <v>1.0416666666666666E-4</v>
      </c>
      <c r="D82" s="140" t="s">
        <v>46</v>
      </c>
      <c r="E82" s="71" t="s">
        <v>47</v>
      </c>
      <c r="F82" s="71"/>
      <c r="G82" s="71"/>
      <c r="H82" s="71"/>
      <c r="I82" s="143">
        <f>(6*J72*E72)/(C70*C70)</f>
        <v>1.0416666666666666E-4</v>
      </c>
      <c r="J82" s="71"/>
      <c r="K82" s="72"/>
    </row>
    <row r="83" spans="2:11" x14ac:dyDescent="0.25">
      <c r="B83" s="141" t="s">
        <v>52</v>
      </c>
      <c r="C83" s="139">
        <v>1.0416666666666666E-4</v>
      </c>
      <c r="D83" s="140" t="s">
        <v>46</v>
      </c>
      <c r="E83" s="71" t="s">
        <v>47</v>
      </c>
      <c r="F83" s="71"/>
      <c r="G83" s="71"/>
      <c r="H83" s="71"/>
      <c r="I83" s="71"/>
      <c r="J83" s="71"/>
      <c r="K83" s="72"/>
    </row>
    <row r="84" spans="2:11" ht="15.75" thickBot="1" x14ac:dyDescent="0.3">
      <c r="B84" s="79"/>
      <c r="C84" s="74"/>
      <c r="D84" s="74"/>
      <c r="E84" s="74"/>
      <c r="F84" s="74"/>
      <c r="G84" s="74"/>
      <c r="H84" s="74"/>
      <c r="I84" s="74"/>
      <c r="J84" s="74"/>
      <c r="K84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License</vt:lpstr>
      <vt:lpstr>3 Span Moment Distribution</vt:lpstr>
      <vt:lpstr>2 Span Moment Distribution</vt:lpstr>
      <vt:lpstr>FEM 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Bockoven</dc:creator>
  <cp:lastModifiedBy>Don Bockoven</cp:lastModifiedBy>
  <dcterms:created xsi:type="dcterms:W3CDTF">2020-01-22T20:27:15Z</dcterms:created>
  <dcterms:modified xsi:type="dcterms:W3CDTF">2020-03-10T21:20:35Z</dcterms:modified>
</cp:coreProperties>
</file>