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7" l="1"/>
  <c r="G39" i="17"/>
  <c r="G40" i="17"/>
  <c r="G41" i="17"/>
  <c r="G42" i="17"/>
  <c r="G37" i="17"/>
  <c r="G16" i="15"/>
  <c r="G19" i="15"/>
  <c r="E5" i="15"/>
  <c r="E28" i="15" l="1"/>
  <c r="AB16" i="15"/>
  <c r="AA18" i="15"/>
  <c r="AO6" i="17" l="1"/>
  <c r="AO13" i="17" s="1"/>
  <c r="AO20" i="17" s="1"/>
  <c r="AO27" i="17" s="1"/>
  <c r="AO34" i="17" s="1"/>
  <c r="AO7" i="17"/>
  <c r="AO14" i="17" s="1"/>
  <c r="AO21" i="17" s="1"/>
  <c r="AO28" i="17" s="1"/>
  <c r="AO8" i="17"/>
  <c r="AO15" i="17" s="1"/>
  <c r="AO22" i="17" s="1"/>
  <c r="AO29" i="17" s="1"/>
  <c r="AO9" i="17"/>
  <c r="AO16" i="17" s="1"/>
  <c r="AO23" i="17" s="1"/>
  <c r="AO30" i="17" s="1"/>
  <c r="AO10" i="17"/>
  <c r="AO17" i="17" s="1"/>
  <c r="AO24" i="17" s="1"/>
  <c r="AO31" i="17" s="1"/>
  <c r="AO11" i="17"/>
  <c r="AO18" i="17" s="1"/>
  <c r="AO25" i="17" s="1"/>
  <c r="AO32" i="17" s="1"/>
  <c r="AO12" i="17"/>
  <c r="AO19" i="17" s="1"/>
  <c r="AO26" i="17" s="1"/>
  <c r="AO33" i="17" s="1"/>
  <c r="AO5" i="17"/>
  <c r="V37" i="17" l="1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V9" i="17" l="1"/>
  <c r="AV7" i="17" l="1"/>
  <c r="AV8" i="17"/>
  <c r="AV10" i="17"/>
  <c r="AV11" i="17"/>
  <c r="AV12" i="17"/>
  <c r="AV6" i="17"/>
  <c r="AV5" i="17"/>
  <c r="AW31" i="17"/>
  <c r="AW27" i="17"/>
  <c r="AW28" i="17"/>
  <c r="AW29" i="17"/>
  <c r="AW30" i="17"/>
  <c r="AW26" i="17"/>
  <c r="AW21" i="17"/>
  <c r="AW22" i="17"/>
  <c r="AW23" i="17"/>
  <c r="AW24" i="17"/>
  <c r="AW25" i="17"/>
  <c r="AW20" i="17"/>
  <c r="AW14" i="17"/>
  <c r="AW15" i="17"/>
  <c r="AW16" i="17"/>
  <c r="AW17" i="17"/>
  <c r="AW32" i="17" s="1"/>
  <c r="AW18" i="17"/>
  <c r="AW33" i="17" s="1"/>
  <c r="AW19" i="17"/>
  <c r="AW13" i="17"/>
  <c r="AV13" i="17" s="1"/>
  <c r="AR37" i="17"/>
  <c r="AR6" i="17"/>
  <c r="AA40" i="17"/>
  <c r="AW34" i="17" l="1"/>
  <c r="F3" i="18" l="1"/>
  <c r="AQ37" i="17" l="1"/>
  <c r="AS37" i="17" s="1"/>
  <c r="J53" i="17"/>
  <c r="AR5" i="17"/>
  <c r="P50" i="17" l="1"/>
  <c r="BB12" i="17" l="1"/>
  <c r="BB11" i="17"/>
  <c r="BB10" i="17"/>
  <c r="BB9" i="17"/>
  <c r="BB8" i="17"/>
  <c r="BB7" i="17"/>
  <c r="BB6" i="17"/>
  <c r="BB5" i="17"/>
  <c r="AU34" i="17" l="1"/>
  <c r="AV34" i="17" s="1"/>
  <c r="AU33" i="17"/>
  <c r="AV33" i="17" s="1"/>
  <c r="AU32" i="17"/>
  <c r="AV32" i="17" s="1"/>
  <c r="AU31" i="17"/>
  <c r="AV31" i="17" s="1"/>
  <c r="AU30" i="17"/>
  <c r="AV30" i="17" s="1"/>
  <c r="AU29" i="17"/>
  <c r="AV29" i="17" s="1"/>
  <c r="AU28" i="17"/>
  <c r="AV28" i="17" s="1"/>
  <c r="AU27" i="17"/>
  <c r="AV27" i="17" s="1"/>
  <c r="AU26" i="17"/>
  <c r="AV26" i="17" s="1"/>
  <c r="AU25" i="17"/>
  <c r="AV25" i="17" s="1"/>
  <c r="AU24" i="17"/>
  <c r="AV24" i="17" s="1"/>
  <c r="AU23" i="17"/>
  <c r="AV23" i="17" s="1"/>
  <c r="AU22" i="17"/>
  <c r="AV22" i="17" s="1"/>
  <c r="AU21" i="17"/>
  <c r="AV21" i="17" s="1"/>
  <c r="AU20" i="17"/>
  <c r="AV20" i="17" s="1"/>
  <c r="AU19" i="17"/>
  <c r="AV19" i="17" s="1"/>
  <c r="AU18" i="17"/>
  <c r="AV18" i="17" s="1"/>
  <c r="AU17" i="17"/>
  <c r="AV17" i="17" s="1"/>
  <c r="AU16" i="17"/>
  <c r="AV16" i="17" s="1"/>
  <c r="AU15" i="17"/>
  <c r="AV15" i="17" s="1"/>
  <c r="AU14" i="17"/>
  <c r="AV14" i="17" s="1"/>
  <c r="AW6" i="15"/>
  <c r="AW7" i="15"/>
  <c r="AW8" i="15"/>
  <c r="AW9" i="15"/>
  <c r="AW10" i="15"/>
  <c r="AW11" i="15"/>
  <c r="AW12" i="15"/>
  <c r="AW5" i="15"/>
  <c r="AS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AR7" i="17"/>
  <c r="AR8" i="17"/>
  <c r="AR9" i="17"/>
  <c r="AR10" i="17"/>
  <c r="AR11" i="17"/>
  <c r="AR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E53" i="17"/>
  <c r="AS12" i="17" s="1"/>
  <c r="AW47" i="17"/>
  <c r="AX45" i="17"/>
  <c r="AA42" i="17"/>
  <c r="J42" i="17"/>
  <c r="AA41" i="17"/>
  <c r="J41" i="17"/>
  <c r="J40" i="17"/>
  <c r="AA39" i="17"/>
  <c r="J39" i="17"/>
  <c r="AS38" i="17"/>
  <c r="AB38" i="17"/>
  <c r="E50" i="17" s="1"/>
  <c r="AA38" i="17"/>
  <c r="J38" i="17"/>
  <c r="AA37" i="17"/>
  <c r="J37" i="17"/>
  <c r="BD12" i="17"/>
  <c r="AI12" i="17"/>
  <c r="AI19" i="17" s="1"/>
  <c r="AY12" i="17"/>
  <c r="AM12" i="17"/>
  <c r="AM19" i="17" s="1"/>
  <c r="BD11" i="17"/>
  <c r="AI11" i="17"/>
  <c r="AI33" i="17" s="1"/>
  <c r="AY11" i="17"/>
  <c r="AM11" i="17"/>
  <c r="AM18" i="17" s="1"/>
  <c r="BD10" i="17"/>
  <c r="AI10" i="17"/>
  <c r="AL10" i="17" s="1"/>
  <c r="AL23" i="17" s="1"/>
  <c r="AY10" i="17"/>
  <c r="AM10" i="17"/>
  <c r="BD9" i="17"/>
  <c r="AI9" i="17"/>
  <c r="AI31" i="17" s="1"/>
  <c r="AY9" i="17"/>
  <c r="AM9" i="17"/>
  <c r="AM16" i="17" s="1"/>
  <c r="BD8" i="17"/>
  <c r="AI8" i="17"/>
  <c r="AY8" i="17"/>
  <c r="AM8" i="17"/>
  <c r="AM15" i="17" s="1"/>
  <c r="BD7" i="17"/>
  <c r="AI7" i="17"/>
  <c r="AL7" i="17" s="1"/>
  <c r="AL20" i="17" s="1"/>
  <c r="AY7" i="17"/>
  <c r="AM7" i="17"/>
  <c r="AM14" i="17" s="1"/>
  <c r="BD6" i="17"/>
  <c r="AJ6" i="17" s="1"/>
  <c r="AM6" i="17" s="1"/>
  <c r="AM13" i="17" s="1"/>
  <c r="BD5" i="17"/>
  <c r="AJ5" i="17" s="1"/>
  <c r="AM5" i="17" s="1"/>
  <c r="J5" i="17"/>
  <c r="J6" i="17" s="1"/>
  <c r="J13" i="17" s="1"/>
  <c r="G5" i="17"/>
  <c r="E2" i="17"/>
  <c r="E7" i="17" s="1"/>
  <c r="E20" i="17" s="1"/>
  <c r="AS8" i="17" l="1"/>
  <c r="AS6" i="17"/>
  <c r="AS5" i="17"/>
  <c r="AT5" i="17" s="1"/>
  <c r="AI30" i="17"/>
  <c r="AI24" i="17"/>
  <c r="F54" i="17"/>
  <c r="P54" i="17"/>
  <c r="AI34" i="17"/>
  <c r="AS9" i="17"/>
  <c r="AS27" i="17" s="1"/>
  <c r="AS11" i="17"/>
  <c r="AS24" i="17" s="1"/>
  <c r="AJ13" i="17"/>
  <c r="P64" i="17"/>
  <c r="AS7" i="17"/>
  <c r="AS14" i="17" s="1"/>
  <c r="AS10" i="17"/>
  <c r="AS32" i="17" s="1"/>
  <c r="AS26" i="17"/>
  <c r="AS15" i="17"/>
  <c r="AS21" i="17"/>
  <c r="AS13" i="17"/>
  <c r="AT6" i="17"/>
  <c r="AT13" i="17" s="1"/>
  <c r="AS19" i="17"/>
  <c r="AS25" i="17"/>
  <c r="AS34" i="17"/>
  <c r="AS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Y6" i="17"/>
  <c r="J7" i="17"/>
  <c r="AZ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Y5" i="17"/>
  <c r="K5" i="17"/>
  <c r="AZ5" i="17"/>
  <c r="AK10" i="17"/>
  <c r="AG10" i="17" s="1"/>
  <c r="W38" i="17"/>
  <c r="X38" i="17" s="1"/>
  <c r="K37" i="17"/>
  <c r="E6" i="17"/>
  <c r="E13" i="17" s="1"/>
  <c r="E9" i="17"/>
  <c r="K42" i="17"/>
  <c r="K39" i="17"/>
  <c r="AS23" i="17" l="1"/>
  <c r="AS17" i="17"/>
  <c r="AS20" i="17"/>
  <c r="AC37" i="17"/>
  <c r="AS33" i="17"/>
  <c r="AS18" i="17"/>
  <c r="AS28" i="17"/>
  <c r="AG27" i="17"/>
  <c r="AG16" i="17"/>
  <c r="AG22" i="17"/>
  <c r="AG31" i="17"/>
  <c r="AG20" i="17"/>
  <c r="AG14" i="17"/>
  <c r="AT9" i="17"/>
  <c r="AH9" i="17" s="1"/>
  <c r="AS31" i="17"/>
  <c r="AG15" i="17"/>
  <c r="AG26" i="17"/>
  <c r="AG21" i="17"/>
  <c r="AS16" i="17"/>
  <c r="AS22" i="17"/>
  <c r="AG33" i="17"/>
  <c r="AG24" i="17"/>
  <c r="AG29" i="17"/>
  <c r="AG18" i="17"/>
  <c r="AS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T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A6" i="17"/>
  <c r="AK16" i="17"/>
  <c r="AK22" i="17"/>
  <c r="AK27" i="17"/>
  <c r="AK31" i="17"/>
  <c r="M39" i="17"/>
  <c r="L39" i="17"/>
  <c r="K7" i="17"/>
  <c r="AZ7" i="17"/>
  <c r="BA7" i="17" s="1"/>
  <c r="J8" i="17"/>
  <c r="BA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AP9" i="17" l="1"/>
  <c r="AP11" i="17"/>
  <c r="AQ11" i="17" s="1"/>
  <c r="AD42" i="17"/>
  <c r="AE42" i="17" s="1"/>
  <c r="AD37" i="17"/>
  <c r="AD40" i="17"/>
  <c r="AE40" i="17" s="1"/>
  <c r="AF7" i="17"/>
  <c r="AT7" i="17"/>
  <c r="AD41" i="17"/>
  <c r="AE41" i="17" s="1"/>
  <c r="AD39" i="17"/>
  <c r="AE39" i="17" s="1"/>
  <c r="AT8" i="17"/>
  <c r="AT12" i="17"/>
  <c r="AT10" i="17"/>
  <c r="AT16" i="17"/>
  <c r="AT31" i="17"/>
  <c r="AT22" i="17"/>
  <c r="AT27" i="17"/>
  <c r="AT18" i="17"/>
  <c r="AT33" i="17"/>
  <c r="AT29" i="17"/>
  <c r="AT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Q9" i="17"/>
  <c r="AL5" i="17"/>
  <c r="AN5" i="17" s="1"/>
  <c r="AK5" i="17"/>
  <c r="J9" i="17"/>
  <c r="AZ8" i="17"/>
  <c r="BA8" i="17" s="1"/>
  <c r="K8" i="17"/>
  <c r="AE37" i="17" l="1"/>
  <c r="Y45" i="17"/>
  <c r="AP31" i="17"/>
  <c r="AP29" i="17"/>
  <c r="AQ29" i="17" s="1"/>
  <c r="AP16" i="17"/>
  <c r="AQ16" i="17" s="1"/>
  <c r="AP27" i="17"/>
  <c r="AQ27" i="17" s="1"/>
  <c r="AP22" i="17"/>
  <c r="AQ22" i="17" s="1"/>
  <c r="AP18" i="17"/>
  <c r="AQ18" i="17" s="1"/>
  <c r="AF14" i="17"/>
  <c r="AP24" i="17"/>
  <c r="AQ24" i="17" s="1"/>
  <c r="AG5" i="17"/>
  <c r="AP33" i="17"/>
  <c r="AQ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Q31" i="17"/>
  <c r="AT14" i="17"/>
  <c r="AT20" i="17"/>
  <c r="AH7" i="17"/>
  <c r="AP7" i="17" s="1"/>
  <c r="AT17" i="17"/>
  <c r="AT23" i="17"/>
  <c r="AT32" i="17"/>
  <c r="AT28" i="17"/>
  <c r="AH10" i="17"/>
  <c r="AP10" i="17" s="1"/>
  <c r="AT34" i="17"/>
  <c r="AT25" i="17"/>
  <c r="AT30" i="17"/>
  <c r="AT19" i="17"/>
  <c r="AH12" i="17"/>
  <c r="AP12" i="17" s="1"/>
  <c r="AH8" i="17"/>
  <c r="AP8" i="17" s="1"/>
  <c r="AQ8" i="17" s="1"/>
  <c r="AT26" i="17"/>
  <c r="AT15" i="17"/>
  <c r="AT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Z9" i="17"/>
  <c r="BA9" i="17" s="1"/>
  <c r="J10" i="17"/>
  <c r="K9" i="17"/>
  <c r="AA16" i="15"/>
  <c r="AA17" i="15"/>
  <c r="AA19" i="15"/>
  <c r="N19" i="15" s="1"/>
  <c r="AA20" i="15"/>
  <c r="AA15" i="15"/>
  <c r="AR15" i="15"/>
  <c r="T31" i="15"/>
  <c r="J31" i="15"/>
  <c r="G31" i="15"/>
  <c r="F31" i="15"/>
  <c r="E31" i="15"/>
  <c r="AW25" i="15"/>
  <c r="AX23" i="15"/>
  <c r="J20" i="15"/>
  <c r="J19" i="15"/>
  <c r="K19" i="15" s="1"/>
  <c r="J18" i="15"/>
  <c r="J17" i="15"/>
  <c r="AT16" i="15"/>
  <c r="J16" i="15"/>
  <c r="O16" i="15" s="1"/>
  <c r="J15" i="15"/>
  <c r="BD12" i="15"/>
  <c r="BB12" i="15"/>
  <c r="AI12" i="15" s="1"/>
  <c r="AL12" i="15" s="1"/>
  <c r="AY12" i="15"/>
  <c r="AM12" i="15"/>
  <c r="BD11" i="15"/>
  <c r="BB11" i="15"/>
  <c r="AI11" i="15" s="1"/>
  <c r="AY11" i="15"/>
  <c r="AM11" i="15"/>
  <c r="BD10" i="15"/>
  <c r="BB10" i="15"/>
  <c r="AI10" i="15" s="1"/>
  <c r="AK10" i="15" s="1"/>
  <c r="AY10" i="15"/>
  <c r="AM10" i="15"/>
  <c r="BD9" i="15"/>
  <c r="BB9" i="15"/>
  <c r="AI9" i="15" s="1"/>
  <c r="AK9" i="15" s="1"/>
  <c r="AY9" i="15"/>
  <c r="AM9" i="15"/>
  <c r="BD8" i="15"/>
  <c r="BB8" i="15"/>
  <c r="AY8" i="15"/>
  <c r="AM8" i="15"/>
  <c r="AI8" i="15"/>
  <c r="AK8" i="15" s="1"/>
  <c r="AG8" i="15" s="1"/>
  <c r="BD7" i="15"/>
  <c r="BB7" i="15"/>
  <c r="AI7" i="15" s="1"/>
  <c r="AK7" i="15" s="1"/>
  <c r="AG7" i="15" s="1"/>
  <c r="AY7" i="15"/>
  <c r="AM7" i="15"/>
  <c r="BD6" i="15"/>
  <c r="AJ6" i="15" s="1"/>
  <c r="AM6" i="15" s="1"/>
  <c r="BB6" i="15"/>
  <c r="AI6" i="15" s="1"/>
  <c r="AK6" i="15" s="1"/>
  <c r="AG6" i="15" s="1"/>
  <c r="BD5" i="15"/>
  <c r="AJ5" i="15" s="1"/>
  <c r="AM5" i="15" s="1"/>
  <c r="BB5" i="15"/>
  <c r="J5" i="15"/>
  <c r="K5" i="15" s="1"/>
  <c r="G5" i="15"/>
  <c r="E2" i="15"/>
  <c r="O20" i="15" l="1"/>
  <c r="N17" i="15"/>
  <c r="W16" i="15"/>
  <c r="X16" i="15" s="1"/>
  <c r="AP5" i="17"/>
  <c r="W20" i="15"/>
  <c r="X20" i="15" s="1"/>
  <c r="AE9" i="15"/>
  <c r="AG9" i="15"/>
  <c r="AT6" i="15"/>
  <c r="AT9" i="15"/>
  <c r="AT7" i="15"/>
  <c r="AT8" i="15"/>
  <c r="AT10" i="15"/>
  <c r="AT11" i="15"/>
  <c r="AT12" i="15"/>
  <c r="AT5" i="15"/>
  <c r="N15" i="15"/>
  <c r="AE10" i="15"/>
  <c r="AG10" i="15"/>
  <c r="O18" i="15"/>
  <c r="N18" i="15"/>
  <c r="W15" i="15"/>
  <c r="X15" i="15" s="1"/>
  <c r="AC15" i="15" s="1"/>
  <c r="Q15" i="15" s="1"/>
  <c r="O19" i="15"/>
  <c r="AN12" i="15"/>
  <c r="N16" i="15"/>
  <c r="AH32" i="17"/>
  <c r="AH17" i="17"/>
  <c r="AH28" i="17"/>
  <c r="AH23" i="17"/>
  <c r="AP23" i="17" s="1"/>
  <c r="AH21" i="17"/>
  <c r="AH15" i="17"/>
  <c r="AH26" i="17"/>
  <c r="AH30" i="17"/>
  <c r="AH34" i="17"/>
  <c r="AH25" i="17"/>
  <c r="AH19" i="17"/>
  <c r="AP19" i="17" s="1"/>
  <c r="AQ7" i="17"/>
  <c r="AH14" i="17"/>
  <c r="AP14" i="17" s="1"/>
  <c r="AH20" i="17"/>
  <c r="AQ10" i="17"/>
  <c r="AQ12" i="17"/>
  <c r="K31" i="17"/>
  <c r="K27" i="17"/>
  <c r="K22" i="17"/>
  <c r="K16" i="17"/>
  <c r="J23" i="17"/>
  <c r="J28" i="17"/>
  <c r="J17" i="17"/>
  <c r="J32" i="17"/>
  <c r="J11" i="17"/>
  <c r="K10" i="17"/>
  <c r="AZ10" i="17"/>
  <c r="BA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T15" i="15"/>
  <c r="AE7" i="15"/>
  <c r="AE8" i="15"/>
  <c r="AE6" i="15"/>
  <c r="AY5" i="15"/>
  <c r="J6" i="15"/>
  <c r="AZ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P26" i="17"/>
  <c r="AQ26" i="17" s="1"/>
  <c r="AP17" i="17"/>
  <c r="AQ17" i="17" s="1"/>
  <c r="AP25" i="17"/>
  <c r="AQ25" i="17" s="1"/>
  <c r="AP32" i="17"/>
  <c r="AQ32" i="17" s="1"/>
  <c r="AP15" i="17"/>
  <c r="AQ15" i="17" s="1"/>
  <c r="AP21" i="17"/>
  <c r="AQ21" i="17" s="1"/>
  <c r="AP20" i="17"/>
  <c r="AQ20" i="17" s="1"/>
  <c r="AQ23" i="17"/>
  <c r="AP34" i="17"/>
  <c r="AQ34" i="17" s="1"/>
  <c r="AQ19" i="17"/>
  <c r="AP28" i="17"/>
  <c r="AQ28" i="17" s="1"/>
  <c r="AP30" i="17"/>
  <c r="AQ30" i="17" s="1"/>
  <c r="AQ14" i="17"/>
  <c r="K17" i="17"/>
  <c r="K23" i="17"/>
  <c r="K32" i="17"/>
  <c r="K28" i="17"/>
  <c r="J33" i="17"/>
  <c r="J29" i="17"/>
  <c r="J18" i="17"/>
  <c r="J24" i="17"/>
  <c r="AQ5" i="17"/>
  <c r="AZ11" i="17"/>
  <c r="BA11" i="17" s="1"/>
  <c r="J12" i="17"/>
  <c r="K11" i="17"/>
  <c r="L18" i="15"/>
  <c r="AD18" i="15" s="1"/>
  <c r="AE18" i="15" s="1"/>
  <c r="AD20" i="15"/>
  <c r="AE20" i="15" s="1"/>
  <c r="BA5" i="15"/>
  <c r="AI5" i="15" s="1"/>
  <c r="AK5" i="15" s="1"/>
  <c r="AG5" i="15" s="1"/>
  <c r="AE12" i="15"/>
  <c r="AE11" i="15"/>
  <c r="AD16" i="15"/>
  <c r="AE16" i="15" s="1"/>
  <c r="AU5" i="15"/>
  <c r="AU9" i="15"/>
  <c r="AH9" i="15" s="1"/>
  <c r="AU12" i="15"/>
  <c r="AH12" i="15" s="1"/>
  <c r="AU7" i="15"/>
  <c r="AH7" i="15" s="1"/>
  <c r="AU11" i="15"/>
  <c r="AH11" i="15" s="1"/>
  <c r="M17" i="15"/>
  <c r="AY6" i="15"/>
  <c r="J7" i="15"/>
  <c r="K6" i="15"/>
  <c r="AZ6" i="15"/>
  <c r="X19" i="15"/>
  <c r="R19" i="15" s="1"/>
  <c r="L19" i="15"/>
  <c r="F28" i="15"/>
  <c r="L17" i="15"/>
  <c r="AD15" i="15" l="1"/>
  <c r="AE15" i="15" s="1"/>
  <c r="BA6" i="15"/>
  <c r="AF9" i="15"/>
  <c r="AQ9" i="15" s="1"/>
  <c r="AR9" i="15" s="1"/>
  <c r="AL5" i="15"/>
  <c r="AN5" i="15" s="1"/>
  <c r="J19" i="17"/>
  <c r="J34" i="17"/>
  <c r="J25" i="17"/>
  <c r="J30" i="17"/>
  <c r="K33" i="17"/>
  <c r="K29" i="17"/>
  <c r="K18" i="17"/>
  <c r="K24" i="17"/>
  <c r="K12" i="17"/>
  <c r="AZ12" i="17"/>
  <c r="BA12" i="17" s="1"/>
  <c r="AF11" i="15"/>
  <c r="AQ11" i="15" s="1"/>
  <c r="AR11" i="15" s="1"/>
  <c r="AE5" i="15"/>
  <c r="AF8" i="15"/>
  <c r="AU8" i="15"/>
  <c r="AH8" i="15" s="1"/>
  <c r="AU6" i="15"/>
  <c r="AF6" i="15"/>
  <c r="AF12" i="15"/>
  <c r="AQ12" i="15" s="1"/>
  <c r="AR12" i="15" s="1"/>
  <c r="AF7" i="15"/>
  <c r="AQ7" i="15" s="1"/>
  <c r="AR7" i="15" s="1"/>
  <c r="AU10" i="15"/>
  <c r="AH10" i="15" s="1"/>
  <c r="AF10" i="15"/>
  <c r="G28" i="15"/>
  <c r="J8" i="15"/>
  <c r="K7" i="15"/>
  <c r="AZ7" i="15"/>
  <c r="BA7" i="15" s="1"/>
  <c r="AH5" i="15"/>
  <c r="AF5" i="15"/>
  <c r="AD17" i="15"/>
  <c r="AE17" i="15" s="1"/>
  <c r="M19" i="15"/>
  <c r="AC19" i="15"/>
  <c r="Q19" i="15" s="1"/>
  <c r="AD19" i="15" l="1"/>
  <c r="AE19" i="15" s="1"/>
  <c r="R41" i="17"/>
  <c r="AQ10" i="15"/>
  <c r="AR10" i="15" s="1"/>
  <c r="K25" i="17"/>
  <c r="K34" i="17"/>
  <c r="K30" i="17"/>
  <c r="K19" i="17"/>
  <c r="P33" i="15" a="1"/>
  <c r="AQ5" i="15"/>
  <c r="AR5" i="15" s="1"/>
  <c r="AH6" i="15"/>
  <c r="AQ6" i="15" s="1"/>
  <c r="AR6" i="15" s="1"/>
  <c r="AC20" i="15"/>
  <c r="Q20" i="15" s="1"/>
  <c r="AC16" i="15"/>
  <c r="Q16" i="15" s="1"/>
  <c r="AC18" i="15"/>
  <c r="Q18" i="15" s="1"/>
  <c r="AC17" i="15"/>
  <c r="Q17" i="15" s="1"/>
  <c r="AQ8" i="15"/>
  <c r="AR8" i="15" s="1"/>
  <c r="K8" i="15"/>
  <c r="J9" i="15"/>
  <c r="AZ8" i="15"/>
  <c r="BA8" i="15" s="1"/>
  <c r="P33" i="15" l="1"/>
  <c r="K27" i="15" s="1"/>
  <c r="G27" i="15" s="1"/>
  <c r="Y23" i="15"/>
  <c r="J10" i="15"/>
  <c r="K9" i="15"/>
  <c r="AZ9" i="15"/>
  <c r="BA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Z10" i="15"/>
  <c r="BA10" i="15" s="1"/>
  <c r="J11" i="15"/>
  <c r="P34" i="15" l="1"/>
  <c r="P38" i="15" s="1"/>
  <c r="P39" i="15"/>
  <c r="AZ11" i="15"/>
  <c r="BA11" i="15" s="1"/>
  <c r="J12" i="15"/>
  <c r="K11" i="15"/>
  <c r="P40" i="15" l="1"/>
  <c r="P44" i="15"/>
  <c r="P35" i="15"/>
  <c r="P43" i="15" s="1"/>
  <c r="K12" i="15"/>
  <c r="AZ12" i="15"/>
  <c r="BA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P6" i="17"/>
  <c r="AQ6" i="17" s="1"/>
  <c r="AP13" i="17" l="1"/>
  <c r="AQ13" i="17" s="1"/>
  <c r="P55" i="17" a="1"/>
  <c r="P55" i="17" s="1"/>
  <c r="K49" i="17" s="1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<sst xmlns="http://schemas.openxmlformats.org/spreadsheetml/2006/main" count="1208" uniqueCount="185">
  <si>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</si>
  <si>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</si>
  <si>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</si>
  <si>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</si>
  <si>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</si>
  <si>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</si>
  <si>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</si>
  <si>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</si>
  <si>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</si>
  <si>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</si>
  <si>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</si>
  <si>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</si>
  <si>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</si>
  <si>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</si>
  <si>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</si>
  <si>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</si>
  <si>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</si>
  <si>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</si>
  <si>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</si>
  <si>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</si>
  <si>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</si>
  <si>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</si>
  <si>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</si>
  <si>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</si>
  <si>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</si>
  <si>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</si>
  <si>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</si>
  <si>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</si>
  <si>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</si>
  <si>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</si>
  <si>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</si>
  <si>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</si>
  <si>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</si>
  <si>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</si>
  <si>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</si>
  <si>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</si>
  <si>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</si>
  <si>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</si>
  <si>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</si>
  <si>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</si>
  <si>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</si>
  <si>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</si>
  <si>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</si>
  <si>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</si>
  <si>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</si>
  <si>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</si>
  <si>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</si>
  <si>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</si>
  <si>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</si>
  <si>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</si>
  <si>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</si>
  <si>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</si>
  <si>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</si>
  <si>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</si>
  <si>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</si>
  <si>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</si>
  <si>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</si>
  <si>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</si>
  <si>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</si>
  <si>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</si>
  <si>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</si>
  <si>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</si>
  <si>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</si>
  <si>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</si>
  <si>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</si>
  <si>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</si>
  <si>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</si>
  <si>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</si>
  <si>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</si>
  <si>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</si>
  <si>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</si>
  <si>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</si>
  <si>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</si>
  <si>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</si>
  <si>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</si>
  <si>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</si>
  <si>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</si>
  <si>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</si>
  <si>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</si>
  <si>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</si>
  <si>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</si>
  <si>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</si>
  <si>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</si>
  <si>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</si>
  <si>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</si>
  <si>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</si>
  <si>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</si>
  <si>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</si>
  <si>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</si>
  <si>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</si>
  <si>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</si>
  <si>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</si>
  <si>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</si>
  <si>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</si>
  <si>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</si>
  <si>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</si>
  <si>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</si>
  <si>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</si>
  <si>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</si>
  <si>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</si>
  <si>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</si>
  <si>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</si>
  <si>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</si>
  <si>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</si>
  <si>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</si>
  <si>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</si>
  <si>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</si>
  <si>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</si>
  <si>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</si>
  <si>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</si>
  <si>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</si>
  <si>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</si>
  <si>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</si>
  <si>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</si>
  <si>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</si>
  <si>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</si>
  <si>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</si>
  <si>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</si>
  <si>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</si>
  <si>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</si>
  <si>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</si>
  <si>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</si>
  <si>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</si>
  <si>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</si>
  <si>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</si>
  <si>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</si>
  <si>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</si>
  <si>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</si>
  <si>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</si>
  <si>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</si>
  <si>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</si>
  <si>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</si>
  <si>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</si>
  <si>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</si>
  <si>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</si>
  <si>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</si>
  <si>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</si>
  <si>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</si>
  <si>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</si>
  <si>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</si>
  <si>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</si>
  <si>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</si>
  <si>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</si>
  <si>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</si>
  <si>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</si>
  <si>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</si>
  <si>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</si>
  <si>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</si>
  <si>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</si>
  <si>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</si>
  <si>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</si>
  <si>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</si>
  <si>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</si>
  <si>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</si>
  <si>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</si>
  <si>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</si>
  <si>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</si>
  <si>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</si>
  <si>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</si>
  <si>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</si>
  <si>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</si>
  <si>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</si>
  <si>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</si>
  <si>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</si>
  <si>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</si>
  <si>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</si>
  <si>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</si>
  <si>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</si>
  <si>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</si>
  <si>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</si>
  <si>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</si>
  <si>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</si>
  <si>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</si>
  <si>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</si>
  <si>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</si>
  <si>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</si>
  <si>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</si>
  <si>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</si>
  <si>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</si>
  <si>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</si>
  <si>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</si>
  <si>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</si>
  <si>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</si>
  <si>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integral_conc_sucrose_init</t>
  </si>
  <si>
    <t>integral_conc_sucrose_em_prec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</si>
</sst>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5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44"/>
  <sheetViews>
    <sheetView workbookViewId="0">
      <selection activeCell="G16" sqref="G16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6" max="46" width="12" bestFit="1" customWidth="1"/>
    <col min="47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10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9" t="s">
        <v>166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AK5*$AR$15</f>
        <v>9.0399389163552328</v>
      </c>
      <c r="AF5" s="1">
        <f t="shared" ref="AF5:AF12" si="1">AK5*$AT5</f>
        <v>1.0111902874411887</v>
      </c>
      <c r="AG5" s="28">
        <f t="shared" ref="AG5:AG12" si="2">AK5*$AW5</f>
        <v>9.0399389163552328</v>
      </c>
      <c r="AH5" s="33">
        <f t="shared" ref="AH5:AH12" si="3">AK5*$AU5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2100</v>
      </c>
      <c r="AP5" s="1">
        <v>1800</v>
      </c>
      <c r="AQ5" s="70">
        <f>AK5+AE5*$E$31+AF5*$F$31+AH5*$J$31</f>
        <v>3.3497283868557494E-3</v>
      </c>
      <c r="AR5" s="71">
        <f>(1-AK5/AQ5)*100</f>
        <v>38.829284515098252</v>
      </c>
      <c r="AS5" s="15">
        <v>4.5999999999999996</v>
      </c>
      <c r="AT5" s="15">
        <f t="shared" ref="AT5:AT12" si="4">(($AS5/100)*(1+($AR$15+$AW5)*$E$31)-$Y$16)/(((1+1/$X$23)*(14*10^(-6)))-(($J$31/$X$23+$F$31)*$AS5/100))</f>
        <v>493.49156696102204</v>
      </c>
      <c r="AU5" s="15">
        <f t="shared" ref="AU5:AU12" si="5">$AT5/$X$23</f>
        <v>4934.91566961022</v>
      </c>
      <c r="AV5" s="15">
        <v>10</v>
      </c>
      <c r="AW5" s="84">
        <f t="shared" ref="AW5:AW12" si="6">$AV5/100/(1-$X$33)*$X$32*10^6/$X$30</f>
        <v>4411.7647058823532</v>
      </c>
      <c r="AX5" s="9">
        <v>851425</v>
      </c>
      <c r="AY5" s="10">
        <f>$T$27+$T$28*$T$30*(J5)^$T$29</f>
        <v>9.1058115591388438E-4</v>
      </c>
      <c r="AZ5" s="9">
        <f t="shared" ref="AZ5:AZ12" si="7">J5*Z5</f>
        <v>2.6054999999999997E-3</v>
      </c>
      <c r="BA5" s="10">
        <f>((AZ5-AY5)/($T$31-AX5))*(F5-$T$31)+AZ5</f>
        <v>2.0477283347659267E-3</v>
      </c>
      <c r="BB5" s="10">
        <f t="shared" ref="BB5:BB12" si="8">$T$27+$T$28*$T$30*(L5)^$T$29</f>
        <v>4.0277279389003447E-3</v>
      </c>
      <c r="BC5" s="9"/>
      <c r="BD5" s="9">
        <f t="shared" ref="BD5:BD12" si="9">$AY$20*$AX$22*$AX$24*(M5)^$AX$21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BB6</f>
        <v>7.9355355356128927E-4</v>
      </c>
      <c r="AJ6" s="1">
        <f>BD6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1">
        <v>2100</v>
      </c>
      <c r="AP6" s="1">
        <v>1800</v>
      </c>
      <c r="AQ6" s="70">
        <f t="shared" ref="AQ6:AQ12" si="16">AK6+AE6*$E$31+AF6*$F$31+AH6*$J$31</f>
        <v>1.5736842407450208E-3</v>
      </c>
      <c r="AR6" s="71">
        <f>(1-AK6/AQ6)*100</f>
        <v>49.562794717583479</v>
      </c>
      <c r="AS6" s="15">
        <v>6.5</v>
      </c>
      <c r="AT6" s="15">
        <f t="shared" si="4"/>
        <v>830.97245766546928</v>
      </c>
      <c r="AU6" s="15">
        <f t="shared" si="5"/>
        <v>8309.724576654693</v>
      </c>
      <c r="AV6" s="15">
        <v>5</v>
      </c>
      <c r="AW6" s="84">
        <f t="shared" si="6"/>
        <v>2205.8823529411766</v>
      </c>
      <c r="AX6" s="9">
        <v>818263</v>
      </c>
      <c r="AY6" s="10">
        <f>$T$27+$T$28*$T$30*(J6)^$T$29</f>
        <v>9.1017858127080242E-4</v>
      </c>
      <c r="AZ6" s="9" t="e">
        <f t="shared" si="7"/>
        <v>#VALUE!</v>
      </c>
      <c r="BA6" s="10" t="e">
        <f>((AZ6-AY6)/($T$31-AX6))*(F6-$T$31)+AZ6</f>
        <v>#VALUE!</v>
      </c>
      <c r="BB6" s="10">
        <f t="shared" si="8"/>
        <v>7.9355355356128927E-4</v>
      </c>
      <c r="BC6" s="9"/>
      <c r="BD6" s="9">
        <f t="shared" si="9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BB7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1">
        <v>2100</v>
      </c>
      <c r="AP7" s="1">
        <v>1800</v>
      </c>
      <c r="AQ7" s="70">
        <f t="shared" si="16"/>
        <v>8.9403557211611783E-5</v>
      </c>
      <c r="AR7" s="71">
        <f t="shared" ref="AR7:AR12" si="17">(1-AK7/AQ7)*100</f>
        <v>66.676859526668281</v>
      </c>
      <c r="AS7" s="15">
        <v>9.5</v>
      </c>
      <c r="AT7" s="15">
        <f t="shared" si="4"/>
        <v>1818.7478935719314</v>
      </c>
      <c r="AU7" s="15">
        <f t="shared" si="5"/>
        <v>18187.478935719311</v>
      </c>
      <c r="AV7" s="15">
        <v>0</v>
      </c>
      <c r="AW7" s="84">
        <f t="shared" si="6"/>
        <v>0</v>
      </c>
      <c r="AX7" s="9"/>
      <c r="AY7" s="10" t="e">
        <f t="shared" ref="AY7:AY12" si="18">$T$27+$T$28*$T$30*(T7*$T$32)^$T$29</f>
        <v>#VALUE!</v>
      </c>
      <c r="AZ7" s="9" t="e">
        <f t="shared" si="7"/>
        <v>#VALUE!</v>
      </c>
      <c r="BA7" s="10" t="e">
        <f t="shared" ref="BA7:BA12" si="19">AY7+((AZ7-AY7)/$T$31)*F7</f>
        <v>#VALUE!</v>
      </c>
      <c r="BB7" s="10">
        <f t="shared" si="8"/>
        <v>2.9792072957780891E-5</v>
      </c>
      <c r="BC7" s="9"/>
      <c r="BD7" s="9">
        <f t="shared" si="9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BB8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1">
        <v>2100</v>
      </c>
      <c r="AP8" t="s">
        <v>32</v>
      </c>
      <c r="AQ8" s="70">
        <f t="shared" si="16"/>
        <v>2.4236108506970847E-5</v>
      </c>
      <c r="AR8" s="71">
        <f t="shared" si="17"/>
        <v>66.676859526668281</v>
      </c>
      <c r="AS8" s="15">
        <v>9.5</v>
      </c>
      <c r="AT8" s="15">
        <f t="shared" si="4"/>
        <v>1818.7478935719314</v>
      </c>
      <c r="AU8" s="15">
        <f t="shared" si="5"/>
        <v>18187.478935719311</v>
      </c>
      <c r="AV8" s="15">
        <v>0</v>
      </c>
      <c r="AW8" s="84">
        <f t="shared" si="6"/>
        <v>0</v>
      </c>
      <c r="AX8" s="9"/>
      <c r="AY8" s="10" t="e">
        <f t="shared" si="18"/>
        <v>#VALUE!</v>
      </c>
      <c r="AZ8" s="9" t="e">
        <f t="shared" si="7"/>
        <v>#VALUE!</v>
      </c>
      <c r="BA8" s="10" t="e">
        <f t="shared" si="19"/>
        <v>#VALUE!</v>
      </c>
      <c r="BB8" s="10">
        <f t="shared" si="8"/>
        <v>8.076232483046996E-6</v>
      </c>
      <c r="BC8" s="9"/>
      <c r="BD8" s="9">
        <f t="shared" si="9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1">
        <v>2100</v>
      </c>
      <c r="AP9" t="s">
        <v>32</v>
      </c>
      <c r="AQ9" s="70">
        <f t="shared" si="16"/>
        <v>8.294246803786242E-6</v>
      </c>
      <c r="AR9" s="71">
        <f t="shared" si="17"/>
        <v>66.676859526668281</v>
      </c>
      <c r="AS9" s="15">
        <v>9.5</v>
      </c>
      <c r="AT9" s="15">
        <f t="shared" si="4"/>
        <v>1818.7478935719314</v>
      </c>
      <c r="AU9" s="15">
        <f t="shared" si="5"/>
        <v>18187.478935719311</v>
      </c>
      <c r="AV9" s="15">
        <v>0</v>
      </c>
      <c r="AW9" s="84">
        <f t="shared" si="6"/>
        <v>0</v>
      </c>
      <c r="AX9" s="9"/>
      <c r="AY9" s="10" t="e">
        <f t="shared" si="18"/>
        <v>#VALUE!</v>
      </c>
      <c r="AZ9" s="9" t="e">
        <f t="shared" si="7"/>
        <v>#VALUE!</v>
      </c>
      <c r="BA9" s="10" t="e">
        <f t="shared" si="19"/>
        <v>#VALUE!</v>
      </c>
      <c r="BB9" s="10">
        <f t="shared" si="8"/>
        <v>2.7639035136305163E-6</v>
      </c>
      <c r="BC9" s="9"/>
      <c r="BD9" s="9">
        <f t="shared" si="9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1">
        <v>2100</v>
      </c>
      <c r="AP10" t="s">
        <v>32</v>
      </c>
      <c r="AQ10" s="70">
        <f t="shared" si="16"/>
        <v>3.6026124391534188E-6</v>
      </c>
      <c r="AR10" s="71">
        <f t="shared" si="17"/>
        <v>66.676859526668281</v>
      </c>
      <c r="AS10" s="15">
        <v>9.5</v>
      </c>
      <c r="AT10" s="15">
        <f t="shared" si="4"/>
        <v>1818.7478935719314</v>
      </c>
      <c r="AU10" s="15">
        <f t="shared" si="5"/>
        <v>18187.478935719311</v>
      </c>
      <c r="AV10" s="15">
        <v>0</v>
      </c>
      <c r="AW10" s="84">
        <f t="shared" si="6"/>
        <v>0</v>
      </c>
      <c r="AX10" s="9"/>
      <c r="AY10" s="10" t="e">
        <f t="shared" si="18"/>
        <v>#VALUE!</v>
      </c>
      <c r="AZ10" s="9" t="e">
        <f t="shared" si="7"/>
        <v>#VALUE!</v>
      </c>
      <c r="BA10" s="10" t="e">
        <f t="shared" si="19"/>
        <v>#VALUE!</v>
      </c>
      <c r="BB10" s="10">
        <f t="shared" si="8"/>
        <v>1.2005036038088161E-6</v>
      </c>
      <c r="BC10" s="9"/>
      <c r="BD10" s="9">
        <f t="shared" si="9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1">
        <v>2100</v>
      </c>
      <c r="AP11" t="s">
        <v>32</v>
      </c>
      <c r="AQ11" s="70">
        <f t="shared" si="16"/>
        <v>1.3023806012571343E-6</v>
      </c>
      <c r="AR11" s="71">
        <f t="shared" si="17"/>
        <v>66.676859526668281</v>
      </c>
      <c r="AS11" s="15">
        <v>9.5</v>
      </c>
      <c r="AT11" s="15">
        <f t="shared" si="4"/>
        <v>1818.7478935719314</v>
      </c>
      <c r="AU11" s="15">
        <f t="shared" si="5"/>
        <v>18187.478935719311</v>
      </c>
      <c r="AV11" s="15">
        <v>0</v>
      </c>
      <c r="AW11" s="84">
        <f t="shared" si="6"/>
        <v>0</v>
      </c>
      <c r="AX11" s="9"/>
      <c r="AY11" s="10" t="e">
        <f t="shared" si="18"/>
        <v>#VALUE!</v>
      </c>
      <c r="AZ11" s="9" t="e">
        <f t="shared" si="7"/>
        <v>#VALUE!</v>
      </c>
      <c r="BA11" s="10" t="e">
        <f t="shared" si="19"/>
        <v>#VALUE!</v>
      </c>
      <c r="BB11" s="10">
        <f t="shared" si="8"/>
        <v>4.3399411725433714E-7</v>
      </c>
      <c r="BC11" s="9"/>
      <c r="BD11" s="9">
        <f t="shared" si="9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1">
        <v>2100</v>
      </c>
      <c r="AP12" t="s">
        <v>32</v>
      </c>
      <c r="AQ12" s="73">
        <f t="shared" si="16"/>
        <v>8.7445916195004701E-7</v>
      </c>
      <c r="AR12" s="72">
        <f t="shared" si="17"/>
        <v>66.676859526668281</v>
      </c>
      <c r="AS12" s="16">
        <v>9.5</v>
      </c>
      <c r="AT12" s="15">
        <f t="shared" si="4"/>
        <v>1818.7478935719314</v>
      </c>
      <c r="AU12" s="16">
        <f t="shared" si="5"/>
        <v>18187.478935719311</v>
      </c>
      <c r="AV12" s="16">
        <v>0</v>
      </c>
      <c r="AW12" s="84">
        <f t="shared" si="6"/>
        <v>0</v>
      </c>
      <c r="AX12" s="9"/>
      <c r="AY12" s="10" t="e">
        <f t="shared" si="18"/>
        <v>#VALUE!</v>
      </c>
      <c r="AZ12" s="9" t="e">
        <f t="shared" si="7"/>
        <v>#VALUE!</v>
      </c>
      <c r="BA12" s="10" t="e">
        <f t="shared" si="19"/>
        <v>#VALUE!</v>
      </c>
      <c r="BB12" s="10">
        <f t="shared" si="8"/>
        <v>2.9139725491853351E-7</v>
      </c>
      <c r="BC12" s="9"/>
      <c r="BD12" s="9">
        <f t="shared" si="9"/>
        <v>0</v>
      </c>
    </row>
    <row r="13" spans="1:56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  <c r="AO13" s="1"/>
    </row>
    <row r="14" spans="1:56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Q14" s="25"/>
      <c r="AR14" s="80" t="s">
        <v>21</v>
      </c>
      <c r="AS14" s="80" t="s">
        <v>139</v>
      </c>
      <c r="AT14" s="81" t="s">
        <v>116</v>
      </c>
      <c r="AU14" s="51"/>
      <c r="AV14" s="51"/>
    </row>
    <row r="15" spans="1:56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220</v>
      </c>
      <c r="H15" s="48">
        <v>8.2000000000000003E-2</v>
      </c>
      <c r="I15" s="4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2">J15*$X15</f>
        <v>16.239747221660625</v>
      </c>
      <c r="N15">
        <f t="shared" ref="N15:N20" si="23">AA15*$J15</f>
        <v>0</v>
      </c>
      <c r="O15" s="1">
        <f t="shared" ref="O15:O20" si="24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5">
        <v>21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ROUND(X15/$AU$6*120,0)</f>
        <v>57</v>
      </c>
      <c r="AD15" s="15">
        <f>J15+L15*$F$31+M15*$J$31+O15*$E$31</f>
        <v>6.293064121245898E-3</v>
      </c>
      <c r="AE15" s="71">
        <f>(1-J15/AD15)*100</f>
        <v>34.818239239744116</v>
      </c>
      <c r="AF15" s="1"/>
      <c r="AQ15" s="82"/>
      <c r="AR15" s="84">
        <f>$AR$16/100/(1-$X$33)*$X$32*10^6/$X$30</f>
        <v>4411.7647058823532</v>
      </c>
      <c r="AS15" s="84">
        <f>$AS$16/100/(1-$X$33)*$X$32*10^6/$X$30</f>
        <v>4411.7647058823532</v>
      </c>
      <c r="AT15" s="85">
        <f>AS15+AR15</f>
        <v>8823.5294117647063</v>
      </c>
      <c r="AU15" s="97"/>
      <c r="AV15" s="97"/>
    </row>
    <row r="16" spans="1:56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80+G17</f>
        <v>220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ROUND(X16/$AU$6*120,0)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Q16" s="83" t="s">
        <v>140</v>
      </c>
      <c r="AR16" s="86">
        <v>10</v>
      </c>
      <c r="AS16" s="86">
        <v>10</v>
      </c>
      <c r="AT16" s="87">
        <f>AS16+AR16</f>
        <v>20</v>
      </c>
      <c r="AU16" s="98"/>
      <c r="AV16" s="98"/>
    </row>
    <row r="17" spans="1:51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140</v>
      </c>
      <c r="H17" s="48">
        <v>9.1999999999999998E-2</v>
      </c>
      <c r="I17" s="48" t="s">
        <v>33</v>
      </c>
      <c r="J17">
        <f>P17*$U$17</f>
        <v>5.0624699999999995E-3</v>
      </c>
      <c r="K17">
        <f t="shared" si="27"/>
        <v>2.5312349999999998E-5</v>
      </c>
      <c r="L17">
        <f t="shared" ref="L17:L20" si="32">J17*$W17</f>
        <v>2.3758024102824513</v>
      </c>
      <c r="M17">
        <f t="shared" si="22"/>
        <v>23.758024102824514</v>
      </c>
      <c r="N17">
        <f t="shared" si="23"/>
        <v>0</v>
      </c>
      <c r="O17" s="1">
        <f t="shared" si="24"/>
        <v>22.334426470588234</v>
      </c>
      <c r="P17">
        <v>2.4106999999999999E-4</v>
      </c>
      <c r="Q17" s="1">
        <f t="shared" si="28"/>
        <v>0.34424795999999996</v>
      </c>
      <c r="R17">
        <v>4250</v>
      </c>
      <c r="S17">
        <v>0</v>
      </c>
      <c r="T17">
        <v>0</v>
      </c>
      <c r="U17" s="15">
        <v>21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8.1497066913228666E-3</v>
      </c>
      <c r="AE17" s="71">
        <f t="shared" si="31"/>
        <v>37.88156811348685</v>
      </c>
      <c r="AF17" s="1"/>
      <c r="AG17" s="1"/>
    </row>
    <row r="18" spans="1:51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140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>IF(F18="HiddenElement",$AA$22/100/(1-$X$33)*$X$32*10^6/$X$30,0)</f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51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f>80+G20</f>
        <v>140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W19" s="78" t="s">
        <v>57</v>
      </c>
      <c r="AX19" s="9" t="s">
        <v>47</v>
      </c>
      <c r="AY19" s="10">
        <v>0</v>
      </c>
    </row>
    <row r="20" spans="1:51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60</v>
      </c>
      <c r="H20" s="48">
        <v>6.0421565000000003E-2</v>
      </c>
      <c r="I20" s="48" t="s">
        <v>31</v>
      </c>
      <c r="J20">
        <f>P20*$U$20</f>
        <v>4.0322099999999996E-3</v>
      </c>
      <c r="K20">
        <f t="shared" si="27"/>
        <v>2.0161049999999999E-5</v>
      </c>
      <c r="L20">
        <f t="shared" si="32"/>
        <v>2.0843008232103681</v>
      </c>
      <c r="M20">
        <f t="shared" si="22"/>
        <v>20.843008232103678</v>
      </c>
      <c r="N20">
        <f t="shared" si="23"/>
        <v>0</v>
      </c>
      <c r="O20" s="1">
        <f t="shared" si="24"/>
        <v>17.789161764705881</v>
      </c>
      <c r="P20">
        <v>1.9201E-4</v>
      </c>
      <c r="Q20" s="1">
        <f t="shared" si="28"/>
        <v>0.30241574999999998</v>
      </c>
      <c r="R20">
        <v>0</v>
      </c>
      <c r="S20">
        <v>0</v>
      </c>
      <c r="T20">
        <v>0</v>
      </c>
      <c r="U20" s="16">
        <v>21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6.689085819105817E-3</v>
      </c>
      <c r="AE20" s="72">
        <f t="shared" si="31"/>
        <v>39.719565437732463</v>
      </c>
      <c r="AW20" s="78"/>
      <c r="AX20" s="9" t="s">
        <v>48</v>
      </c>
      <c r="AY20" s="9">
        <v>0.106</v>
      </c>
    </row>
    <row r="21" spans="1:51" x14ac:dyDescent="0.25">
      <c r="A21" s="4"/>
      <c r="V21" s="92"/>
      <c r="W21" s="17"/>
      <c r="X21" s="59"/>
      <c r="Z21" s="1"/>
      <c r="AN21" s="78"/>
      <c r="AO21" s="109"/>
      <c r="AP21" s="109"/>
      <c r="AQ21" s="78"/>
      <c r="AR21" s="78"/>
      <c r="AS21" s="78"/>
      <c r="AT21" s="78"/>
      <c r="AU21" s="96"/>
      <c r="AV21" s="96"/>
      <c r="AW21" s="9" t="s">
        <v>49</v>
      </c>
      <c r="AX21" s="9">
        <v>1.28</v>
      </c>
    </row>
    <row r="22" spans="1:51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109"/>
      <c r="AP22" s="109"/>
      <c r="AQ22" s="78"/>
      <c r="AR22" s="78"/>
      <c r="AS22" s="78"/>
      <c r="AT22" s="78"/>
      <c r="AU22" s="96"/>
      <c r="AV22" s="96"/>
      <c r="AW22" s="9" t="s">
        <v>50</v>
      </c>
      <c r="AX22" s="9">
        <v>0.8</v>
      </c>
    </row>
    <row r="23" spans="1:51" x14ac:dyDescent="0.25">
      <c r="A23" s="4"/>
      <c r="X23" s="16">
        <v>0.1</v>
      </c>
      <c r="Y23" s="74">
        <f>(SUMPRODUCT(V15:V20,AD15:AD20)+SUMPRODUCT(AS5:AS12,AQ5:AQ12))/SUM(AD15:AD20,AQ5:AQ12)</f>
        <v>4.4039658411029281</v>
      </c>
      <c r="AA23" s="54" t="s">
        <v>121</v>
      </c>
      <c r="AN23" s="78"/>
      <c r="AO23" s="109"/>
      <c r="AP23" s="109"/>
      <c r="AQ23" s="78"/>
      <c r="AR23" s="78"/>
      <c r="AS23" s="78"/>
      <c r="AT23" s="78"/>
      <c r="AU23" s="96"/>
      <c r="AV23" s="96"/>
      <c r="AW23" s="9" t="s">
        <v>60</v>
      </c>
      <c r="AX23" s="9">
        <f>210*3600*24/12</f>
        <v>1512000</v>
      </c>
    </row>
    <row r="24" spans="1:51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/>
      <c r="AV24" s="9"/>
      <c r="AW24" s="9" t="s">
        <v>58</v>
      </c>
      <c r="AX24" s="9">
        <v>5</v>
      </c>
    </row>
    <row r="25" spans="1:51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11"/>
      <c r="AS25" s="11"/>
      <c r="AT25" s="9" t="s">
        <v>59</v>
      </c>
      <c r="AU25" s="9"/>
      <c r="AV25" s="9"/>
      <c r="AW25" s="9">
        <f>1/59</f>
        <v>1.6949152542372881E-2</v>
      </c>
    </row>
    <row r="26" spans="1:51" x14ac:dyDescent="0.25">
      <c r="A26" s="111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12"/>
      <c r="AT26" s="9"/>
      <c r="AU26" s="9"/>
      <c r="AV26" s="9"/>
      <c r="AW26" s="9"/>
    </row>
    <row r="27" spans="1:51" x14ac:dyDescent="0.25">
      <c r="A27" s="111"/>
      <c r="B27">
        <v>1</v>
      </c>
      <c r="C27" t="s">
        <v>30</v>
      </c>
      <c r="D27" t="s">
        <v>68</v>
      </c>
      <c r="E27" s="28">
        <f>E28*$K$27</f>
        <v>149.46818795927152</v>
      </c>
      <c r="F27" s="28">
        <f>F28*$K$27</f>
        <v>2.0344186930067711</v>
      </c>
      <c r="G27" s="28">
        <f>G28*$K$27</f>
        <v>20.344186930067711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3.3879455937434876E-2</v>
      </c>
      <c r="L27" s="28">
        <f>K27*$Y$16</f>
        <v>1.6939727968717439E-4</v>
      </c>
      <c r="M27" s="28">
        <f>M28*$K$27</f>
        <v>2.7103564749947902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12"/>
      <c r="AT27" s="9"/>
      <c r="AU27" s="9"/>
      <c r="AV27" s="9"/>
      <c r="AW27" s="9"/>
    </row>
    <row r="28" spans="1:51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80</v>
      </c>
      <c r="N28" s="77">
        <f>SUM(AK5:AK12,J15:J20)/K27</f>
        <v>0.59363241585441173</v>
      </c>
      <c r="O28" s="16">
        <v>0.8</v>
      </c>
      <c r="P28" s="16">
        <v>0.1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12"/>
      <c r="AT28" s="9"/>
      <c r="AU28" s="9"/>
      <c r="AV28" s="9"/>
      <c r="AW28" s="9"/>
    </row>
    <row r="29" spans="1:51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13"/>
      <c r="AT29" s="9"/>
      <c r="AU29" s="9"/>
      <c r="AV29" s="9"/>
      <c r="AW29" s="9"/>
    </row>
    <row r="30" spans="1:51" x14ac:dyDescent="0.25">
      <c r="D30" s="27" t="s">
        <v>78</v>
      </c>
      <c r="F30" s="1"/>
      <c r="O30" s="35" t="s">
        <v>138</v>
      </c>
      <c r="P30" s="69">
        <f>K27+SUM(J15:J20)+SUM(AK5:AK12)</f>
        <v>5.3991399213407433E-2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13"/>
      <c r="AT30" s="9"/>
      <c r="AU30" s="9"/>
      <c r="AV30" s="9"/>
      <c r="AW30" s="9"/>
    </row>
    <row r="31" spans="1:51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12"/>
      <c r="AT31" s="9"/>
      <c r="AU31" s="9"/>
      <c r="AV31" s="9"/>
      <c r="AW31" s="9"/>
    </row>
    <row r="32" spans="1:51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3.1697833549141685E-2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3.9622291936427113E-2</v>
      </c>
    </row>
    <row r="35" spans="1:24" ht="15" customHeight="1" x14ac:dyDescent="0.25">
      <c r="A35" s="113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7.1320125485568792E-2</v>
      </c>
      <c r="Q35" s="32"/>
    </row>
    <row r="36" spans="1:24" x14ac:dyDescent="0.25">
      <c r="A36" s="113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0.36551047740241704</v>
      </c>
    </row>
    <row r="38" spans="1:24" x14ac:dyDescent="0.25">
      <c r="O38" s="35" t="s">
        <v>137</v>
      </c>
      <c r="P38" s="39">
        <f>1-$K$27/$P$34</f>
        <v>0.14493952061648685</v>
      </c>
    </row>
    <row r="39" spans="1:24" x14ac:dyDescent="0.25">
      <c r="O39" s="35" t="s">
        <v>111</v>
      </c>
      <c r="P39" s="39">
        <f>1-SUM($AK$5:$AK$12,$J$15:$J$20)/($P$33+N28/(1+N28)*P32)</f>
        <v>0.36551047740241704</v>
      </c>
    </row>
    <row r="40" spans="1:24" x14ac:dyDescent="0.25">
      <c r="O40" s="35" t="s">
        <v>112</v>
      </c>
      <c r="P40" s="39">
        <f>1-$K$27/($P$34+1/(1+N28)*P32)</f>
        <v>0.14493952061648685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2.6239848182679681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11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11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66"/>
  <sheetViews>
    <sheetView tabSelected="1" topLeftCell="A16" workbookViewId="0">
      <selection activeCell="H38" sqref="H3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  <col min="46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10" t="s">
        <v>184</v>
      </c>
      <c r="AP4" s="14" t="s">
        <v>77</v>
      </c>
      <c r="AQ4" s="14" t="s">
        <v>129</v>
      </c>
      <c r="AR4" s="14" t="s">
        <v>108</v>
      </c>
      <c r="AS4" s="14" t="s">
        <v>22</v>
      </c>
      <c r="AT4" s="14" t="s">
        <v>24</v>
      </c>
      <c r="AU4" s="14" t="s">
        <v>165</v>
      </c>
      <c r="AV4" s="99" t="s">
        <v>166</v>
      </c>
      <c r="AW4" s="99" t="s">
        <v>174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v>21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AK5*$AQ$37</f>
        <v>12.053251888473643</v>
      </c>
      <c r="AF5" s="1">
        <f t="shared" ref="AF5:AF12" si="1">AK5*$AS5</f>
        <v>1.0111902874411887</v>
      </c>
      <c r="AG5" s="1">
        <f t="shared" ref="AG5:AG12" si="2">AK5*$AV5</f>
        <v>6.0266259442368213</v>
      </c>
      <c r="AH5" s="33">
        <f t="shared" ref="AH5:AH12" si="3">AK5*$AT5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>
        <f>INPUTS!AP5</f>
        <v>1800</v>
      </c>
      <c r="AP5" s="70">
        <f t="shared" ref="AP5:AP34" si="4">AK5+(AE5+AG5)*$E$53+AF5*$F$53+AH5*$J$53</f>
        <v>3.6080123558944709E-3</v>
      </c>
      <c r="AQ5" s="102">
        <f t="shared" ref="AQ5:AQ34" si="5">(1-AK5/AP5)*100</f>
        <v>43.208264858268933</v>
      </c>
      <c r="AR5" s="70">
        <f>INPUTS!AS5</f>
        <v>4.5999999999999996</v>
      </c>
      <c r="AS5" s="70">
        <f t="shared" ref="AS5:AS12" si="6">(($AR5/100)*(1+($AQ$37+$AV5)*$E$53)-$Y$38)/(((1+1/$X$45)*(14*10^(-6)))-(($J$53/$X$45+$F$53)*$AR5/100))</f>
        <v>493.49156696102204</v>
      </c>
      <c r="AT5" s="70">
        <f t="shared" ref="AT5:AT12" si="7">$AS5/$X$45</f>
        <v>4934.91566961022</v>
      </c>
      <c r="AU5" s="15">
        <v>5</v>
      </c>
      <c r="AV5" s="84">
        <f t="shared" ref="AV5:AV34" si="8">$AU5/100/(1-$AW5/100)*$X$54*10^6/$X$52</f>
        <v>2941.1764705882351</v>
      </c>
      <c r="AW5" s="84">
        <v>40</v>
      </c>
      <c r="AX5" s="9">
        <v>851425</v>
      </c>
      <c r="AY5" s="10">
        <f>$T$49+$T$50*$T$52*(J5)^$T$51</f>
        <v>9.1058115591388438E-4</v>
      </c>
      <c r="AZ5" s="9">
        <f t="shared" ref="AZ5:AZ12" si="9">J5*Z5</f>
        <v>2.6054999999999997E-3</v>
      </c>
      <c r="BA5" s="10">
        <f>((AZ5-AY5)/($T$53-AX5))*(F5-$T$53)+AZ5</f>
        <v>2.0477283347659267E-3</v>
      </c>
      <c r="BB5" s="10">
        <f>$T$49+$T$50*0.6*(L5)^$T$51</f>
        <v>3.0208025791752585E-3</v>
      </c>
      <c r="BC5" s="9"/>
      <c r="BD5" s="9">
        <f t="shared" ref="BD5:BD12" si="10">$AY$42*$AX$44*$AX$46*(M5)^$AX$43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1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2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BB6</f>
        <v>4.9598090847580579E-4</v>
      </c>
      <c r="AJ6" s="1">
        <f>BD6</f>
        <v>1.6879744031468265E-7</v>
      </c>
      <c r="AK6">
        <f t="shared" ref="AK6:AK12" si="13">AI6+AJ6</f>
        <v>4.9614970591612046E-4</v>
      </c>
      <c r="AL6">
        <f t="shared" ref="AL6:AM12" si="14">AI6*0.005</f>
        <v>2.479904542379029E-6</v>
      </c>
      <c r="AM6">
        <f t="shared" si="14"/>
        <v>8.4398720157341326E-10</v>
      </c>
      <c r="AN6">
        <f t="shared" ref="AN6:AN12" si="15">AL6+AM6</f>
        <v>2.4807485295806025E-6</v>
      </c>
      <c r="AO6">
        <f>INPUTS!AP6</f>
        <v>1800</v>
      </c>
      <c r="AP6" s="70">
        <f t="shared" si="4"/>
        <v>1.1736520592639877E-3</v>
      </c>
      <c r="AQ6" s="102">
        <f t="shared" si="5"/>
        <v>57.725997070438204</v>
      </c>
      <c r="AR6" s="70">
        <f>INPUTS!AS6</f>
        <v>6.5</v>
      </c>
      <c r="AS6" s="70">
        <f t="shared" si="6"/>
        <v>965.96623965762194</v>
      </c>
      <c r="AT6" s="70">
        <f t="shared" si="7"/>
        <v>9659.6623965762192</v>
      </c>
      <c r="AU6" s="15">
        <v>8</v>
      </c>
      <c r="AV6" s="84">
        <f t="shared" si="8"/>
        <v>7058.8235294117649</v>
      </c>
      <c r="AW6" s="84">
        <v>60</v>
      </c>
      <c r="AX6" s="9">
        <v>818263</v>
      </c>
      <c r="AY6" s="10">
        <f>$T$49+$T$50*$T$52*(J6)^$T$51</f>
        <v>9.1017858127080242E-4</v>
      </c>
      <c r="AZ6" s="9" t="e">
        <f t="shared" si="9"/>
        <v>#VALUE!</v>
      </c>
      <c r="BA6" s="10" t="e">
        <f>((AZ6-AY6)/($T$53-AX6))*(F6-$T$53)+AZ6</f>
        <v>#VALUE!</v>
      </c>
      <c r="BB6" s="10">
        <f>$T$49+$T$50*0.5*(L6)^$T$51</f>
        <v>4.9598090847580579E-4</v>
      </c>
      <c r="BC6" s="9"/>
      <c r="BD6" s="9">
        <f t="shared" si="10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1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2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BB7</f>
        <v>1.1188589859167832E-5</v>
      </c>
      <c r="AJ7" s="1">
        <v>0</v>
      </c>
      <c r="AK7">
        <f t="shared" si="13"/>
        <v>1.1188589859167832E-5</v>
      </c>
      <c r="AL7">
        <f t="shared" si="14"/>
        <v>5.5942949295839161E-8</v>
      </c>
      <c r="AM7">
        <f t="shared" si="14"/>
        <v>0</v>
      </c>
      <c r="AN7">
        <f t="shared" si="15"/>
        <v>5.5942949295839161E-8</v>
      </c>
      <c r="AO7">
        <f>INPUTS!AP7</f>
        <v>1800</v>
      </c>
      <c r="AP7" s="70">
        <f t="shared" si="4"/>
        <v>3.4867252364606023E-5</v>
      </c>
      <c r="AQ7" s="102">
        <f t="shared" si="5"/>
        <v>67.910893172283792</v>
      </c>
      <c r="AR7" s="70">
        <f>INPUTS!AS7</f>
        <v>9.5</v>
      </c>
      <c r="AS7" s="70">
        <f t="shared" si="6"/>
        <v>1889.9390966577716</v>
      </c>
      <c r="AT7" s="71">
        <f t="shared" si="7"/>
        <v>18899.390966577714</v>
      </c>
      <c r="AU7" s="15">
        <v>0</v>
      </c>
      <c r="AV7" s="84">
        <f t="shared" si="8"/>
        <v>0</v>
      </c>
      <c r="AW7" s="84">
        <v>68</v>
      </c>
      <c r="AX7" s="9"/>
      <c r="AY7" s="10" t="e">
        <f t="shared" ref="AY7:AY12" si="16">$T$49+$T$50*$T$52*(T7*$T$54)^$T$51</f>
        <v>#VALUE!</v>
      </c>
      <c r="AZ7" s="9" t="e">
        <f t="shared" si="9"/>
        <v>#VALUE!</v>
      </c>
      <c r="BA7" s="10" t="e">
        <f t="shared" ref="BA7:BA12" si="17">AY7+((AZ7-AY7)/$T$53)*F7</f>
        <v>#VALUE!</v>
      </c>
      <c r="BB7" s="10">
        <f t="shared" ref="BB7:BB12" si="18">$T$49+$T$50*0.3*(L7)^$T$51</f>
        <v>1.1188589859167832E-5</v>
      </c>
      <c r="BC7" s="9"/>
      <c r="BD7" s="9">
        <f t="shared" si="10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1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2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BB8</f>
        <v>3.0451496811426225E-6</v>
      </c>
      <c r="AJ8" s="1">
        <v>0</v>
      </c>
      <c r="AK8">
        <f t="shared" si="13"/>
        <v>3.0451496811426225E-6</v>
      </c>
      <c r="AL8">
        <f t="shared" si="14"/>
        <v>1.5225748405713114E-8</v>
      </c>
      <c r="AM8">
        <f t="shared" si="14"/>
        <v>0</v>
      </c>
      <c r="AN8">
        <f t="shared" si="15"/>
        <v>1.5225748405713114E-8</v>
      </c>
      <c r="AO8" t="str">
        <f>INPUTS!AP8</f>
        <v>NA</v>
      </c>
      <c r="AP8" s="70">
        <f t="shared" si="4"/>
        <v>9.4896679346414427E-6</v>
      </c>
      <c r="AQ8" s="102">
        <f t="shared" si="5"/>
        <v>67.910893172283792</v>
      </c>
      <c r="AR8" s="70">
        <f>INPUTS!AS8</f>
        <v>9.5</v>
      </c>
      <c r="AS8" s="70">
        <f t="shared" si="6"/>
        <v>1889.9390966577716</v>
      </c>
      <c r="AT8" s="70">
        <f t="shared" si="7"/>
        <v>18899.390966577714</v>
      </c>
      <c r="AU8" s="70">
        <v>0</v>
      </c>
      <c r="AV8" s="84">
        <f t="shared" si="8"/>
        <v>0</v>
      </c>
      <c r="AW8" s="84">
        <v>68</v>
      </c>
      <c r="AX8" s="9"/>
      <c r="AY8" s="10" t="e">
        <f t="shared" si="16"/>
        <v>#VALUE!</v>
      </c>
      <c r="AZ8" s="9" t="e">
        <f t="shared" si="9"/>
        <v>#VALUE!</v>
      </c>
      <c r="BA8" s="10" t="e">
        <f t="shared" si="17"/>
        <v>#VALUE!</v>
      </c>
      <c r="BB8" s="10">
        <f t="shared" si="18"/>
        <v>3.0451496811426225E-6</v>
      </c>
      <c r="BC8" s="9"/>
      <c r="BD8" s="9">
        <f t="shared" si="10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1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2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3"/>
        <v>1.0530263176114436E-6</v>
      </c>
      <c r="AL9">
        <f t="shared" si="14"/>
        <v>5.2651315880572185E-9</v>
      </c>
      <c r="AM9">
        <f t="shared" si="14"/>
        <v>0</v>
      </c>
      <c r="AN9">
        <f t="shared" si="15"/>
        <v>5.2651315880572185E-9</v>
      </c>
      <c r="AO9" t="str">
        <f>INPUTS!AP9</f>
        <v>NA</v>
      </c>
      <c r="AP9" s="70">
        <f t="shared" si="4"/>
        <v>3.281569422499217E-6</v>
      </c>
      <c r="AQ9" s="102">
        <f t="shared" si="5"/>
        <v>67.910893172283792</v>
      </c>
      <c r="AR9" s="70">
        <f>INPUTS!AS9</f>
        <v>9.5</v>
      </c>
      <c r="AS9" s="70">
        <f t="shared" si="6"/>
        <v>1889.9390966577716</v>
      </c>
      <c r="AT9" s="70">
        <f t="shared" si="7"/>
        <v>18899.390966577714</v>
      </c>
      <c r="AU9" s="70">
        <v>0</v>
      </c>
      <c r="AV9" s="84">
        <f t="shared" si="8"/>
        <v>0</v>
      </c>
      <c r="AW9" s="84">
        <v>68</v>
      </c>
      <c r="AX9" s="9"/>
      <c r="AY9" s="10" t="e">
        <f t="shared" si="16"/>
        <v>#VALUE!</v>
      </c>
      <c r="AZ9" s="9" t="e">
        <f t="shared" si="9"/>
        <v>#VALUE!</v>
      </c>
      <c r="BA9" s="10" t="e">
        <f t="shared" si="17"/>
        <v>#VALUE!</v>
      </c>
      <c r="BB9" s="10">
        <f t="shared" si="18"/>
        <v>1.0530263176114436E-6</v>
      </c>
      <c r="BC9" s="9"/>
      <c r="BD9" s="9">
        <f t="shared" si="10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1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2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3"/>
        <v>4.6675135142830591E-7</v>
      </c>
      <c r="AL10">
        <f t="shared" si="14"/>
        <v>2.3337567571415298E-9</v>
      </c>
      <c r="AM10">
        <f t="shared" si="14"/>
        <v>0</v>
      </c>
      <c r="AN10">
        <f t="shared" si="15"/>
        <v>2.3337567571415298E-9</v>
      </c>
      <c r="AO10" t="str">
        <f>INPUTS!AP10</f>
        <v>NA</v>
      </c>
      <c r="AP10" s="70">
        <f t="shared" si="4"/>
        <v>1.4545476567305404E-6</v>
      </c>
      <c r="AQ10" s="102">
        <f t="shared" si="5"/>
        <v>67.910893172283792</v>
      </c>
      <c r="AR10" s="70">
        <f>INPUTS!AS10</f>
        <v>9.5</v>
      </c>
      <c r="AS10" s="70">
        <f t="shared" si="6"/>
        <v>1889.9390966577716</v>
      </c>
      <c r="AT10" s="70">
        <f t="shared" si="7"/>
        <v>18899.390966577714</v>
      </c>
      <c r="AU10" s="70">
        <v>0</v>
      </c>
      <c r="AV10" s="84">
        <f t="shared" si="8"/>
        <v>0</v>
      </c>
      <c r="AW10" s="84">
        <v>68</v>
      </c>
      <c r="AX10" s="9"/>
      <c r="AY10" s="10" t="e">
        <f t="shared" si="16"/>
        <v>#VALUE!</v>
      </c>
      <c r="AZ10" s="9" t="e">
        <f t="shared" si="9"/>
        <v>#VALUE!</v>
      </c>
      <c r="BA10" s="10" t="e">
        <f t="shared" si="17"/>
        <v>#VALUE!</v>
      </c>
      <c r="BB10" s="10">
        <f t="shared" si="18"/>
        <v>4.6675135142830591E-7</v>
      </c>
      <c r="BC10" s="9"/>
      <c r="BD10" s="9">
        <f t="shared" si="10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1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2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3"/>
        <v>1.7931029397037642E-7</v>
      </c>
      <c r="AL11">
        <f t="shared" si="14"/>
        <v>8.9655146985188215E-10</v>
      </c>
      <c r="AM11">
        <f t="shared" si="14"/>
        <v>0</v>
      </c>
      <c r="AN11">
        <f t="shared" si="15"/>
        <v>8.9655146985188215E-10</v>
      </c>
      <c r="AO11" t="str">
        <f>INPUTS!AP11</f>
        <v>NA</v>
      </c>
      <c r="AP11" s="70">
        <f t="shared" si="4"/>
        <v>5.5878867222163193E-7</v>
      </c>
      <c r="AQ11" s="102">
        <f t="shared" si="5"/>
        <v>67.910893172283792</v>
      </c>
      <c r="AR11" s="70">
        <f>INPUTS!AS11</f>
        <v>9.5</v>
      </c>
      <c r="AS11" s="70">
        <f t="shared" si="6"/>
        <v>1889.9390966577716</v>
      </c>
      <c r="AT11" s="70">
        <f t="shared" si="7"/>
        <v>18899.390966577714</v>
      </c>
      <c r="AU11" s="70">
        <v>0</v>
      </c>
      <c r="AV11" s="84">
        <f t="shared" si="8"/>
        <v>0</v>
      </c>
      <c r="AW11" s="84">
        <v>68</v>
      </c>
      <c r="AX11" s="9"/>
      <c r="AY11" s="10" t="e">
        <f t="shared" si="16"/>
        <v>#VALUE!</v>
      </c>
      <c r="AZ11" s="9" t="e">
        <f t="shared" si="9"/>
        <v>#VALUE!</v>
      </c>
      <c r="BA11" s="10" t="e">
        <f t="shared" si="17"/>
        <v>#VALUE!</v>
      </c>
      <c r="BB11" s="10">
        <f t="shared" si="18"/>
        <v>1.7931029397037642E-7</v>
      </c>
      <c r="BC11" s="9"/>
      <c r="BD11" s="9">
        <f t="shared" si="10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2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3"/>
        <v>1.2583647059445005E-7</v>
      </c>
      <c r="AL12">
        <f t="shared" si="14"/>
        <v>6.2918235297225031E-10</v>
      </c>
      <c r="AM12">
        <f t="shared" si="14"/>
        <v>0</v>
      </c>
      <c r="AN12">
        <f t="shared" si="15"/>
        <v>6.2918235297225031E-10</v>
      </c>
      <c r="AO12" t="str">
        <f>INPUTS!AP12</f>
        <v>NA</v>
      </c>
      <c r="AP12" s="70">
        <f t="shared" si="4"/>
        <v>3.9214700262632978E-7</v>
      </c>
      <c r="AQ12" s="102">
        <f t="shared" si="5"/>
        <v>67.910893172283792</v>
      </c>
      <c r="AR12" s="70">
        <f>INPUTS!AS12</f>
        <v>9.5</v>
      </c>
      <c r="AS12" s="70">
        <f t="shared" si="6"/>
        <v>1889.9390966577716</v>
      </c>
      <c r="AT12" s="70">
        <f t="shared" si="7"/>
        <v>18899.390966577714</v>
      </c>
      <c r="AU12" s="70">
        <v>0</v>
      </c>
      <c r="AV12" s="84">
        <f t="shared" si="8"/>
        <v>0</v>
      </c>
      <c r="AW12" s="84">
        <v>68</v>
      </c>
      <c r="AX12" s="9"/>
      <c r="AY12" s="10" t="e">
        <f t="shared" si="16"/>
        <v>#VALUE!</v>
      </c>
      <c r="AZ12" s="9" t="e">
        <f t="shared" si="9"/>
        <v>#VALUE!</v>
      </c>
      <c r="BA12" s="10" t="e">
        <f t="shared" si="17"/>
        <v>#VALUE!</v>
      </c>
      <c r="BB12" s="10">
        <f t="shared" si="18"/>
        <v>1.2583647059445005E-7</v>
      </c>
      <c r="BC12" s="9"/>
      <c r="BD12" s="9">
        <f t="shared" si="10"/>
        <v>0</v>
      </c>
    </row>
    <row r="13" spans="1:56" x14ac:dyDescent="0.25">
      <c r="A13" s="111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>
        <f t="shared" ref="AO13:AO34" si="24">AO6</f>
        <v>1800</v>
      </c>
      <c r="AP13" s="70">
        <f t="shared" si="4"/>
        <v>1.1736520592639877E-3</v>
      </c>
      <c r="AQ13" s="102">
        <f t="shared" si="5"/>
        <v>57.725997070438204</v>
      </c>
      <c r="AR13" s="70">
        <f t="shared" ref="AR13" si="25">AR6</f>
        <v>6.5</v>
      </c>
      <c r="AS13" s="70">
        <f t="shared" ref="AS13" si="26">AS6</f>
        <v>965.96623965762194</v>
      </c>
      <c r="AT13" s="70">
        <f>AT6</f>
        <v>9659.6623965762192</v>
      </c>
      <c r="AU13" s="70">
        <v>0</v>
      </c>
      <c r="AV13" s="84">
        <f t="shared" si="8"/>
        <v>0</v>
      </c>
      <c r="AW13" s="84">
        <f>AW6</f>
        <v>60</v>
      </c>
      <c r="AX13" s="9"/>
      <c r="AY13" s="10"/>
      <c r="AZ13" s="9"/>
      <c r="BA13" s="10"/>
      <c r="BB13" s="10"/>
      <c r="BC13" s="9"/>
      <c r="BD13" s="9"/>
    </row>
    <row r="14" spans="1:56" x14ac:dyDescent="0.25">
      <c r="A14" s="111"/>
      <c r="B14">
        <f t="shared" ref="B14:B19" si="27">B7</f>
        <v>1</v>
      </c>
      <c r="C14" t="s">
        <v>126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si="24"/>
        <v>1800</v>
      </c>
      <c r="AP14" s="70">
        <f t="shared" si="4"/>
        <v>3.4867252364606023E-5</v>
      </c>
      <c r="AQ14" s="102">
        <f t="shared" si="5"/>
        <v>67.910893172283792</v>
      </c>
      <c r="AR14" s="70">
        <f t="shared" ref="AR14:AT14" si="32">AR7</f>
        <v>9.5</v>
      </c>
      <c r="AS14" s="70">
        <f t="shared" ref="AS14" si="33">AS7</f>
        <v>1889.9390966577716</v>
      </c>
      <c r="AT14" s="70">
        <f t="shared" si="32"/>
        <v>18899.390966577714</v>
      </c>
      <c r="AU14" s="70">
        <f t="shared" ref="AU14" si="34">AU7</f>
        <v>0</v>
      </c>
      <c r="AV14" s="84">
        <f t="shared" si="8"/>
        <v>0</v>
      </c>
      <c r="AW14" s="84">
        <f t="shared" ref="AW14:AW19" si="35">AW7</f>
        <v>68</v>
      </c>
      <c r="AX14" s="9"/>
      <c r="AY14" s="10"/>
      <c r="AZ14" s="9"/>
      <c r="BA14" s="10"/>
      <c r="BB14" s="10"/>
      <c r="BC14" s="9"/>
      <c r="BD14" s="9"/>
    </row>
    <row r="15" spans="1:56" x14ac:dyDescent="0.25">
      <c r="A15" s="111"/>
      <c r="B15">
        <f t="shared" si="27"/>
        <v>1</v>
      </c>
      <c r="C15" t="s">
        <v>126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6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7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t="str">
        <f t="shared" si="24"/>
        <v>NA</v>
      </c>
      <c r="AP15" s="70">
        <f t="shared" si="4"/>
        <v>9.4896679346414427E-6</v>
      </c>
      <c r="AQ15" s="102">
        <f t="shared" si="5"/>
        <v>67.910893172283792</v>
      </c>
      <c r="AR15" s="70">
        <f t="shared" ref="AR15:AT15" si="38">AR8</f>
        <v>9.5</v>
      </c>
      <c r="AS15" s="70">
        <f t="shared" ref="AS15" si="39">AS8</f>
        <v>1889.9390966577716</v>
      </c>
      <c r="AT15" s="70">
        <f t="shared" si="38"/>
        <v>18899.390966577714</v>
      </c>
      <c r="AU15" s="70">
        <f t="shared" ref="AU15" si="40">AU8</f>
        <v>0</v>
      </c>
      <c r="AV15" s="84">
        <f t="shared" si="8"/>
        <v>0</v>
      </c>
      <c r="AW15" s="84">
        <f t="shared" si="35"/>
        <v>68</v>
      </c>
      <c r="AX15" s="9"/>
      <c r="AY15" s="10"/>
      <c r="AZ15" s="9"/>
      <c r="BA15" s="10"/>
      <c r="BB15" s="10"/>
      <c r="BC15" s="9"/>
      <c r="BD15" s="9"/>
    </row>
    <row r="16" spans="1:56" x14ac:dyDescent="0.25">
      <c r="A16" s="111"/>
      <c r="B16">
        <f t="shared" si="27"/>
        <v>1</v>
      </c>
      <c r="C16" t="s">
        <v>126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1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2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t="str">
        <f t="shared" si="24"/>
        <v>NA</v>
      </c>
      <c r="AP16" s="70">
        <f t="shared" si="4"/>
        <v>3.281569422499217E-6</v>
      </c>
      <c r="AQ16" s="102">
        <f t="shared" si="5"/>
        <v>67.910893172283792</v>
      </c>
      <c r="AR16" s="70">
        <f t="shared" ref="AR16:AT16" si="43">AR9</f>
        <v>9.5</v>
      </c>
      <c r="AS16" s="70">
        <f t="shared" ref="AS16" si="44">AS9</f>
        <v>1889.9390966577716</v>
      </c>
      <c r="AT16" s="70">
        <f t="shared" si="43"/>
        <v>18899.390966577714</v>
      </c>
      <c r="AU16" s="70">
        <f t="shared" ref="AU16" si="45">AU9</f>
        <v>0</v>
      </c>
      <c r="AV16" s="84">
        <f t="shared" si="8"/>
        <v>0</v>
      </c>
      <c r="AW16" s="84">
        <f t="shared" si="35"/>
        <v>68</v>
      </c>
      <c r="AX16" s="9"/>
      <c r="AY16" s="10"/>
      <c r="AZ16" s="9"/>
      <c r="BA16" s="10"/>
      <c r="BB16" s="10"/>
      <c r="BC16" s="9"/>
      <c r="BD16" s="9"/>
    </row>
    <row r="17" spans="1:56" x14ac:dyDescent="0.25">
      <c r="A17" s="111"/>
      <c r="B17">
        <f t="shared" si="27"/>
        <v>1</v>
      </c>
      <c r="C17" t="s">
        <v>126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6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7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t="str">
        <f t="shared" si="24"/>
        <v>NA</v>
      </c>
      <c r="AP17" s="70">
        <f t="shared" si="4"/>
        <v>1.4545476567305404E-6</v>
      </c>
      <c r="AQ17" s="102">
        <f t="shared" si="5"/>
        <v>67.910893172283792</v>
      </c>
      <c r="AR17" s="70">
        <f t="shared" ref="AR17:AT17" si="48">AR10</f>
        <v>9.5</v>
      </c>
      <c r="AS17" s="70">
        <f t="shared" ref="AS17" si="49">AS10</f>
        <v>1889.9390966577716</v>
      </c>
      <c r="AT17" s="70">
        <f t="shared" si="48"/>
        <v>18899.390966577714</v>
      </c>
      <c r="AU17" s="70">
        <f t="shared" ref="AU17" si="50">AU10</f>
        <v>0</v>
      </c>
      <c r="AV17" s="84">
        <f t="shared" si="8"/>
        <v>0</v>
      </c>
      <c r="AW17" s="84">
        <f t="shared" si="35"/>
        <v>68</v>
      </c>
      <c r="AX17" s="9"/>
      <c r="AY17" s="10"/>
      <c r="AZ17" s="9"/>
      <c r="BA17" s="10"/>
      <c r="BB17" s="10"/>
      <c r="BC17" s="9"/>
      <c r="BD17" s="9"/>
    </row>
    <row r="18" spans="1:56" x14ac:dyDescent="0.25">
      <c r="A18" s="111"/>
      <c r="B18">
        <f t="shared" si="27"/>
        <v>1</v>
      </c>
      <c r="C18" t="s">
        <v>126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1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2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t="str">
        <f t="shared" si="24"/>
        <v>NA</v>
      </c>
      <c r="AP18" s="70">
        <f t="shared" si="4"/>
        <v>5.5878867222163193E-7</v>
      </c>
      <c r="AQ18" s="102">
        <f t="shared" si="5"/>
        <v>67.910893172283792</v>
      </c>
      <c r="AR18" s="70">
        <f t="shared" ref="AR18:AT18" si="53">AR11</f>
        <v>9.5</v>
      </c>
      <c r="AS18" s="70">
        <f t="shared" ref="AS18" si="54">AS11</f>
        <v>1889.9390966577716</v>
      </c>
      <c r="AT18" s="70">
        <f t="shared" si="53"/>
        <v>18899.390966577714</v>
      </c>
      <c r="AU18" s="70">
        <f t="shared" ref="AU18" si="55">AU11</f>
        <v>0</v>
      </c>
      <c r="AV18" s="84">
        <f t="shared" si="8"/>
        <v>0</v>
      </c>
      <c r="AW18" s="84">
        <f t="shared" si="35"/>
        <v>68</v>
      </c>
      <c r="AX18" s="9"/>
      <c r="AY18" s="10"/>
      <c r="AZ18" s="9"/>
      <c r="BA18" s="10"/>
      <c r="BB18" s="10"/>
      <c r="BC18" s="9"/>
      <c r="BD18" s="9"/>
    </row>
    <row r="19" spans="1:56" x14ac:dyDescent="0.25">
      <c r="A19" s="111"/>
      <c r="B19">
        <f t="shared" si="27"/>
        <v>1</v>
      </c>
      <c r="C19" t="s">
        <v>126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6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7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t="str">
        <f t="shared" si="24"/>
        <v>NA</v>
      </c>
      <c r="AP19" s="70">
        <f t="shared" si="4"/>
        <v>3.9214700262632978E-7</v>
      </c>
      <c r="AQ19" s="102">
        <f t="shared" si="5"/>
        <v>67.910893172283792</v>
      </c>
      <c r="AR19" s="70">
        <f t="shared" ref="AR19:AT19" si="58">AR12</f>
        <v>9.5</v>
      </c>
      <c r="AS19" s="70">
        <f t="shared" ref="AS19" si="59">AS12</f>
        <v>1889.9390966577716</v>
      </c>
      <c r="AT19" s="70">
        <f t="shared" si="58"/>
        <v>18899.390966577714</v>
      </c>
      <c r="AU19" s="70">
        <f t="shared" ref="AU19" si="60">AU12</f>
        <v>0</v>
      </c>
      <c r="AV19" s="84">
        <f t="shared" si="8"/>
        <v>0</v>
      </c>
      <c r="AW19" s="84">
        <f t="shared" si="35"/>
        <v>68</v>
      </c>
      <c r="AX19" s="9"/>
      <c r="AY19" s="10"/>
      <c r="AZ19" s="9"/>
      <c r="BA19" s="10"/>
      <c r="BB19" s="10"/>
      <c r="BC19" s="9"/>
      <c r="BD19" s="9"/>
    </row>
    <row r="20" spans="1:56" x14ac:dyDescent="0.25">
      <c r="A20" s="111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1">F7</f>
        <v>0</v>
      </c>
      <c r="G20">
        <f t="shared" si="61"/>
        <v>0</v>
      </c>
      <c r="H20" t="str">
        <f t="shared" si="61"/>
        <v>True</v>
      </c>
      <c r="I20" t="str">
        <f t="shared" si="61"/>
        <v>False</v>
      </c>
      <c r="J20">
        <f t="shared" si="61"/>
        <v>2.894E-2</v>
      </c>
      <c r="K20">
        <f t="shared" si="61"/>
        <v>2.894E-2</v>
      </c>
      <c r="L20">
        <f t="shared" si="61"/>
        <v>2E-3</v>
      </c>
      <c r="M20">
        <f t="shared" si="61"/>
        <v>0</v>
      </c>
      <c r="N20">
        <f t="shared" si="61"/>
        <v>0</v>
      </c>
      <c r="O20">
        <f t="shared" si="61"/>
        <v>0</v>
      </c>
      <c r="P20">
        <f t="shared" si="61"/>
        <v>0</v>
      </c>
      <c r="Q20">
        <f t="shared" si="61"/>
        <v>0</v>
      </c>
      <c r="R20">
        <f t="shared" si="61"/>
        <v>0</v>
      </c>
      <c r="S20">
        <f t="shared" si="61"/>
        <v>0</v>
      </c>
      <c r="T20" t="str">
        <f t="shared" si="61"/>
        <v>NA</v>
      </c>
      <c r="U20" t="str">
        <f t="shared" si="61"/>
        <v>NA</v>
      </c>
      <c r="V20" t="str">
        <f t="shared" si="61"/>
        <v>NA</v>
      </c>
      <c r="W20" s="1">
        <f t="shared" ref="W20" si="62">W7</f>
        <v>4.7804505939809229E-3</v>
      </c>
      <c r="X20" t="str">
        <f t="shared" si="61"/>
        <v>NA</v>
      </c>
      <c r="Y20" t="str">
        <f t="shared" si="61"/>
        <v>NA</v>
      </c>
      <c r="Z20" t="str">
        <f t="shared" si="61"/>
        <v>NA</v>
      </c>
      <c r="AA20" t="str">
        <f t="shared" si="61"/>
        <v>False</v>
      </c>
      <c r="AB20" t="str">
        <f t="shared" si="61"/>
        <v>NA</v>
      </c>
      <c r="AC20" t="str">
        <f t="shared" si="61"/>
        <v>NA</v>
      </c>
      <c r="AD20" t="str">
        <f t="shared" si="61"/>
        <v>False</v>
      </c>
      <c r="AE20">
        <f t="shared" si="61"/>
        <v>6.5815234465693123E-2</v>
      </c>
      <c r="AF20">
        <f t="shared" si="61"/>
        <v>2.1145753411309958E-2</v>
      </c>
      <c r="AG20">
        <f t="shared" ref="AG20" si="63">AG7</f>
        <v>0</v>
      </c>
      <c r="AH20">
        <f t="shared" si="61"/>
        <v>0.21145753411309956</v>
      </c>
      <c r="AI20">
        <f t="shared" si="61"/>
        <v>1.1188589859167832E-5</v>
      </c>
      <c r="AJ20">
        <f t="shared" si="61"/>
        <v>0</v>
      </c>
      <c r="AK20">
        <f t="shared" si="61"/>
        <v>1.1188589859167832E-5</v>
      </c>
      <c r="AL20">
        <f t="shared" si="61"/>
        <v>5.5942949295839161E-8</v>
      </c>
      <c r="AM20">
        <f t="shared" si="61"/>
        <v>0</v>
      </c>
      <c r="AN20">
        <f t="shared" si="61"/>
        <v>5.5942949295839161E-8</v>
      </c>
      <c r="AO20">
        <f t="shared" si="24"/>
        <v>1800</v>
      </c>
      <c r="AP20" s="70">
        <f t="shared" si="4"/>
        <v>3.4867252364606023E-5</v>
      </c>
      <c r="AQ20" s="102">
        <f t="shared" si="5"/>
        <v>67.910893172283792</v>
      </c>
      <c r="AR20" s="70">
        <f t="shared" ref="AR20:AT20" si="64">AR7</f>
        <v>9.5</v>
      </c>
      <c r="AS20" s="70">
        <f t="shared" ref="AS20" si="65">AS7</f>
        <v>1889.9390966577716</v>
      </c>
      <c r="AT20" s="70">
        <f t="shared" si="64"/>
        <v>18899.390966577714</v>
      </c>
      <c r="AU20" s="70">
        <f t="shared" ref="AU20" si="66">AU7</f>
        <v>0</v>
      </c>
      <c r="AV20" s="84">
        <f t="shared" si="8"/>
        <v>0</v>
      </c>
      <c r="AW20" s="84">
        <f>AW7</f>
        <v>68</v>
      </c>
      <c r="AX20" s="9"/>
      <c r="AY20" s="10"/>
      <c r="AZ20" s="9"/>
      <c r="BA20" s="10"/>
      <c r="BB20" s="10"/>
      <c r="BC20" s="9"/>
      <c r="BD20" s="9"/>
    </row>
    <row r="21" spans="1:56" x14ac:dyDescent="0.25">
      <c r="A21" s="111"/>
      <c r="B21">
        <f t="shared" ref="B21:B34" si="67">B8</f>
        <v>1</v>
      </c>
      <c r="C21" t="s">
        <v>127</v>
      </c>
      <c r="D21">
        <f t="shared" ref="D21:D25" si="68">D8-4</f>
        <v>2</v>
      </c>
      <c r="E21">
        <f t="shared" ref="E21:T25" si="69">E8</f>
        <v>2191680</v>
      </c>
      <c r="F21">
        <f t="shared" si="69"/>
        <v>0</v>
      </c>
      <c r="G21">
        <f t="shared" si="69"/>
        <v>0</v>
      </c>
      <c r="H21" t="str">
        <f t="shared" si="69"/>
        <v>True</v>
      </c>
      <c r="I21" t="str">
        <f t="shared" si="69"/>
        <v>False</v>
      </c>
      <c r="J21">
        <f t="shared" si="69"/>
        <v>2.894E-2</v>
      </c>
      <c r="K21">
        <f t="shared" si="69"/>
        <v>2.894E-2</v>
      </c>
      <c r="L21">
        <f t="shared" si="69"/>
        <v>7.2000000000000005E-4</v>
      </c>
      <c r="M21">
        <f t="shared" si="69"/>
        <v>0</v>
      </c>
      <c r="N21">
        <f t="shared" si="69"/>
        <v>0</v>
      </c>
      <c r="O21">
        <f t="shared" si="69"/>
        <v>0</v>
      </c>
      <c r="P21">
        <f t="shared" si="69"/>
        <v>0</v>
      </c>
      <c r="Q21">
        <f t="shared" si="69"/>
        <v>0</v>
      </c>
      <c r="R21">
        <f t="shared" si="69"/>
        <v>0</v>
      </c>
      <c r="S21">
        <f t="shared" si="69"/>
        <v>0</v>
      </c>
      <c r="T21" t="str">
        <f t="shared" si="69"/>
        <v>NA</v>
      </c>
      <c r="U21" t="str">
        <f t="shared" si="61"/>
        <v>NA</v>
      </c>
      <c r="V21" t="str">
        <f t="shared" si="61"/>
        <v>NA</v>
      </c>
      <c r="W21" s="1">
        <f t="shared" ref="W21" si="70">W8</f>
        <v>6.4152407049273701E-6</v>
      </c>
      <c r="X21" t="str">
        <f t="shared" si="61"/>
        <v>NA</v>
      </c>
      <c r="Y21" t="str">
        <f t="shared" si="61"/>
        <v>NA</v>
      </c>
      <c r="Z21" t="str">
        <f t="shared" si="61"/>
        <v>NA</v>
      </c>
      <c r="AA21" t="str">
        <f t="shared" si="61"/>
        <v>False</v>
      </c>
      <c r="AB21" t="str">
        <f t="shared" si="61"/>
        <v>NA</v>
      </c>
      <c r="AC21" t="str">
        <f t="shared" si="61"/>
        <v>NA</v>
      </c>
      <c r="AD21" t="str">
        <f t="shared" si="61"/>
        <v>False</v>
      </c>
      <c r="AE21">
        <f t="shared" si="61"/>
        <v>1.7912645183191897E-2</v>
      </c>
      <c r="AF21">
        <f t="shared" si="61"/>
        <v>5.7551474375663898E-3</v>
      </c>
      <c r="AG21">
        <f t="shared" ref="AG21" si="71">AG8</f>
        <v>0</v>
      </c>
      <c r="AH21">
        <f t="shared" si="61"/>
        <v>5.7551474375663887E-2</v>
      </c>
      <c r="AI21">
        <f t="shared" si="61"/>
        <v>3.0451496811426225E-6</v>
      </c>
      <c r="AJ21">
        <f t="shared" si="61"/>
        <v>0</v>
      </c>
      <c r="AK21">
        <f t="shared" si="61"/>
        <v>3.0451496811426225E-6</v>
      </c>
      <c r="AL21">
        <f t="shared" si="61"/>
        <v>1.5225748405713114E-8</v>
      </c>
      <c r="AM21">
        <f t="shared" si="61"/>
        <v>0</v>
      </c>
      <c r="AN21">
        <f t="shared" si="61"/>
        <v>1.5225748405713114E-8</v>
      </c>
      <c r="AO21">
        <f t="shared" si="24"/>
        <v>1800</v>
      </c>
      <c r="AP21" s="70">
        <f t="shared" si="4"/>
        <v>9.4896679346414427E-6</v>
      </c>
      <c r="AQ21" s="102">
        <f t="shared" si="5"/>
        <v>67.910893172283792</v>
      </c>
      <c r="AR21" s="70">
        <f t="shared" ref="AR21:AT21" si="72">AR8</f>
        <v>9.5</v>
      </c>
      <c r="AS21" s="70">
        <f t="shared" ref="AS21" si="73">AS8</f>
        <v>1889.9390966577716</v>
      </c>
      <c r="AT21" s="70">
        <f t="shared" si="72"/>
        <v>18899.390966577714</v>
      </c>
      <c r="AU21" s="70">
        <f t="shared" ref="AU21" si="74">AU8</f>
        <v>0</v>
      </c>
      <c r="AV21" s="84">
        <f t="shared" si="8"/>
        <v>0</v>
      </c>
      <c r="AW21" s="84">
        <f t="shared" ref="AW21:AW25" si="75">AW8</f>
        <v>68</v>
      </c>
      <c r="AX21" s="9"/>
      <c r="AY21" s="10"/>
      <c r="AZ21" s="9"/>
      <c r="BA21" s="10"/>
      <c r="BB21" s="10"/>
      <c r="BC21" s="9"/>
      <c r="BD21" s="9"/>
    </row>
    <row r="22" spans="1:56" x14ac:dyDescent="0.25">
      <c r="A22" s="111"/>
      <c r="B22">
        <f t="shared" si="67"/>
        <v>1</v>
      </c>
      <c r="C22" t="s">
        <v>127</v>
      </c>
      <c r="D22">
        <f t="shared" si="68"/>
        <v>3</v>
      </c>
      <c r="E22">
        <f t="shared" si="69"/>
        <v>1643760</v>
      </c>
      <c r="F22">
        <f t="shared" si="61"/>
        <v>0</v>
      </c>
      <c r="G22">
        <f t="shared" si="61"/>
        <v>0</v>
      </c>
      <c r="H22" t="str">
        <f t="shared" si="61"/>
        <v>True</v>
      </c>
      <c r="I22" t="str">
        <f t="shared" si="61"/>
        <v>False</v>
      </c>
      <c r="J22">
        <f t="shared" si="61"/>
        <v>2.894E-2</v>
      </c>
      <c r="K22">
        <f t="shared" si="61"/>
        <v>2.894E-2</v>
      </c>
      <c r="L22">
        <f t="shared" si="61"/>
        <v>3.1E-4</v>
      </c>
      <c r="M22">
        <f t="shared" si="61"/>
        <v>0</v>
      </c>
      <c r="N22">
        <f t="shared" si="61"/>
        <v>0</v>
      </c>
      <c r="O22">
        <f t="shared" si="61"/>
        <v>0</v>
      </c>
      <c r="P22">
        <f t="shared" si="61"/>
        <v>0</v>
      </c>
      <c r="Q22">
        <f t="shared" si="61"/>
        <v>0</v>
      </c>
      <c r="R22">
        <f t="shared" si="61"/>
        <v>0</v>
      </c>
      <c r="S22">
        <f t="shared" si="61"/>
        <v>0</v>
      </c>
      <c r="T22" t="str">
        <f t="shared" si="61"/>
        <v>NA</v>
      </c>
      <c r="U22" t="str">
        <f t="shared" si="61"/>
        <v>NA</v>
      </c>
      <c r="V22" t="str">
        <f t="shared" si="61"/>
        <v>NA</v>
      </c>
      <c r="W22" s="1">
        <f t="shared" ref="W22" si="76">W9</f>
        <v>2.3349332116543619E-6</v>
      </c>
      <c r="X22" t="str">
        <f t="shared" si="61"/>
        <v>NA</v>
      </c>
      <c r="Y22" t="str">
        <f t="shared" si="61"/>
        <v>NA</v>
      </c>
      <c r="Z22" t="str">
        <f t="shared" si="61"/>
        <v>NA</v>
      </c>
      <c r="AA22" t="str">
        <f t="shared" si="61"/>
        <v>False</v>
      </c>
      <c r="AB22" t="str">
        <f t="shared" si="61"/>
        <v>NA</v>
      </c>
      <c r="AC22" t="str">
        <f t="shared" si="61"/>
        <v>NA</v>
      </c>
      <c r="AD22" t="str">
        <f t="shared" si="61"/>
        <v>False</v>
      </c>
      <c r="AE22">
        <f t="shared" si="61"/>
        <v>6.1942724565379036E-3</v>
      </c>
      <c r="AF22">
        <f t="shared" si="61"/>
        <v>1.9901556074634315E-3</v>
      </c>
      <c r="AG22">
        <f t="shared" ref="AG22" si="77">AG9</f>
        <v>0</v>
      </c>
      <c r="AH22">
        <f t="shared" si="61"/>
        <v>1.9901556074634313E-2</v>
      </c>
      <c r="AI22">
        <f t="shared" si="61"/>
        <v>1.0530263176114436E-6</v>
      </c>
      <c r="AJ22">
        <f t="shared" si="61"/>
        <v>0</v>
      </c>
      <c r="AK22">
        <f t="shared" si="61"/>
        <v>1.0530263176114436E-6</v>
      </c>
      <c r="AL22">
        <f t="shared" si="61"/>
        <v>5.2651315880572185E-9</v>
      </c>
      <c r="AM22">
        <f t="shared" si="61"/>
        <v>0</v>
      </c>
      <c r="AN22">
        <f t="shared" si="61"/>
        <v>5.2651315880572185E-9</v>
      </c>
      <c r="AO22" t="str">
        <f t="shared" si="24"/>
        <v>NA</v>
      </c>
      <c r="AP22" s="70">
        <f t="shared" si="4"/>
        <v>3.281569422499217E-6</v>
      </c>
      <c r="AQ22" s="102">
        <f t="shared" si="5"/>
        <v>67.910893172283792</v>
      </c>
      <c r="AR22" s="70">
        <f t="shared" ref="AR22:AT22" si="78">AR9</f>
        <v>9.5</v>
      </c>
      <c r="AS22" s="70">
        <f t="shared" ref="AS22" si="79">AS9</f>
        <v>1889.9390966577716</v>
      </c>
      <c r="AT22" s="70">
        <f t="shared" si="78"/>
        <v>18899.390966577714</v>
      </c>
      <c r="AU22" s="70">
        <f t="shared" ref="AU22" si="80">AU9</f>
        <v>0</v>
      </c>
      <c r="AV22" s="84">
        <f t="shared" si="8"/>
        <v>0</v>
      </c>
      <c r="AW22" s="84">
        <f t="shared" si="75"/>
        <v>68</v>
      </c>
      <c r="AX22" s="9"/>
      <c r="AY22" s="10"/>
      <c r="AZ22" s="9"/>
      <c r="BA22" s="10"/>
      <c r="BB22" s="10"/>
      <c r="BC22" s="9"/>
      <c r="BD22" s="9"/>
    </row>
    <row r="23" spans="1:56" x14ac:dyDescent="0.25">
      <c r="A23" s="111"/>
      <c r="B23">
        <f t="shared" si="67"/>
        <v>1</v>
      </c>
      <c r="C23" t="s">
        <v>127</v>
      </c>
      <c r="D23">
        <f t="shared" si="68"/>
        <v>4</v>
      </c>
      <c r="E23">
        <f t="shared" si="69"/>
        <v>1095840</v>
      </c>
      <c r="F23">
        <f t="shared" si="61"/>
        <v>0</v>
      </c>
      <c r="G23">
        <f t="shared" si="61"/>
        <v>0</v>
      </c>
      <c r="H23" t="str">
        <f t="shared" si="61"/>
        <v>True</v>
      </c>
      <c r="I23" t="str">
        <f t="shared" si="61"/>
        <v>False</v>
      </c>
      <c r="J23">
        <f t="shared" si="61"/>
        <v>2.894E-2</v>
      </c>
      <c r="K23">
        <f t="shared" si="61"/>
        <v>2.894E-2</v>
      </c>
      <c r="L23">
        <f t="shared" si="61"/>
        <v>1.6000000000000001E-4</v>
      </c>
      <c r="M23">
        <f t="shared" si="61"/>
        <v>0</v>
      </c>
      <c r="N23">
        <f t="shared" si="61"/>
        <v>0</v>
      </c>
      <c r="O23">
        <f t="shared" si="61"/>
        <v>0</v>
      </c>
      <c r="P23">
        <f t="shared" si="61"/>
        <v>0</v>
      </c>
      <c r="Q23">
        <f t="shared" si="61"/>
        <v>0</v>
      </c>
      <c r="R23">
        <f t="shared" si="61"/>
        <v>0</v>
      </c>
      <c r="S23">
        <f t="shared" si="61"/>
        <v>0</v>
      </c>
      <c r="T23" t="str">
        <f t="shared" si="61"/>
        <v>NA</v>
      </c>
      <c r="U23" t="str">
        <f t="shared" si="61"/>
        <v>NA</v>
      </c>
      <c r="V23" t="str">
        <f t="shared" si="61"/>
        <v>NA</v>
      </c>
      <c r="W23" s="1">
        <f t="shared" ref="W23" si="81">W10</f>
        <v>9.1658819653476345E-7</v>
      </c>
      <c r="X23" t="str">
        <f t="shared" si="61"/>
        <v>NA</v>
      </c>
      <c r="Y23" t="str">
        <f t="shared" si="61"/>
        <v>NA</v>
      </c>
      <c r="Z23" t="str">
        <f t="shared" si="61"/>
        <v>NA</v>
      </c>
      <c r="AA23" t="str">
        <f t="shared" si="61"/>
        <v>False</v>
      </c>
      <c r="AB23" t="str">
        <f t="shared" si="61"/>
        <v>NA</v>
      </c>
      <c r="AC23" t="str">
        <f t="shared" si="61"/>
        <v>NA</v>
      </c>
      <c r="AD23" t="str">
        <f t="shared" si="61"/>
        <v>False</v>
      </c>
      <c r="AE23">
        <f t="shared" si="61"/>
        <v>2.7455961848723877E-3</v>
      </c>
      <c r="AF23">
        <f t="shared" si="61"/>
        <v>8.8213162748220658E-4</v>
      </c>
      <c r="AG23">
        <f t="shared" ref="AG23" si="82">AG10</f>
        <v>0</v>
      </c>
      <c r="AH23">
        <f t="shared" si="61"/>
        <v>8.8213162748220653E-3</v>
      </c>
      <c r="AI23">
        <f t="shared" si="61"/>
        <v>4.6675135142830591E-7</v>
      </c>
      <c r="AJ23">
        <f t="shared" si="61"/>
        <v>0</v>
      </c>
      <c r="AK23">
        <f t="shared" si="61"/>
        <v>4.6675135142830591E-7</v>
      </c>
      <c r="AL23">
        <f t="shared" si="61"/>
        <v>2.3337567571415298E-9</v>
      </c>
      <c r="AM23">
        <f t="shared" si="61"/>
        <v>0</v>
      </c>
      <c r="AN23">
        <f t="shared" si="61"/>
        <v>2.3337567571415298E-9</v>
      </c>
      <c r="AO23" t="str">
        <f t="shared" si="24"/>
        <v>NA</v>
      </c>
      <c r="AP23" s="70">
        <f t="shared" si="4"/>
        <v>1.4545476567305404E-6</v>
      </c>
      <c r="AQ23" s="102">
        <f t="shared" si="5"/>
        <v>67.910893172283792</v>
      </c>
      <c r="AR23" s="70">
        <f t="shared" ref="AR23:AT23" si="83">AR10</f>
        <v>9.5</v>
      </c>
      <c r="AS23" s="70">
        <f t="shared" ref="AS23" si="84">AS10</f>
        <v>1889.9390966577716</v>
      </c>
      <c r="AT23" s="70">
        <f t="shared" si="83"/>
        <v>18899.390966577714</v>
      </c>
      <c r="AU23" s="70">
        <f t="shared" ref="AU23" si="85">AU10</f>
        <v>0</v>
      </c>
      <c r="AV23" s="84">
        <f t="shared" si="8"/>
        <v>0</v>
      </c>
      <c r="AW23" s="84">
        <f t="shared" si="75"/>
        <v>68</v>
      </c>
      <c r="AX23" s="9"/>
      <c r="AY23" s="10"/>
      <c r="AZ23" s="9"/>
      <c r="BA23" s="10"/>
      <c r="BB23" s="10"/>
      <c r="BC23" s="9"/>
      <c r="BD23" s="9"/>
    </row>
    <row r="24" spans="1:56" x14ac:dyDescent="0.25">
      <c r="A24" s="111"/>
      <c r="B24">
        <f t="shared" si="67"/>
        <v>1</v>
      </c>
      <c r="C24" t="s">
        <v>127</v>
      </c>
      <c r="D24">
        <f t="shared" si="68"/>
        <v>5</v>
      </c>
      <c r="E24">
        <f t="shared" si="69"/>
        <v>547920</v>
      </c>
      <c r="F24">
        <f t="shared" si="61"/>
        <v>0</v>
      </c>
      <c r="G24">
        <f t="shared" si="61"/>
        <v>0</v>
      </c>
      <c r="H24" t="str">
        <f t="shared" si="61"/>
        <v>True</v>
      </c>
      <c r="I24" t="str">
        <f t="shared" si="61"/>
        <v>False</v>
      </c>
      <c r="J24">
        <f t="shared" si="61"/>
        <v>2.894E-2</v>
      </c>
      <c r="K24">
        <f t="shared" si="61"/>
        <v>2.894E-2</v>
      </c>
      <c r="L24">
        <f t="shared" si="61"/>
        <v>6.9999999999999994E-5</v>
      </c>
      <c r="M24">
        <f t="shared" si="61"/>
        <v>0</v>
      </c>
      <c r="N24">
        <f t="shared" si="61"/>
        <v>0</v>
      </c>
      <c r="O24">
        <f t="shared" si="61"/>
        <v>0</v>
      </c>
      <c r="P24">
        <f t="shared" si="61"/>
        <v>0</v>
      </c>
      <c r="Q24">
        <f t="shared" si="61"/>
        <v>0</v>
      </c>
      <c r="R24">
        <f t="shared" si="61"/>
        <v>0</v>
      </c>
      <c r="S24">
        <f t="shared" si="61"/>
        <v>0</v>
      </c>
      <c r="T24" t="str">
        <f t="shared" si="61"/>
        <v>NA</v>
      </c>
      <c r="U24" t="str">
        <f t="shared" si="61"/>
        <v>NA</v>
      </c>
      <c r="V24" t="str">
        <f t="shared" si="61"/>
        <v>NA</v>
      </c>
      <c r="W24" s="1">
        <f t="shared" ref="W24" si="86">W11</f>
        <v>3.8709515855680863E-7</v>
      </c>
      <c r="X24" t="str">
        <f t="shared" si="61"/>
        <v>NA</v>
      </c>
      <c r="Y24" t="str">
        <f t="shared" si="61"/>
        <v>NA</v>
      </c>
      <c r="Z24" t="str">
        <f t="shared" si="61"/>
        <v>NA</v>
      </c>
      <c r="AA24" t="str">
        <f t="shared" si="61"/>
        <v>False</v>
      </c>
      <c r="AB24" t="str">
        <f t="shared" si="61"/>
        <v>NA</v>
      </c>
      <c r="AC24" t="str">
        <f t="shared" si="61"/>
        <v>NA</v>
      </c>
      <c r="AD24" t="str">
        <f t="shared" si="61"/>
        <v>False</v>
      </c>
      <c r="AE24">
        <f t="shared" si="61"/>
        <v>1.0547664351198613E-3</v>
      </c>
      <c r="AF24">
        <f t="shared" si="61"/>
        <v>3.3888553500781266E-4</v>
      </c>
      <c r="AG24">
        <f t="shared" ref="AG24" si="87">AG11</f>
        <v>0</v>
      </c>
      <c r="AH24">
        <f t="shared" si="61"/>
        <v>3.3888553500781263E-3</v>
      </c>
      <c r="AI24">
        <f t="shared" si="61"/>
        <v>1.7931029397037642E-7</v>
      </c>
      <c r="AJ24">
        <f t="shared" si="61"/>
        <v>0</v>
      </c>
      <c r="AK24">
        <f t="shared" si="61"/>
        <v>1.7931029397037642E-7</v>
      </c>
      <c r="AL24">
        <f t="shared" si="61"/>
        <v>8.9655146985188215E-10</v>
      </c>
      <c r="AM24">
        <f t="shared" si="61"/>
        <v>0</v>
      </c>
      <c r="AN24">
        <f t="shared" si="61"/>
        <v>8.9655146985188215E-10</v>
      </c>
      <c r="AO24" t="str">
        <f t="shared" si="24"/>
        <v>NA</v>
      </c>
      <c r="AP24" s="70">
        <f t="shared" si="4"/>
        <v>5.5878867222163193E-7</v>
      </c>
      <c r="AQ24" s="102">
        <f t="shared" si="5"/>
        <v>67.910893172283792</v>
      </c>
      <c r="AR24" s="70">
        <f t="shared" ref="AR24:AT24" si="88">AR11</f>
        <v>9.5</v>
      </c>
      <c r="AS24" s="70">
        <f t="shared" ref="AS24" si="89">AS11</f>
        <v>1889.9390966577716</v>
      </c>
      <c r="AT24" s="70">
        <f t="shared" si="88"/>
        <v>18899.390966577714</v>
      </c>
      <c r="AU24" s="70">
        <f t="shared" ref="AU24" si="90">AU11</f>
        <v>0</v>
      </c>
      <c r="AV24" s="84">
        <f t="shared" si="8"/>
        <v>0</v>
      </c>
      <c r="AW24" s="84">
        <f t="shared" si="75"/>
        <v>68</v>
      </c>
      <c r="AX24" s="9"/>
      <c r="AY24" s="10"/>
      <c r="AZ24" s="9"/>
      <c r="BA24" s="10"/>
      <c r="BB24" s="10"/>
      <c r="BC24" s="9"/>
      <c r="BD24" s="9"/>
    </row>
    <row r="25" spans="1:56" x14ac:dyDescent="0.25">
      <c r="A25" s="111"/>
      <c r="B25">
        <f t="shared" si="67"/>
        <v>1</v>
      </c>
      <c r="C25" t="s">
        <v>127</v>
      </c>
      <c r="D25">
        <f t="shared" si="68"/>
        <v>6</v>
      </c>
      <c r="E25">
        <f t="shared" si="69"/>
        <v>0</v>
      </c>
      <c r="F25">
        <f t="shared" si="61"/>
        <v>0</v>
      </c>
      <c r="G25">
        <f t="shared" si="61"/>
        <v>0</v>
      </c>
      <c r="H25" t="str">
        <f t="shared" si="61"/>
        <v>True</v>
      </c>
      <c r="I25" t="str">
        <f t="shared" si="61"/>
        <v>False</v>
      </c>
      <c r="J25">
        <f t="shared" si="61"/>
        <v>2.894E-2</v>
      </c>
      <c r="K25">
        <f t="shared" si="61"/>
        <v>2.894E-2</v>
      </c>
      <c r="L25">
        <f t="shared" si="61"/>
        <v>5.0000000000000002E-5</v>
      </c>
      <c r="M25">
        <f t="shared" si="61"/>
        <v>0</v>
      </c>
      <c r="N25">
        <f t="shared" si="61"/>
        <v>0</v>
      </c>
      <c r="O25">
        <f t="shared" si="61"/>
        <v>0</v>
      </c>
      <c r="P25">
        <f t="shared" si="61"/>
        <v>0</v>
      </c>
      <c r="Q25">
        <f t="shared" si="61"/>
        <v>0</v>
      </c>
      <c r="R25">
        <f t="shared" si="61"/>
        <v>0</v>
      </c>
      <c r="S25">
        <f t="shared" si="61"/>
        <v>0</v>
      </c>
      <c r="T25" t="str">
        <f t="shared" si="61"/>
        <v>NA</v>
      </c>
      <c r="U25" t="str">
        <f t="shared" si="61"/>
        <v>NA</v>
      </c>
      <c r="V25" t="str">
        <f t="shared" si="61"/>
        <v>NA</v>
      </c>
      <c r="W25" s="1">
        <f t="shared" ref="W25" si="91">W12</f>
        <v>1.9999999999999999E-7</v>
      </c>
      <c r="X25" t="str">
        <f t="shared" si="61"/>
        <v>NA</v>
      </c>
      <c r="Y25" t="str">
        <f t="shared" si="61"/>
        <v>NA</v>
      </c>
      <c r="Z25" t="str">
        <f t="shared" si="61"/>
        <v>NA</v>
      </c>
      <c r="AA25" t="str">
        <f t="shared" si="61"/>
        <v>False</v>
      </c>
      <c r="AB25" t="str">
        <f t="shared" si="61"/>
        <v>NA</v>
      </c>
      <c r="AC25" t="str">
        <f t="shared" si="61"/>
        <v>NA</v>
      </c>
      <c r="AD25" t="str">
        <f t="shared" si="61"/>
        <v>False</v>
      </c>
      <c r="AE25">
        <f t="shared" si="61"/>
        <v>7.4021453290852969E-4</v>
      </c>
      <c r="AF25">
        <f t="shared" si="61"/>
        <v>2.3782326556187717E-4</v>
      </c>
      <c r="AG25">
        <f t="shared" ref="AG25" si="92">AG12</f>
        <v>0</v>
      </c>
      <c r="AH25">
        <f t="shared" si="61"/>
        <v>2.3782326556187716E-3</v>
      </c>
      <c r="AI25">
        <f t="shared" si="61"/>
        <v>1.2583647059445005E-7</v>
      </c>
      <c r="AJ25">
        <f t="shared" si="61"/>
        <v>0</v>
      </c>
      <c r="AK25">
        <f t="shared" si="61"/>
        <v>1.2583647059445005E-7</v>
      </c>
      <c r="AL25">
        <f t="shared" si="61"/>
        <v>6.2918235297225031E-10</v>
      </c>
      <c r="AM25">
        <f t="shared" si="61"/>
        <v>0</v>
      </c>
      <c r="AN25">
        <f t="shared" si="61"/>
        <v>6.2918235297225031E-10</v>
      </c>
      <c r="AO25" t="str">
        <f t="shared" si="24"/>
        <v>NA</v>
      </c>
      <c r="AP25" s="70">
        <f t="shared" si="4"/>
        <v>3.9214700262632978E-7</v>
      </c>
      <c r="AQ25" s="102">
        <f t="shared" si="5"/>
        <v>67.910893172283792</v>
      </c>
      <c r="AR25" s="70">
        <f t="shared" ref="AR25:AT25" si="93">AR12</f>
        <v>9.5</v>
      </c>
      <c r="AS25" s="70">
        <f t="shared" ref="AS25" si="94">AS12</f>
        <v>1889.9390966577716</v>
      </c>
      <c r="AT25" s="70">
        <f t="shared" si="93"/>
        <v>18899.390966577714</v>
      </c>
      <c r="AU25" s="70">
        <f t="shared" ref="AU25" si="95">AU12</f>
        <v>0</v>
      </c>
      <c r="AV25" s="84">
        <f t="shared" si="8"/>
        <v>0</v>
      </c>
      <c r="AW25" s="84">
        <f t="shared" si="75"/>
        <v>68</v>
      </c>
      <c r="AX25" s="9"/>
      <c r="AY25" s="10"/>
      <c r="AZ25" s="9"/>
      <c r="BA25" s="10"/>
      <c r="BB25" s="10"/>
      <c r="BC25" s="9"/>
      <c r="BD25" s="9"/>
    </row>
    <row r="26" spans="1:56" x14ac:dyDescent="0.25">
      <c r="A26" s="111"/>
      <c r="B26">
        <f t="shared" si="67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6">F8</f>
        <v>0</v>
      </c>
      <c r="G26">
        <f t="shared" si="96"/>
        <v>0</v>
      </c>
      <c r="H26" t="str">
        <f t="shared" si="96"/>
        <v>True</v>
      </c>
      <c r="I26" t="str">
        <f t="shared" si="96"/>
        <v>False</v>
      </c>
      <c r="J26">
        <f t="shared" si="96"/>
        <v>2.894E-2</v>
      </c>
      <c r="K26">
        <f t="shared" si="96"/>
        <v>2.894E-2</v>
      </c>
      <c r="L26">
        <f t="shared" si="96"/>
        <v>7.2000000000000005E-4</v>
      </c>
      <c r="M26">
        <f t="shared" si="96"/>
        <v>0</v>
      </c>
      <c r="N26">
        <f t="shared" si="96"/>
        <v>0</v>
      </c>
      <c r="O26">
        <f t="shared" si="96"/>
        <v>0</v>
      </c>
      <c r="P26">
        <f t="shared" si="96"/>
        <v>0</v>
      </c>
      <c r="Q26">
        <f t="shared" si="96"/>
        <v>0</v>
      </c>
      <c r="R26">
        <f t="shared" si="96"/>
        <v>0</v>
      </c>
      <c r="S26">
        <f t="shared" si="96"/>
        <v>0</v>
      </c>
      <c r="T26" t="str">
        <f t="shared" si="96"/>
        <v>NA</v>
      </c>
      <c r="U26" t="str">
        <f t="shared" si="96"/>
        <v>NA</v>
      </c>
      <c r="V26" t="str">
        <f t="shared" si="96"/>
        <v>NA</v>
      </c>
      <c r="W26" s="1">
        <f t="shared" ref="W26" si="97">W8</f>
        <v>6.4152407049273701E-6</v>
      </c>
      <c r="X26" t="str">
        <f t="shared" si="96"/>
        <v>NA</v>
      </c>
      <c r="Y26" t="str">
        <f t="shared" si="96"/>
        <v>NA</v>
      </c>
      <c r="Z26" t="str">
        <f t="shared" si="96"/>
        <v>NA</v>
      </c>
      <c r="AA26" t="str">
        <f t="shared" si="96"/>
        <v>False</v>
      </c>
      <c r="AB26" t="str">
        <f t="shared" si="96"/>
        <v>NA</v>
      </c>
      <c r="AC26" t="str">
        <f t="shared" si="96"/>
        <v>NA</v>
      </c>
      <c r="AD26" t="str">
        <f t="shared" si="96"/>
        <v>False</v>
      </c>
      <c r="AE26">
        <f t="shared" si="96"/>
        <v>1.7912645183191897E-2</v>
      </c>
      <c r="AF26">
        <f t="shared" si="96"/>
        <v>5.7551474375663898E-3</v>
      </c>
      <c r="AG26">
        <f t="shared" ref="AG26" si="98">AG8</f>
        <v>0</v>
      </c>
      <c r="AH26">
        <f t="shared" si="96"/>
        <v>5.7551474375663887E-2</v>
      </c>
      <c r="AI26">
        <f t="shared" si="96"/>
        <v>3.0451496811426225E-6</v>
      </c>
      <c r="AJ26">
        <f t="shared" si="96"/>
        <v>0</v>
      </c>
      <c r="AK26">
        <f t="shared" si="96"/>
        <v>3.0451496811426225E-6</v>
      </c>
      <c r="AL26">
        <f t="shared" si="96"/>
        <v>1.5225748405713114E-8</v>
      </c>
      <c r="AM26">
        <f t="shared" si="96"/>
        <v>0</v>
      </c>
      <c r="AN26">
        <f t="shared" si="96"/>
        <v>1.5225748405713114E-8</v>
      </c>
      <c r="AO26" t="str">
        <f t="shared" si="24"/>
        <v>NA</v>
      </c>
      <c r="AP26" s="70">
        <f t="shared" si="4"/>
        <v>9.4896679346414427E-6</v>
      </c>
      <c r="AQ26" s="102">
        <f t="shared" si="5"/>
        <v>67.910893172283792</v>
      </c>
      <c r="AR26" s="70">
        <f t="shared" ref="AR26:AT26" si="99">AR8</f>
        <v>9.5</v>
      </c>
      <c r="AS26" s="70">
        <f t="shared" ref="AS26" si="100">AS8</f>
        <v>1889.9390966577716</v>
      </c>
      <c r="AT26" s="70">
        <f t="shared" si="99"/>
        <v>18899.390966577714</v>
      </c>
      <c r="AU26" s="70">
        <f t="shared" ref="AU26" si="101">AU8</f>
        <v>0</v>
      </c>
      <c r="AV26" s="84">
        <f t="shared" si="8"/>
        <v>0</v>
      </c>
      <c r="AW26" s="84">
        <f>AW8</f>
        <v>68</v>
      </c>
      <c r="AX26" s="9"/>
      <c r="AY26" s="10"/>
      <c r="AZ26" s="9"/>
      <c r="BA26" s="10"/>
      <c r="BB26" s="10"/>
      <c r="BC26" s="9"/>
      <c r="BD26" s="9"/>
    </row>
    <row r="27" spans="1:56" x14ac:dyDescent="0.25">
      <c r="A27" s="111"/>
      <c r="B27">
        <f t="shared" si="67"/>
        <v>1</v>
      </c>
      <c r="C27" t="s">
        <v>143</v>
      </c>
      <c r="D27">
        <f t="shared" ref="D27:D30" si="102">D9-5</f>
        <v>2</v>
      </c>
      <c r="E27">
        <f t="shared" ref="E27:T30" si="103">E9</f>
        <v>1643760</v>
      </c>
      <c r="F27">
        <f t="shared" si="103"/>
        <v>0</v>
      </c>
      <c r="G27">
        <f t="shared" si="103"/>
        <v>0</v>
      </c>
      <c r="H27" t="str">
        <f t="shared" si="103"/>
        <v>True</v>
      </c>
      <c r="I27" t="str">
        <f t="shared" si="103"/>
        <v>False</v>
      </c>
      <c r="J27">
        <f t="shared" si="103"/>
        <v>2.894E-2</v>
      </c>
      <c r="K27">
        <f t="shared" si="103"/>
        <v>2.894E-2</v>
      </c>
      <c r="L27">
        <f t="shared" si="103"/>
        <v>3.1E-4</v>
      </c>
      <c r="M27">
        <f t="shared" si="103"/>
        <v>0</v>
      </c>
      <c r="N27">
        <f t="shared" si="103"/>
        <v>0</v>
      </c>
      <c r="O27">
        <f t="shared" si="103"/>
        <v>0</v>
      </c>
      <c r="P27">
        <f t="shared" si="103"/>
        <v>0</v>
      </c>
      <c r="Q27">
        <f t="shared" si="103"/>
        <v>0</v>
      </c>
      <c r="R27">
        <f t="shared" si="103"/>
        <v>0</v>
      </c>
      <c r="S27">
        <f t="shared" si="103"/>
        <v>0</v>
      </c>
      <c r="T27" t="str">
        <f t="shared" si="103"/>
        <v>NA</v>
      </c>
      <c r="U27" t="str">
        <f t="shared" si="96"/>
        <v>NA</v>
      </c>
      <c r="V27" t="str">
        <f t="shared" si="96"/>
        <v>NA</v>
      </c>
      <c r="W27" s="1">
        <f t="shared" ref="W27" si="104">W9</f>
        <v>2.3349332116543619E-6</v>
      </c>
      <c r="X27" t="str">
        <f t="shared" si="96"/>
        <v>NA</v>
      </c>
      <c r="Y27" t="str">
        <f t="shared" si="96"/>
        <v>NA</v>
      </c>
      <c r="Z27" t="str">
        <f t="shared" si="96"/>
        <v>NA</v>
      </c>
      <c r="AA27" t="str">
        <f t="shared" si="96"/>
        <v>False</v>
      </c>
      <c r="AB27" t="str">
        <f t="shared" si="96"/>
        <v>NA</v>
      </c>
      <c r="AC27" t="str">
        <f t="shared" si="96"/>
        <v>NA</v>
      </c>
      <c r="AD27" t="str">
        <f t="shared" si="96"/>
        <v>False</v>
      </c>
      <c r="AE27">
        <f t="shared" si="96"/>
        <v>6.1942724565379036E-3</v>
      </c>
      <c r="AF27">
        <f t="shared" si="96"/>
        <v>1.9901556074634315E-3</v>
      </c>
      <c r="AG27">
        <f t="shared" ref="AG27" si="105">AG9</f>
        <v>0</v>
      </c>
      <c r="AH27">
        <f t="shared" si="96"/>
        <v>1.9901556074634313E-2</v>
      </c>
      <c r="AI27">
        <f t="shared" si="96"/>
        <v>1.0530263176114436E-6</v>
      </c>
      <c r="AJ27">
        <f t="shared" si="96"/>
        <v>0</v>
      </c>
      <c r="AK27">
        <f t="shared" si="96"/>
        <v>1.0530263176114436E-6</v>
      </c>
      <c r="AL27">
        <f t="shared" si="96"/>
        <v>5.2651315880572185E-9</v>
      </c>
      <c r="AM27">
        <f t="shared" si="96"/>
        <v>0</v>
      </c>
      <c r="AN27">
        <f t="shared" si="96"/>
        <v>5.2651315880572185E-9</v>
      </c>
      <c r="AO27">
        <f t="shared" si="24"/>
        <v>1800</v>
      </c>
      <c r="AP27" s="70">
        <f t="shared" si="4"/>
        <v>3.281569422499217E-6</v>
      </c>
      <c r="AQ27" s="102">
        <f t="shared" si="5"/>
        <v>67.910893172283792</v>
      </c>
      <c r="AR27" s="70">
        <f t="shared" ref="AR27:AT27" si="106">AR9</f>
        <v>9.5</v>
      </c>
      <c r="AS27" s="70">
        <f t="shared" ref="AS27" si="107">AS9</f>
        <v>1889.9390966577716</v>
      </c>
      <c r="AT27" s="70">
        <f t="shared" si="106"/>
        <v>18899.390966577714</v>
      </c>
      <c r="AU27" s="70">
        <f t="shared" ref="AU27" si="108">AU9</f>
        <v>0</v>
      </c>
      <c r="AV27" s="84">
        <f t="shared" si="8"/>
        <v>0</v>
      </c>
      <c r="AW27" s="84">
        <f t="shared" ref="AW27:AW30" si="109">AW9</f>
        <v>68</v>
      </c>
      <c r="AX27" s="9"/>
      <c r="AY27" s="10"/>
      <c r="AZ27" s="9"/>
      <c r="BA27" s="10"/>
      <c r="BB27" s="10"/>
      <c r="BC27" s="9"/>
      <c r="BD27" s="9"/>
    </row>
    <row r="28" spans="1:56" x14ac:dyDescent="0.25">
      <c r="A28" s="111"/>
      <c r="B28">
        <f t="shared" si="67"/>
        <v>1</v>
      </c>
      <c r="C28" t="s">
        <v>143</v>
      </c>
      <c r="D28">
        <f t="shared" si="102"/>
        <v>3</v>
      </c>
      <c r="E28">
        <f t="shared" si="103"/>
        <v>1095840</v>
      </c>
      <c r="F28">
        <f t="shared" si="96"/>
        <v>0</v>
      </c>
      <c r="G28">
        <f t="shared" si="96"/>
        <v>0</v>
      </c>
      <c r="H28" t="str">
        <f t="shared" si="96"/>
        <v>True</v>
      </c>
      <c r="I28" t="str">
        <f t="shared" si="96"/>
        <v>False</v>
      </c>
      <c r="J28">
        <f t="shared" si="96"/>
        <v>2.894E-2</v>
      </c>
      <c r="K28">
        <f t="shared" si="96"/>
        <v>2.894E-2</v>
      </c>
      <c r="L28">
        <f t="shared" si="96"/>
        <v>1.6000000000000001E-4</v>
      </c>
      <c r="M28">
        <f t="shared" si="96"/>
        <v>0</v>
      </c>
      <c r="N28">
        <f t="shared" si="96"/>
        <v>0</v>
      </c>
      <c r="O28">
        <f t="shared" si="96"/>
        <v>0</v>
      </c>
      <c r="P28">
        <f t="shared" si="96"/>
        <v>0</v>
      </c>
      <c r="Q28">
        <f t="shared" si="96"/>
        <v>0</v>
      </c>
      <c r="R28">
        <f t="shared" si="96"/>
        <v>0</v>
      </c>
      <c r="S28">
        <f t="shared" si="96"/>
        <v>0</v>
      </c>
      <c r="T28" t="str">
        <f t="shared" si="96"/>
        <v>NA</v>
      </c>
      <c r="U28" t="str">
        <f t="shared" si="96"/>
        <v>NA</v>
      </c>
      <c r="V28" t="str">
        <f t="shared" si="96"/>
        <v>NA</v>
      </c>
      <c r="W28" s="1">
        <f t="shared" ref="W28" si="110">W10</f>
        <v>9.1658819653476345E-7</v>
      </c>
      <c r="X28" t="str">
        <f t="shared" si="96"/>
        <v>NA</v>
      </c>
      <c r="Y28" t="str">
        <f t="shared" si="96"/>
        <v>NA</v>
      </c>
      <c r="Z28" t="str">
        <f t="shared" si="96"/>
        <v>NA</v>
      </c>
      <c r="AA28" t="str">
        <f t="shared" si="96"/>
        <v>False</v>
      </c>
      <c r="AB28" t="str">
        <f t="shared" si="96"/>
        <v>NA</v>
      </c>
      <c r="AC28" t="str">
        <f t="shared" si="96"/>
        <v>NA</v>
      </c>
      <c r="AD28" t="str">
        <f t="shared" si="96"/>
        <v>False</v>
      </c>
      <c r="AE28">
        <f t="shared" si="96"/>
        <v>2.7455961848723877E-3</v>
      </c>
      <c r="AF28">
        <f t="shared" si="96"/>
        <v>8.8213162748220658E-4</v>
      </c>
      <c r="AG28">
        <f t="shared" ref="AG28" si="111">AG10</f>
        <v>0</v>
      </c>
      <c r="AH28">
        <f t="shared" si="96"/>
        <v>8.8213162748220653E-3</v>
      </c>
      <c r="AI28">
        <f t="shared" si="96"/>
        <v>4.6675135142830591E-7</v>
      </c>
      <c r="AJ28">
        <f t="shared" si="96"/>
        <v>0</v>
      </c>
      <c r="AK28">
        <f t="shared" si="96"/>
        <v>4.6675135142830591E-7</v>
      </c>
      <c r="AL28">
        <f t="shared" si="96"/>
        <v>2.3337567571415298E-9</v>
      </c>
      <c r="AM28">
        <f t="shared" si="96"/>
        <v>0</v>
      </c>
      <c r="AN28">
        <f t="shared" si="96"/>
        <v>2.3337567571415298E-9</v>
      </c>
      <c r="AO28">
        <f t="shared" si="24"/>
        <v>1800</v>
      </c>
      <c r="AP28" s="70">
        <f t="shared" si="4"/>
        <v>1.4545476567305404E-6</v>
      </c>
      <c r="AQ28" s="102">
        <f t="shared" si="5"/>
        <v>67.910893172283792</v>
      </c>
      <c r="AR28" s="70">
        <f t="shared" ref="AR28:AT28" si="112">AR10</f>
        <v>9.5</v>
      </c>
      <c r="AS28" s="70">
        <f t="shared" ref="AS28" si="113">AS10</f>
        <v>1889.9390966577716</v>
      </c>
      <c r="AT28" s="70">
        <f t="shared" si="112"/>
        <v>18899.390966577714</v>
      </c>
      <c r="AU28" s="70">
        <f t="shared" ref="AU28" si="114">AU10</f>
        <v>0</v>
      </c>
      <c r="AV28" s="84">
        <f t="shared" si="8"/>
        <v>0</v>
      </c>
      <c r="AW28" s="84">
        <f t="shared" si="109"/>
        <v>68</v>
      </c>
      <c r="AX28" s="9"/>
      <c r="AY28" s="10"/>
      <c r="AZ28" s="9"/>
      <c r="BA28" s="10"/>
      <c r="BB28" s="10"/>
      <c r="BC28" s="9"/>
      <c r="BD28" s="9"/>
    </row>
    <row r="29" spans="1:56" x14ac:dyDescent="0.25">
      <c r="A29" s="111"/>
      <c r="B29">
        <f t="shared" si="67"/>
        <v>1</v>
      </c>
      <c r="C29" t="s">
        <v>143</v>
      </c>
      <c r="D29">
        <f t="shared" si="102"/>
        <v>4</v>
      </c>
      <c r="E29">
        <f t="shared" si="103"/>
        <v>547920</v>
      </c>
      <c r="F29">
        <f t="shared" si="96"/>
        <v>0</v>
      </c>
      <c r="G29">
        <f t="shared" si="96"/>
        <v>0</v>
      </c>
      <c r="H29" t="str">
        <f t="shared" si="96"/>
        <v>True</v>
      </c>
      <c r="I29" t="str">
        <f t="shared" si="96"/>
        <v>False</v>
      </c>
      <c r="J29">
        <f t="shared" si="96"/>
        <v>2.894E-2</v>
      </c>
      <c r="K29">
        <f t="shared" si="96"/>
        <v>2.894E-2</v>
      </c>
      <c r="L29">
        <f t="shared" si="96"/>
        <v>6.9999999999999994E-5</v>
      </c>
      <c r="M29">
        <f t="shared" si="96"/>
        <v>0</v>
      </c>
      <c r="N29">
        <f t="shared" si="96"/>
        <v>0</v>
      </c>
      <c r="O29">
        <f t="shared" si="96"/>
        <v>0</v>
      </c>
      <c r="P29">
        <f t="shared" si="96"/>
        <v>0</v>
      </c>
      <c r="Q29">
        <f t="shared" si="96"/>
        <v>0</v>
      </c>
      <c r="R29">
        <f t="shared" si="96"/>
        <v>0</v>
      </c>
      <c r="S29">
        <f t="shared" si="96"/>
        <v>0</v>
      </c>
      <c r="T29" t="str">
        <f t="shared" si="96"/>
        <v>NA</v>
      </c>
      <c r="U29" t="str">
        <f t="shared" si="96"/>
        <v>NA</v>
      </c>
      <c r="V29" t="str">
        <f t="shared" si="96"/>
        <v>NA</v>
      </c>
      <c r="W29" s="1">
        <f t="shared" ref="W29" si="115">W11</f>
        <v>3.8709515855680863E-7</v>
      </c>
      <c r="X29" t="str">
        <f t="shared" si="96"/>
        <v>NA</v>
      </c>
      <c r="Y29" t="str">
        <f t="shared" si="96"/>
        <v>NA</v>
      </c>
      <c r="Z29" t="str">
        <f t="shared" si="96"/>
        <v>NA</v>
      </c>
      <c r="AA29" t="str">
        <f t="shared" si="96"/>
        <v>False</v>
      </c>
      <c r="AB29" t="str">
        <f t="shared" si="96"/>
        <v>NA</v>
      </c>
      <c r="AC29" t="str">
        <f t="shared" si="96"/>
        <v>NA</v>
      </c>
      <c r="AD29" t="str">
        <f t="shared" si="96"/>
        <v>False</v>
      </c>
      <c r="AE29">
        <f t="shared" si="96"/>
        <v>1.0547664351198613E-3</v>
      </c>
      <c r="AF29">
        <f t="shared" si="96"/>
        <v>3.3888553500781266E-4</v>
      </c>
      <c r="AG29">
        <f t="shared" ref="AG29" si="116">AG11</f>
        <v>0</v>
      </c>
      <c r="AH29">
        <f t="shared" si="96"/>
        <v>3.3888553500781263E-3</v>
      </c>
      <c r="AI29">
        <f t="shared" si="96"/>
        <v>1.7931029397037642E-7</v>
      </c>
      <c r="AJ29">
        <f t="shared" si="96"/>
        <v>0</v>
      </c>
      <c r="AK29">
        <f t="shared" si="96"/>
        <v>1.7931029397037642E-7</v>
      </c>
      <c r="AL29">
        <f t="shared" si="96"/>
        <v>8.9655146985188215E-10</v>
      </c>
      <c r="AM29">
        <f t="shared" si="96"/>
        <v>0</v>
      </c>
      <c r="AN29">
        <f t="shared" si="96"/>
        <v>8.9655146985188215E-10</v>
      </c>
      <c r="AO29" t="str">
        <f t="shared" si="24"/>
        <v>NA</v>
      </c>
      <c r="AP29" s="70">
        <f t="shared" si="4"/>
        <v>5.5878867222163193E-7</v>
      </c>
      <c r="AQ29" s="102">
        <f t="shared" si="5"/>
        <v>67.910893172283792</v>
      </c>
      <c r="AR29" s="70">
        <f t="shared" ref="AR29:AT29" si="117">AR11</f>
        <v>9.5</v>
      </c>
      <c r="AS29" s="70">
        <f t="shared" ref="AS29" si="118">AS11</f>
        <v>1889.9390966577716</v>
      </c>
      <c r="AT29" s="70">
        <f t="shared" si="117"/>
        <v>18899.390966577714</v>
      </c>
      <c r="AU29" s="70">
        <f t="shared" ref="AU29" si="119">AU11</f>
        <v>0</v>
      </c>
      <c r="AV29" s="84">
        <f t="shared" si="8"/>
        <v>0</v>
      </c>
      <c r="AW29" s="84">
        <f t="shared" si="109"/>
        <v>68</v>
      </c>
      <c r="AX29" s="9"/>
      <c r="AY29" s="10"/>
      <c r="AZ29" s="9"/>
      <c r="BA29" s="10"/>
      <c r="BB29" s="10"/>
      <c r="BC29" s="9"/>
      <c r="BD29" s="9"/>
    </row>
    <row r="30" spans="1:56" x14ac:dyDescent="0.25">
      <c r="A30" s="111"/>
      <c r="B30">
        <f t="shared" si="67"/>
        <v>1</v>
      </c>
      <c r="C30" t="s">
        <v>143</v>
      </c>
      <c r="D30">
        <f t="shared" si="102"/>
        <v>5</v>
      </c>
      <c r="E30">
        <f t="shared" si="103"/>
        <v>0</v>
      </c>
      <c r="F30">
        <f t="shared" si="96"/>
        <v>0</v>
      </c>
      <c r="G30">
        <f t="shared" si="96"/>
        <v>0</v>
      </c>
      <c r="H30" t="str">
        <f t="shared" si="96"/>
        <v>True</v>
      </c>
      <c r="I30" t="str">
        <f t="shared" si="96"/>
        <v>False</v>
      </c>
      <c r="J30">
        <f t="shared" si="96"/>
        <v>2.894E-2</v>
      </c>
      <c r="K30">
        <f t="shared" si="96"/>
        <v>2.894E-2</v>
      </c>
      <c r="L30">
        <f t="shared" si="96"/>
        <v>5.0000000000000002E-5</v>
      </c>
      <c r="M30">
        <f t="shared" si="96"/>
        <v>0</v>
      </c>
      <c r="N30">
        <f t="shared" si="96"/>
        <v>0</v>
      </c>
      <c r="O30">
        <f t="shared" si="96"/>
        <v>0</v>
      </c>
      <c r="P30">
        <f t="shared" si="96"/>
        <v>0</v>
      </c>
      <c r="Q30">
        <f t="shared" si="96"/>
        <v>0</v>
      </c>
      <c r="R30">
        <f t="shared" si="96"/>
        <v>0</v>
      </c>
      <c r="S30">
        <f t="shared" si="96"/>
        <v>0</v>
      </c>
      <c r="T30" t="str">
        <f t="shared" si="96"/>
        <v>NA</v>
      </c>
      <c r="U30" t="str">
        <f t="shared" si="96"/>
        <v>NA</v>
      </c>
      <c r="V30" t="str">
        <f t="shared" si="96"/>
        <v>NA</v>
      </c>
      <c r="W30" s="1">
        <f t="shared" ref="W30" si="120">W12</f>
        <v>1.9999999999999999E-7</v>
      </c>
      <c r="X30" t="str">
        <f t="shared" si="96"/>
        <v>NA</v>
      </c>
      <c r="Y30" t="str">
        <f t="shared" si="96"/>
        <v>NA</v>
      </c>
      <c r="Z30" t="str">
        <f t="shared" si="96"/>
        <v>NA</v>
      </c>
      <c r="AA30" t="str">
        <f t="shared" si="96"/>
        <v>False</v>
      </c>
      <c r="AB30" t="str">
        <f t="shared" si="96"/>
        <v>NA</v>
      </c>
      <c r="AC30" t="str">
        <f t="shared" si="96"/>
        <v>NA</v>
      </c>
      <c r="AD30" t="str">
        <f t="shared" si="96"/>
        <v>False</v>
      </c>
      <c r="AE30">
        <f t="shared" si="96"/>
        <v>7.4021453290852969E-4</v>
      </c>
      <c r="AF30">
        <f t="shared" si="96"/>
        <v>2.3782326556187717E-4</v>
      </c>
      <c r="AG30">
        <f t="shared" ref="AG30" si="121">AG12</f>
        <v>0</v>
      </c>
      <c r="AH30">
        <f t="shared" si="96"/>
        <v>2.3782326556187716E-3</v>
      </c>
      <c r="AI30">
        <f t="shared" si="96"/>
        <v>1.2583647059445005E-7</v>
      </c>
      <c r="AJ30">
        <f t="shared" si="96"/>
        <v>0</v>
      </c>
      <c r="AK30">
        <f t="shared" si="96"/>
        <v>1.2583647059445005E-7</v>
      </c>
      <c r="AL30">
        <f t="shared" si="96"/>
        <v>6.2918235297225031E-10</v>
      </c>
      <c r="AM30">
        <f t="shared" si="96"/>
        <v>0</v>
      </c>
      <c r="AN30">
        <f t="shared" si="96"/>
        <v>6.2918235297225031E-10</v>
      </c>
      <c r="AO30" t="str">
        <f t="shared" si="24"/>
        <v>NA</v>
      </c>
      <c r="AP30" s="70">
        <f t="shared" si="4"/>
        <v>3.9214700262632978E-7</v>
      </c>
      <c r="AQ30" s="102">
        <f t="shared" si="5"/>
        <v>67.910893172283792</v>
      </c>
      <c r="AR30" s="70">
        <f t="shared" ref="AR30:AT30" si="122">AR12</f>
        <v>9.5</v>
      </c>
      <c r="AS30" s="70">
        <f t="shared" ref="AS30" si="123">AS12</f>
        <v>1889.9390966577716</v>
      </c>
      <c r="AT30" s="70">
        <f t="shared" si="122"/>
        <v>18899.390966577714</v>
      </c>
      <c r="AU30" s="70">
        <f t="shared" ref="AU30" si="124">AU12</f>
        <v>0</v>
      </c>
      <c r="AV30" s="84">
        <f t="shared" si="8"/>
        <v>0</v>
      </c>
      <c r="AW30" s="84">
        <f t="shared" si="109"/>
        <v>68</v>
      </c>
      <c r="AX30" s="9"/>
      <c r="AY30" s="10"/>
      <c r="AZ30" s="9"/>
      <c r="BA30" s="10"/>
      <c r="BB30" s="10"/>
      <c r="BC30" s="9"/>
      <c r="BD30" s="9"/>
    </row>
    <row r="31" spans="1:56" x14ac:dyDescent="0.25">
      <c r="A31" s="111"/>
      <c r="B31">
        <f t="shared" si="67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5">F9</f>
        <v>0</v>
      </c>
      <c r="G31">
        <f t="shared" si="125"/>
        <v>0</v>
      </c>
      <c r="H31" t="str">
        <f t="shared" si="125"/>
        <v>True</v>
      </c>
      <c r="I31" t="str">
        <f t="shared" si="125"/>
        <v>False</v>
      </c>
      <c r="J31">
        <f t="shared" si="125"/>
        <v>2.894E-2</v>
      </c>
      <c r="K31">
        <f t="shared" si="125"/>
        <v>2.894E-2</v>
      </c>
      <c r="L31">
        <f t="shared" si="125"/>
        <v>3.1E-4</v>
      </c>
      <c r="M31">
        <f t="shared" si="125"/>
        <v>0</v>
      </c>
      <c r="N31">
        <f t="shared" si="125"/>
        <v>0</v>
      </c>
      <c r="O31">
        <f t="shared" si="125"/>
        <v>0</v>
      </c>
      <c r="P31">
        <f t="shared" si="125"/>
        <v>0</v>
      </c>
      <c r="Q31">
        <f t="shared" si="125"/>
        <v>0</v>
      </c>
      <c r="R31">
        <f t="shared" si="125"/>
        <v>0</v>
      </c>
      <c r="S31">
        <f t="shared" si="125"/>
        <v>0</v>
      </c>
      <c r="T31" t="str">
        <f t="shared" si="125"/>
        <v>NA</v>
      </c>
      <c r="U31" t="str">
        <f t="shared" si="125"/>
        <v>NA</v>
      </c>
      <c r="V31" t="str">
        <f t="shared" si="125"/>
        <v>NA</v>
      </c>
      <c r="W31" s="1">
        <f t="shared" ref="W31" si="126">W9</f>
        <v>2.3349332116543619E-6</v>
      </c>
      <c r="X31" t="str">
        <f t="shared" si="125"/>
        <v>NA</v>
      </c>
      <c r="Y31" t="str">
        <f t="shared" si="125"/>
        <v>NA</v>
      </c>
      <c r="Z31" t="str">
        <f t="shared" si="125"/>
        <v>NA</v>
      </c>
      <c r="AA31" t="str">
        <f t="shared" si="125"/>
        <v>False</v>
      </c>
      <c r="AB31" t="str">
        <f t="shared" si="125"/>
        <v>NA</v>
      </c>
      <c r="AC31" t="str">
        <f t="shared" si="125"/>
        <v>NA</v>
      </c>
      <c r="AD31" t="str">
        <f t="shared" si="125"/>
        <v>False</v>
      </c>
      <c r="AE31">
        <f t="shared" si="125"/>
        <v>6.1942724565379036E-3</v>
      </c>
      <c r="AF31">
        <f t="shared" si="125"/>
        <v>1.9901556074634315E-3</v>
      </c>
      <c r="AG31">
        <f t="shared" ref="AG31" si="127">AG9</f>
        <v>0</v>
      </c>
      <c r="AH31">
        <f t="shared" si="125"/>
        <v>1.9901556074634313E-2</v>
      </c>
      <c r="AI31">
        <f t="shared" si="125"/>
        <v>1.0530263176114436E-6</v>
      </c>
      <c r="AJ31">
        <f t="shared" si="125"/>
        <v>0</v>
      </c>
      <c r="AK31">
        <f t="shared" si="125"/>
        <v>1.0530263176114436E-6</v>
      </c>
      <c r="AL31">
        <f t="shared" si="125"/>
        <v>5.2651315880572185E-9</v>
      </c>
      <c r="AM31">
        <f t="shared" si="125"/>
        <v>0</v>
      </c>
      <c r="AN31">
        <f t="shared" si="125"/>
        <v>5.2651315880572185E-9</v>
      </c>
      <c r="AO31" t="str">
        <f t="shared" si="24"/>
        <v>NA</v>
      </c>
      <c r="AP31" s="70">
        <f t="shared" si="4"/>
        <v>3.281569422499217E-6</v>
      </c>
      <c r="AQ31" s="102">
        <f t="shared" si="5"/>
        <v>67.910893172283792</v>
      </c>
      <c r="AR31" s="70">
        <f t="shared" ref="AR31:AT31" si="128">AR9</f>
        <v>9.5</v>
      </c>
      <c r="AS31" s="70">
        <f t="shared" ref="AS31" si="129">AS9</f>
        <v>1889.9390966577716</v>
      </c>
      <c r="AT31" s="70">
        <f t="shared" si="128"/>
        <v>18899.390966577714</v>
      </c>
      <c r="AU31" s="70">
        <f t="shared" ref="AU31" si="130">AU9</f>
        <v>0</v>
      </c>
      <c r="AV31" s="84">
        <f t="shared" si="8"/>
        <v>0</v>
      </c>
      <c r="AW31" s="84">
        <f>AW16</f>
        <v>68</v>
      </c>
      <c r="AX31" s="9"/>
      <c r="AY31" s="10"/>
      <c r="AZ31" s="9"/>
      <c r="BA31" s="10"/>
      <c r="BB31" s="10"/>
      <c r="BC31" s="9"/>
      <c r="BD31" s="9"/>
    </row>
    <row r="32" spans="1:56" x14ac:dyDescent="0.25">
      <c r="A32" s="111"/>
      <c r="B32">
        <f t="shared" si="67"/>
        <v>1</v>
      </c>
      <c r="C32" t="s">
        <v>144</v>
      </c>
      <c r="D32">
        <f t="shared" ref="D32:D34" si="131">D10-6</f>
        <v>2</v>
      </c>
      <c r="E32">
        <f t="shared" ref="E32:T34" si="132">E10</f>
        <v>1095840</v>
      </c>
      <c r="F32">
        <f t="shared" si="132"/>
        <v>0</v>
      </c>
      <c r="G32">
        <f t="shared" si="132"/>
        <v>0</v>
      </c>
      <c r="H32" t="str">
        <f t="shared" si="132"/>
        <v>True</v>
      </c>
      <c r="I32" t="str">
        <f t="shared" si="132"/>
        <v>False</v>
      </c>
      <c r="J32">
        <f t="shared" si="132"/>
        <v>2.894E-2</v>
      </c>
      <c r="K32">
        <f t="shared" si="132"/>
        <v>2.894E-2</v>
      </c>
      <c r="L32">
        <f t="shared" si="132"/>
        <v>1.6000000000000001E-4</v>
      </c>
      <c r="M32">
        <f t="shared" si="132"/>
        <v>0</v>
      </c>
      <c r="N32">
        <f t="shared" si="132"/>
        <v>0</v>
      </c>
      <c r="O32">
        <f t="shared" si="132"/>
        <v>0</v>
      </c>
      <c r="P32">
        <f t="shared" si="132"/>
        <v>0</v>
      </c>
      <c r="Q32">
        <f t="shared" si="132"/>
        <v>0</v>
      </c>
      <c r="R32">
        <f t="shared" si="132"/>
        <v>0</v>
      </c>
      <c r="S32">
        <f t="shared" si="132"/>
        <v>0</v>
      </c>
      <c r="T32" t="str">
        <f t="shared" si="132"/>
        <v>NA</v>
      </c>
      <c r="U32" t="str">
        <f t="shared" si="125"/>
        <v>NA</v>
      </c>
      <c r="V32" t="str">
        <f t="shared" si="125"/>
        <v>NA</v>
      </c>
      <c r="W32" s="1">
        <f t="shared" ref="W32" si="133">W10</f>
        <v>9.1658819653476345E-7</v>
      </c>
      <c r="X32" t="str">
        <f t="shared" si="125"/>
        <v>NA</v>
      </c>
      <c r="Y32" t="str">
        <f t="shared" si="125"/>
        <v>NA</v>
      </c>
      <c r="Z32" t="str">
        <f t="shared" si="125"/>
        <v>NA</v>
      </c>
      <c r="AA32" t="str">
        <f t="shared" si="125"/>
        <v>False</v>
      </c>
      <c r="AB32" t="str">
        <f t="shared" si="125"/>
        <v>NA</v>
      </c>
      <c r="AC32" t="str">
        <f t="shared" si="125"/>
        <v>NA</v>
      </c>
      <c r="AD32" t="str">
        <f t="shared" si="125"/>
        <v>False</v>
      </c>
      <c r="AE32">
        <f t="shared" si="125"/>
        <v>2.7455961848723877E-3</v>
      </c>
      <c r="AF32">
        <f t="shared" si="125"/>
        <v>8.8213162748220658E-4</v>
      </c>
      <c r="AG32">
        <f t="shared" ref="AG32" si="134">AG10</f>
        <v>0</v>
      </c>
      <c r="AH32">
        <f t="shared" si="125"/>
        <v>8.8213162748220653E-3</v>
      </c>
      <c r="AI32">
        <f t="shared" si="125"/>
        <v>4.6675135142830591E-7</v>
      </c>
      <c r="AJ32">
        <f t="shared" si="125"/>
        <v>0</v>
      </c>
      <c r="AK32">
        <f t="shared" si="125"/>
        <v>4.6675135142830591E-7</v>
      </c>
      <c r="AL32">
        <f t="shared" si="125"/>
        <v>2.3337567571415298E-9</v>
      </c>
      <c r="AM32">
        <f t="shared" si="125"/>
        <v>0</v>
      </c>
      <c r="AN32">
        <f t="shared" si="125"/>
        <v>2.3337567571415298E-9</v>
      </c>
      <c r="AO32" t="str">
        <f t="shared" si="24"/>
        <v>NA</v>
      </c>
      <c r="AP32" s="70">
        <f t="shared" si="4"/>
        <v>1.4545476567305404E-6</v>
      </c>
      <c r="AQ32" s="102">
        <f t="shared" si="5"/>
        <v>67.910893172283792</v>
      </c>
      <c r="AR32" s="70">
        <f t="shared" ref="AR32:AT32" si="135">AR10</f>
        <v>9.5</v>
      </c>
      <c r="AS32" s="70">
        <f t="shared" ref="AS32" si="136">AS10</f>
        <v>1889.9390966577716</v>
      </c>
      <c r="AT32" s="70">
        <f t="shared" si="135"/>
        <v>18899.390966577714</v>
      </c>
      <c r="AU32" s="70">
        <f t="shared" ref="AU32" si="137">AU10</f>
        <v>0</v>
      </c>
      <c r="AV32" s="84">
        <f t="shared" si="8"/>
        <v>0</v>
      </c>
      <c r="AW32" s="84">
        <f t="shared" ref="AW32:AW34" si="138">AW17</f>
        <v>68</v>
      </c>
      <c r="AX32" s="9"/>
      <c r="AY32" s="10"/>
      <c r="AZ32" s="9"/>
      <c r="BA32" s="10"/>
      <c r="BB32" s="10"/>
      <c r="BC32" s="9"/>
      <c r="BD32" s="9"/>
    </row>
    <row r="33" spans="1:56" x14ac:dyDescent="0.25">
      <c r="A33" s="111"/>
      <c r="B33">
        <f t="shared" si="67"/>
        <v>1</v>
      </c>
      <c r="C33" t="s">
        <v>144</v>
      </c>
      <c r="D33">
        <f t="shared" si="131"/>
        <v>3</v>
      </c>
      <c r="E33">
        <f t="shared" si="132"/>
        <v>547920</v>
      </c>
      <c r="F33">
        <f t="shared" si="125"/>
        <v>0</v>
      </c>
      <c r="G33">
        <f t="shared" si="125"/>
        <v>0</v>
      </c>
      <c r="H33" t="str">
        <f t="shared" si="125"/>
        <v>True</v>
      </c>
      <c r="I33" t="str">
        <f t="shared" si="125"/>
        <v>False</v>
      </c>
      <c r="J33">
        <f t="shared" si="125"/>
        <v>2.894E-2</v>
      </c>
      <c r="K33">
        <f t="shared" si="125"/>
        <v>2.894E-2</v>
      </c>
      <c r="L33">
        <f t="shared" si="125"/>
        <v>6.9999999999999994E-5</v>
      </c>
      <c r="M33">
        <f t="shared" si="125"/>
        <v>0</v>
      </c>
      <c r="N33">
        <f t="shared" si="125"/>
        <v>0</v>
      </c>
      <c r="O33">
        <f t="shared" si="125"/>
        <v>0</v>
      </c>
      <c r="P33">
        <f t="shared" si="125"/>
        <v>0</v>
      </c>
      <c r="Q33">
        <f t="shared" si="125"/>
        <v>0</v>
      </c>
      <c r="R33">
        <f t="shared" si="125"/>
        <v>0</v>
      </c>
      <c r="S33">
        <f t="shared" si="125"/>
        <v>0</v>
      </c>
      <c r="T33" t="str">
        <f t="shared" si="125"/>
        <v>NA</v>
      </c>
      <c r="U33" t="str">
        <f t="shared" si="125"/>
        <v>NA</v>
      </c>
      <c r="V33" t="str">
        <f t="shared" si="125"/>
        <v>NA</v>
      </c>
      <c r="W33" s="1">
        <f t="shared" ref="W33" si="139">W11</f>
        <v>3.8709515855680863E-7</v>
      </c>
      <c r="X33" t="str">
        <f t="shared" si="125"/>
        <v>NA</v>
      </c>
      <c r="Y33" t="str">
        <f t="shared" si="125"/>
        <v>NA</v>
      </c>
      <c r="Z33" t="str">
        <f t="shared" si="125"/>
        <v>NA</v>
      </c>
      <c r="AA33" t="str">
        <f t="shared" si="125"/>
        <v>False</v>
      </c>
      <c r="AB33" t="str">
        <f t="shared" si="125"/>
        <v>NA</v>
      </c>
      <c r="AC33" t="str">
        <f t="shared" si="125"/>
        <v>NA</v>
      </c>
      <c r="AD33" t="str">
        <f t="shared" si="125"/>
        <v>False</v>
      </c>
      <c r="AE33">
        <f t="shared" si="125"/>
        <v>1.0547664351198613E-3</v>
      </c>
      <c r="AF33">
        <f t="shared" si="125"/>
        <v>3.3888553500781266E-4</v>
      </c>
      <c r="AG33">
        <f t="shared" ref="AG33" si="140">AG11</f>
        <v>0</v>
      </c>
      <c r="AH33">
        <f t="shared" si="125"/>
        <v>3.3888553500781263E-3</v>
      </c>
      <c r="AI33">
        <f t="shared" si="125"/>
        <v>1.7931029397037642E-7</v>
      </c>
      <c r="AJ33">
        <f t="shared" si="125"/>
        <v>0</v>
      </c>
      <c r="AK33">
        <f t="shared" si="125"/>
        <v>1.7931029397037642E-7</v>
      </c>
      <c r="AL33">
        <f t="shared" si="125"/>
        <v>8.9655146985188215E-10</v>
      </c>
      <c r="AM33">
        <f t="shared" si="125"/>
        <v>0</v>
      </c>
      <c r="AN33">
        <f t="shared" si="125"/>
        <v>8.9655146985188215E-10</v>
      </c>
      <c r="AO33" t="str">
        <f t="shared" si="24"/>
        <v>NA</v>
      </c>
      <c r="AP33" s="70">
        <f t="shared" si="4"/>
        <v>5.5878867222163193E-7</v>
      </c>
      <c r="AQ33" s="102">
        <f t="shared" si="5"/>
        <v>67.910893172283792</v>
      </c>
      <c r="AR33" s="70">
        <f t="shared" ref="AR33:AT33" si="141">AR11</f>
        <v>9.5</v>
      </c>
      <c r="AS33" s="70">
        <f t="shared" ref="AS33" si="142">AS11</f>
        <v>1889.9390966577716</v>
      </c>
      <c r="AT33" s="70">
        <f t="shared" si="141"/>
        <v>18899.390966577714</v>
      </c>
      <c r="AU33" s="70">
        <f t="shared" ref="AU33" si="143">AU11</f>
        <v>0</v>
      </c>
      <c r="AV33" s="84">
        <f t="shared" si="8"/>
        <v>0</v>
      </c>
      <c r="AW33" s="84">
        <f t="shared" si="138"/>
        <v>68</v>
      </c>
      <c r="AX33" s="9"/>
      <c r="AY33" s="10"/>
      <c r="AZ33" s="9"/>
      <c r="BA33" s="10"/>
      <c r="BB33" s="10"/>
      <c r="BC33" s="9"/>
      <c r="BD33" s="9"/>
    </row>
    <row r="34" spans="1:56" x14ac:dyDescent="0.25">
      <c r="A34" s="111"/>
      <c r="B34">
        <f t="shared" si="67"/>
        <v>1</v>
      </c>
      <c r="C34" t="s">
        <v>144</v>
      </c>
      <c r="D34">
        <f t="shared" si="131"/>
        <v>4</v>
      </c>
      <c r="E34">
        <f t="shared" si="132"/>
        <v>0</v>
      </c>
      <c r="F34">
        <f t="shared" si="125"/>
        <v>0</v>
      </c>
      <c r="G34">
        <f t="shared" si="125"/>
        <v>0</v>
      </c>
      <c r="H34" t="str">
        <f t="shared" si="125"/>
        <v>True</v>
      </c>
      <c r="I34" t="str">
        <f t="shared" si="125"/>
        <v>False</v>
      </c>
      <c r="J34">
        <f t="shared" si="125"/>
        <v>2.894E-2</v>
      </c>
      <c r="K34">
        <f t="shared" si="125"/>
        <v>2.894E-2</v>
      </c>
      <c r="L34">
        <f t="shared" si="125"/>
        <v>5.0000000000000002E-5</v>
      </c>
      <c r="M34">
        <f t="shared" si="125"/>
        <v>0</v>
      </c>
      <c r="N34">
        <f t="shared" si="125"/>
        <v>0</v>
      </c>
      <c r="O34">
        <f t="shared" si="125"/>
        <v>0</v>
      </c>
      <c r="P34">
        <f t="shared" si="125"/>
        <v>0</v>
      </c>
      <c r="Q34">
        <f t="shared" si="125"/>
        <v>0</v>
      </c>
      <c r="R34">
        <f t="shared" si="125"/>
        <v>0</v>
      </c>
      <c r="S34">
        <f t="shared" si="125"/>
        <v>0</v>
      </c>
      <c r="T34" t="str">
        <f t="shared" si="125"/>
        <v>NA</v>
      </c>
      <c r="U34" t="str">
        <f t="shared" si="125"/>
        <v>NA</v>
      </c>
      <c r="V34" t="str">
        <f t="shared" si="125"/>
        <v>NA</v>
      </c>
      <c r="W34" s="1">
        <f t="shared" ref="W34" si="144">W12</f>
        <v>1.9999999999999999E-7</v>
      </c>
      <c r="X34" t="str">
        <f t="shared" si="125"/>
        <v>NA</v>
      </c>
      <c r="Y34" t="str">
        <f t="shared" si="125"/>
        <v>NA</v>
      </c>
      <c r="Z34" t="str">
        <f t="shared" si="125"/>
        <v>NA</v>
      </c>
      <c r="AA34" t="str">
        <f t="shared" si="125"/>
        <v>False</v>
      </c>
      <c r="AB34" t="str">
        <f t="shared" si="125"/>
        <v>NA</v>
      </c>
      <c r="AC34" t="str">
        <f t="shared" si="125"/>
        <v>NA</v>
      </c>
      <c r="AD34" t="str">
        <f t="shared" si="125"/>
        <v>False</v>
      </c>
      <c r="AE34">
        <f t="shared" si="125"/>
        <v>7.4021453290852969E-4</v>
      </c>
      <c r="AF34">
        <f t="shared" si="125"/>
        <v>2.3782326556187717E-4</v>
      </c>
      <c r="AG34">
        <f t="shared" ref="AG34" si="145">AG12</f>
        <v>0</v>
      </c>
      <c r="AH34">
        <f t="shared" si="125"/>
        <v>2.3782326556187716E-3</v>
      </c>
      <c r="AI34">
        <f t="shared" si="125"/>
        <v>1.2583647059445005E-7</v>
      </c>
      <c r="AJ34">
        <f t="shared" si="125"/>
        <v>0</v>
      </c>
      <c r="AK34">
        <f t="shared" si="125"/>
        <v>1.2583647059445005E-7</v>
      </c>
      <c r="AL34">
        <f t="shared" si="125"/>
        <v>6.2918235297225031E-10</v>
      </c>
      <c r="AM34">
        <f t="shared" si="125"/>
        <v>0</v>
      </c>
      <c r="AN34">
        <f t="shared" si="125"/>
        <v>6.2918235297225031E-10</v>
      </c>
      <c r="AO34">
        <f t="shared" si="24"/>
        <v>1800</v>
      </c>
      <c r="AP34" s="73">
        <f t="shared" si="4"/>
        <v>3.9214700262632978E-7</v>
      </c>
      <c r="AQ34" s="103">
        <f t="shared" si="5"/>
        <v>67.910893172283792</v>
      </c>
      <c r="AR34" s="73">
        <f t="shared" ref="AR34:AT34" si="146">AR12</f>
        <v>9.5</v>
      </c>
      <c r="AS34" s="73">
        <f t="shared" ref="AS34" si="147">AS12</f>
        <v>1889.9390966577716</v>
      </c>
      <c r="AT34" s="73">
        <f t="shared" si="146"/>
        <v>18899.390966577714</v>
      </c>
      <c r="AU34" s="73">
        <f t="shared" ref="AU34" si="148">AU12</f>
        <v>0</v>
      </c>
      <c r="AV34" s="84">
        <f t="shared" si="8"/>
        <v>0</v>
      </c>
      <c r="AW34" s="84">
        <f t="shared" si="138"/>
        <v>68</v>
      </c>
      <c r="AX34" s="9"/>
      <c r="AY34" s="10"/>
      <c r="AZ34" s="9"/>
      <c r="BA34" s="10"/>
      <c r="BB34" s="10"/>
      <c r="BC34" s="9"/>
      <c r="BD34" s="9"/>
    </row>
    <row r="35" spans="1:56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6" s="4" customFormat="1" x14ac:dyDescent="0.25">
      <c r="A36" s="111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P36" s="25"/>
      <c r="AQ36" s="80" t="s">
        <v>21</v>
      </c>
      <c r="AR36" s="80" t="s">
        <v>139</v>
      </c>
      <c r="AS36" s="81" t="s">
        <v>116</v>
      </c>
      <c r="AT36" s="51"/>
      <c r="AU36" s="51"/>
      <c r="AV36" s="51"/>
    </row>
    <row r="37" spans="1:56" x14ac:dyDescent="0.25">
      <c r="A37" s="111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INPUTS!G15</f>
        <v>220</v>
      </c>
      <c r="H37" s="48">
        <v>8.2000000000000003E-2</v>
      </c>
      <c r="I37" s="48" t="s">
        <v>33</v>
      </c>
      <c r="J37">
        <f>P37*$U$37</f>
        <v>4.1067678351431759E-3</v>
      </c>
      <c r="K37">
        <f>J37*0.005</f>
        <v>2.053383917571588E-5</v>
      </c>
      <c r="L37">
        <f>J37*$W37</f>
        <v>1.6935436858020134</v>
      </c>
      <c r="M37">
        <f t="shared" ref="M37:M42" si="149">J37*$X37</f>
        <v>16.935436858020136</v>
      </c>
      <c r="N37">
        <f t="shared" ref="N37:N42" si="150">AA37*$J37</f>
        <v>0</v>
      </c>
      <c r="O37" s="1">
        <f t="shared" ref="O37:O42" si="151">J37*$AB$38</f>
        <v>24.157457853783384</v>
      </c>
      <c r="P37">
        <v>1.9556037310205601E-4</v>
      </c>
      <c r="Q37" s="1">
        <f t="shared" ref="Q37:Q42" si="152">J37*$AC37</f>
        <v>0.34907526598716992</v>
      </c>
      <c r="R37">
        <v>4400</v>
      </c>
      <c r="S37">
        <v>0</v>
      </c>
      <c r="T37">
        <v>0</v>
      </c>
      <c r="U37" s="15">
        <f>INPUTS!U15</f>
        <v>21</v>
      </c>
      <c r="V37" s="15">
        <f>INPUTS!V15</f>
        <v>4.3</v>
      </c>
      <c r="W37" s="15">
        <f t="shared" ref="W37:W42" si="153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4">IF(F37="HiddenElement",$AA$44/100/(1-$X$55)*$X$54*10^6/$X$52,0)</f>
        <v>0</v>
      </c>
      <c r="AB37" s="88" t="s">
        <v>21</v>
      </c>
      <c r="AC37" s="15">
        <f t="shared" ref="AC37:AC42" si="155">ROUND(X37/$AT$6*$AC$45,0)</f>
        <v>85</v>
      </c>
      <c r="AD37" s="15">
        <f>J37+L37*$F$53+M37*$J$53+O37*$E$53</f>
        <v>6.5427806230052557E-3</v>
      </c>
      <c r="AE37" s="71">
        <f>(1-J37/AD37)*100</f>
        <v>37.232071931263391</v>
      </c>
      <c r="AF37" s="1"/>
      <c r="AP37" s="82"/>
      <c r="AQ37" s="84">
        <f>$AQ$38/100/(1-$X$55)*$X$54*10^6/$X$52</f>
        <v>5882.3529411764703</v>
      </c>
      <c r="AR37" s="84">
        <f>$AR$38/100/(1-$X$55)*$X$54*10^6/$X$52</f>
        <v>5882.3529411764703</v>
      </c>
      <c r="AS37" s="85">
        <f>AR37+AQ37</f>
        <v>11764.705882352941</v>
      </c>
      <c r="AT37" s="97"/>
      <c r="AU37" s="97"/>
      <c r="AV37" s="97"/>
    </row>
    <row r="38" spans="1:56" x14ac:dyDescent="0.25">
      <c r="A38" s="111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INPUTS!G16</f>
        <v>220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6">J38*0.005</f>
        <v>8.5499999999999995E-6</v>
      </c>
      <c r="L38">
        <f>J38*$W38</f>
        <v>0.20231970075485131</v>
      </c>
      <c r="M38">
        <f t="shared" si="149"/>
        <v>2.0231970075485135</v>
      </c>
      <c r="N38">
        <f t="shared" si="150"/>
        <v>0</v>
      </c>
      <c r="O38" s="1">
        <f t="shared" si="151"/>
        <v>10.058823529411764</v>
      </c>
      <c r="P38">
        <v>2.6899999999999998E-4</v>
      </c>
      <c r="Q38" s="1">
        <f t="shared" si="152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3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4"/>
        <v>0</v>
      </c>
      <c r="AB38" s="56">
        <f>$AB$39/100/(1-$X$55)*$X$54*10^6/$X$52</f>
        <v>5882.3529411764703</v>
      </c>
      <c r="AC38" s="15">
        <f t="shared" si="155"/>
        <v>24</v>
      </c>
      <c r="AD38" s="15">
        <f t="shared" ref="AD38:AD42" si="157">J38+L38*$F$53+M38*$J$53+O38*$E$53</f>
        <v>2.2059574397915059E-3</v>
      </c>
      <c r="AE38" s="71">
        <f t="shared" ref="AE38:AE42" si="158">(1-J38/AD38)*100</f>
        <v>22.482638642311294</v>
      </c>
      <c r="AF38" s="1"/>
      <c r="AP38" s="83" t="s">
        <v>140</v>
      </c>
      <c r="AQ38" s="86">
        <v>10</v>
      </c>
      <c r="AR38" s="86">
        <v>10</v>
      </c>
      <c r="AS38" s="87">
        <f>AR38+AQ38</f>
        <v>20</v>
      </c>
      <c r="AT38" s="98"/>
      <c r="AU38" s="98"/>
      <c r="AV38" s="98"/>
    </row>
    <row r="39" spans="1:56" x14ac:dyDescent="0.25">
      <c r="A39" s="111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f>INPUTS!G17</f>
        <v>140</v>
      </c>
      <c r="H39" s="48">
        <v>9.1999999999999998E-2</v>
      </c>
      <c r="I39" s="48" t="s">
        <v>33</v>
      </c>
      <c r="J39">
        <f>P39*$U$39</f>
        <v>4.8376429774363953E-3</v>
      </c>
      <c r="K39">
        <f t="shared" si="156"/>
        <v>2.4188214887181978E-5</v>
      </c>
      <c r="L39">
        <f t="shared" ref="L39:L42" si="159">J39*$W39</f>
        <v>2.3636393573832919</v>
      </c>
      <c r="M39">
        <f t="shared" si="149"/>
        <v>23.636393573832915</v>
      </c>
      <c r="N39">
        <f t="shared" si="150"/>
        <v>0</v>
      </c>
      <c r="O39" s="1">
        <f t="shared" si="151"/>
        <v>28.456723396684676</v>
      </c>
      <c r="P39">
        <v>2.3036395130649501E-4</v>
      </c>
      <c r="Q39" s="1">
        <f t="shared" si="152"/>
        <v>0.48860194072107593</v>
      </c>
      <c r="R39">
        <v>4400</v>
      </c>
      <c r="S39">
        <v>0</v>
      </c>
      <c r="T39">
        <v>0</v>
      </c>
      <c r="U39" s="15">
        <f>INPUTS!U17</f>
        <v>21</v>
      </c>
      <c r="V39" s="15">
        <f>INPUTS!V17</f>
        <v>4.8</v>
      </c>
      <c r="W39" s="15">
        <f t="shared" si="153"/>
        <v>488.59317820841994</v>
      </c>
      <c r="X39" s="15">
        <f t="shared" ref="X39:X42" si="160">$W39/$X$45</f>
        <v>4885.9317820841989</v>
      </c>
      <c r="Z39" s="28"/>
      <c r="AA39" s="89">
        <f t="shared" si="154"/>
        <v>0</v>
      </c>
      <c r="AB39" s="53">
        <v>10</v>
      </c>
      <c r="AC39" s="15">
        <f t="shared" si="155"/>
        <v>101</v>
      </c>
      <c r="AD39" s="15">
        <f t="shared" si="157"/>
        <v>8.0872640817543518E-3</v>
      </c>
      <c r="AE39" s="71">
        <f t="shared" si="158"/>
        <v>40.181958589053814</v>
      </c>
      <c r="AF39" s="1"/>
      <c r="AG39" s="1"/>
    </row>
    <row r="40" spans="1:56" x14ac:dyDescent="0.25">
      <c r="A40" s="111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f>INPUTS!G18</f>
        <v>140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6"/>
        <v>1.1400000000000003E-5</v>
      </c>
      <c r="L40">
        <f t="shared" si="159"/>
        <v>0.38263355734467192</v>
      </c>
      <c r="M40">
        <f t="shared" si="149"/>
        <v>3.8263355734467188</v>
      </c>
      <c r="N40">
        <f t="shared" si="150"/>
        <v>6.7058823529411775</v>
      </c>
      <c r="O40" s="1">
        <f t="shared" si="151"/>
        <v>13.411764705882355</v>
      </c>
      <c r="P40">
        <v>2.4800000000000001E-4</v>
      </c>
      <c r="Q40" s="1">
        <f t="shared" si="152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3"/>
        <v>167.82173567748765</v>
      </c>
      <c r="X40" s="15">
        <f t="shared" si="160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5"/>
        <v>35</v>
      </c>
      <c r="AD40" s="15">
        <f t="shared" si="157"/>
        <v>3.0576333839599777E-3</v>
      </c>
      <c r="AE40" s="71">
        <f t="shared" si="158"/>
        <v>25.432525300101705</v>
      </c>
      <c r="AF40" s="1"/>
      <c r="AG40" s="1"/>
    </row>
    <row r="41" spans="1:56" x14ac:dyDescent="0.25">
      <c r="A41" s="111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f>INPUTS!G19</f>
        <v>140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6"/>
        <v>2.0000000000000002E-7</v>
      </c>
      <c r="L41">
        <f t="shared" si="159"/>
        <v>6.7128694270995066E-3</v>
      </c>
      <c r="M41">
        <f t="shared" si="149"/>
        <v>6.7128694270995062E-2</v>
      </c>
      <c r="N41">
        <f t="shared" si="150"/>
        <v>0</v>
      </c>
      <c r="O41" s="1">
        <f t="shared" si="151"/>
        <v>0.23529411764705882</v>
      </c>
      <c r="P41">
        <v>5.0000000000000004E-6</v>
      </c>
      <c r="Q41" s="1">
        <f t="shared" si="152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3"/>
        <v>167.82173567748765</v>
      </c>
      <c r="X41" s="15">
        <f t="shared" si="160"/>
        <v>1678.2173567748764</v>
      </c>
      <c r="AA41" s="89">
        <f t="shared" si="154"/>
        <v>0</v>
      </c>
      <c r="AB41" s="1"/>
      <c r="AC41" s="15">
        <f t="shared" si="155"/>
        <v>35</v>
      </c>
      <c r="AD41" s="15">
        <f t="shared" si="157"/>
        <v>5.3642690946666268E-5</v>
      </c>
      <c r="AE41" s="71">
        <f t="shared" si="158"/>
        <v>25.432525300101705</v>
      </c>
      <c r="AW41" s="91" t="s">
        <v>57</v>
      </c>
      <c r="AX41" s="9" t="s">
        <v>47</v>
      </c>
      <c r="AY41" s="10">
        <v>0</v>
      </c>
    </row>
    <row r="42" spans="1:56" x14ac:dyDescent="0.25">
      <c r="A42" s="111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f>INPUTS!G20</f>
        <v>60</v>
      </c>
      <c r="H42" s="48">
        <v>6.0421565000000003E-2</v>
      </c>
      <c r="I42" s="48" t="s">
        <v>31</v>
      </c>
      <c r="J42">
        <f>P42*$U$42</f>
        <v>4.1708099999999996E-3</v>
      </c>
      <c r="K42">
        <f t="shared" si="156"/>
        <v>2.0854049999999997E-5</v>
      </c>
      <c r="L42">
        <f t="shared" si="159"/>
        <v>2.2440625728389185</v>
      </c>
      <c r="M42">
        <f t="shared" si="149"/>
        <v>22.440625728389183</v>
      </c>
      <c r="N42">
        <f t="shared" si="150"/>
        <v>0</v>
      </c>
      <c r="O42" s="1">
        <f t="shared" si="151"/>
        <v>24.534176470588232</v>
      </c>
      <c r="P42">
        <v>1.9861E-4</v>
      </c>
      <c r="Q42" s="1">
        <f t="shared" si="152"/>
        <v>0.46295990999999997</v>
      </c>
      <c r="R42">
        <f>INPUTS!R20</f>
        <v>0</v>
      </c>
      <c r="S42">
        <v>0</v>
      </c>
      <c r="T42">
        <v>0</v>
      </c>
      <c r="U42" s="16">
        <f>INPUTS!U20</f>
        <v>21</v>
      </c>
      <c r="V42" s="16">
        <f>INPUTS!V20</f>
        <v>5.0999999999999996</v>
      </c>
      <c r="W42" s="16">
        <f t="shared" si="153"/>
        <v>538.03999051477263</v>
      </c>
      <c r="X42" s="16">
        <f t="shared" si="160"/>
        <v>5380.3999051477258</v>
      </c>
      <c r="AA42" s="90">
        <f t="shared" si="154"/>
        <v>0</v>
      </c>
      <c r="AC42" s="16">
        <f t="shared" si="155"/>
        <v>111</v>
      </c>
      <c r="AD42" s="16">
        <f t="shared" si="157"/>
        <v>7.1850918866116359E-3</v>
      </c>
      <c r="AE42" s="72">
        <f t="shared" si="158"/>
        <v>41.951890583728066</v>
      </c>
      <c r="AW42" s="91"/>
      <c r="AX42" s="9" t="s">
        <v>48</v>
      </c>
      <c r="AY42" s="9">
        <v>0.106</v>
      </c>
    </row>
    <row r="43" spans="1:56" x14ac:dyDescent="0.25">
      <c r="A43" s="4"/>
      <c r="W43" s="17"/>
      <c r="X43" s="17"/>
      <c r="Z43" s="1"/>
      <c r="AN43" s="91"/>
      <c r="AO43" s="109"/>
      <c r="AP43" s="91"/>
      <c r="AQ43" s="91"/>
      <c r="AR43" s="91"/>
      <c r="AS43" s="91"/>
      <c r="AT43" s="96"/>
      <c r="AU43" s="96"/>
      <c r="AV43" s="105"/>
      <c r="AW43" s="9" t="s">
        <v>49</v>
      </c>
      <c r="AX43" s="9">
        <v>1.28</v>
      </c>
    </row>
    <row r="44" spans="1:56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109"/>
      <c r="AP44" s="91"/>
      <c r="AQ44" s="91"/>
      <c r="AR44" s="91"/>
      <c r="AS44" s="91"/>
      <c r="AT44" s="96"/>
      <c r="AU44" s="96"/>
      <c r="AV44" s="105"/>
      <c r="AW44" s="9" t="s">
        <v>50</v>
      </c>
      <c r="AX44" s="9">
        <v>0.8</v>
      </c>
    </row>
    <row r="45" spans="1:56" x14ac:dyDescent="0.25">
      <c r="A45" s="4"/>
      <c r="X45" s="16">
        <f>INPUTS!X23</f>
        <v>0.1</v>
      </c>
      <c r="Y45" s="74">
        <f>(SUMPRODUCT(V37:V42,AD37:AD42)+SUMPRODUCT(AR5:AR12,AP5:AP12))/SUM(AD37:AD42,AP5:AP12)</f>
        <v>4.3619109572720793</v>
      </c>
      <c r="AA45" s="54" t="s">
        <v>121</v>
      </c>
      <c r="AC45" s="101">
        <v>200</v>
      </c>
      <c r="AN45" s="91"/>
      <c r="AO45" s="109"/>
      <c r="AP45" s="91"/>
      <c r="AQ45" s="91"/>
      <c r="AR45" s="91"/>
      <c r="AS45" s="91"/>
      <c r="AT45" s="96"/>
      <c r="AU45" s="96"/>
      <c r="AV45" s="105"/>
      <c r="AW45" s="9" t="s">
        <v>60</v>
      </c>
      <c r="AX45" s="9">
        <f>210*3600*24/12</f>
        <v>1512000</v>
      </c>
    </row>
    <row r="46" spans="1:56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/>
      <c r="AW46" s="9" t="s">
        <v>58</v>
      </c>
      <c r="AX46" s="9">
        <v>5</v>
      </c>
    </row>
    <row r="47" spans="1:56" x14ac:dyDescent="0.25">
      <c r="A47" s="111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11"/>
      <c r="AS47" s="9" t="s">
        <v>59</v>
      </c>
      <c r="AT47" s="9"/>
      <c r="AU47" s="9"/>
      <c r="AV47" s="9"/>
      <c r="AW47" s="9">
        <f>1/59</f>
        <v>1.6949152542372881E-2</v>
      </c>
    </row>
    <row r="48" spans="1:56" x14ac:dyDescent="0.25">
      <c r="A48" s="111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12"/>
      <c r="AS48" s="9"/>
      <c r="AT48" s="9"/>
      <c r="AU48" s="9"/>
      <c r="AV48" s="9"/>
      <c r="AW48" s="9"/>
    </row>
    <row r="49" spans="1:49" x14ac:dyDescent="0.25">
      <c r="A49" s="111"/>
      <c r="B49">
        <v>1</v>
      </c>
      <c r="C49" t="s">
        <v>30</v>
      </c>
      <c r="D49" t="s">
        <v>68</v>
      </c>
      <c r="E49" s="28">
        <f>E50*$K$49</f>
        <v>202.5847905487137</v>
      </c>
      <c r="F49" s="28">
        <f>F50*$K$49</f>
        <v>2.1905337301340246</v>
      </c>
      <c r="G49" s="28">
        <f>G50*$K$49</f>
        <v>21.905337301340243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3.4439414393281333E-2</v>
      </c>
      <c r="L49" s="28">
        <f>K49*$Y$38</f>
        <v>1.7219707196640668E-4</v>
      </c>
      <c r="M49" s="28">
        <f>M50*$K$49</f>
        <v>5.1659121589921995</v>
      </c>
      <c r="N49" s="76" t="s">
        <v>134</v>
      </c>
      <c r="O49" s="20" t="s">
        <v>69</v>
      </c>
      <c r="P49" s="20" t="s">
        <v>83</v>
      </c>
      <c r="Q49" s="20" t="s">
        <v>82</v>
      </c>
      <c r="R49" s="112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12"/>
      <c r="AS49" s="9"/>
      <c r="AT49" s="9"/>
      <c r="AU49" s="9"/>
      <c r="AV49" s="9"/>
      <c r="AW49" s="9"/>
    </row>
    <row r="50" spans="1:49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150</v>
      </c>
      <c r="N50" s="77">
        <f>SUM(AK5:AK34,J37:J42)/K49</f>
        <v>0.58774065681765075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2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12"/>
      <c r="AS50" s="9"/>
      <c r="AT50" s="9"/>
      <c r="AU50" s="9"/>
      <c r="AV50" s="9"/>
      <c r="AW50" s="9"/>
    </row>
    <row r="51" spans="1:49" x14ac:dyDescent="0.25">
      <c r="F51" s="1"/>
      <c r="R51" s="112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13"/>
      <c r="AS51" s="9"/>
      <c r="AT51" s="9"/>
      <c r="AU51" s="9"/>
      <c r="AV51" s="9"/>
      <c r="AW51" s="9"/>
    </row>
    <row r="52" spans="1:49" x14ac:dyDescent="0.25">
      <c r="D52" s="27" t="s">
        <v>78</v>
      </c>
      <c r="F52" s="1"/>
      <c r="O52" s="35" t="s">
        <v>138</v>
      </c>
      <c r="P52" s="36">
        <f>K49+SUM(J37:J42)+SUM(AK5:AK34)</f>
        <v>5.4680858429203755E-2</v>
      </c>
      <c r="R52" s="112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13"/>
      <c r="AS52" s="9"/>
      <c r="AT52" s="9"/>
      <c r="AU52" s="9"/>
      <c r="AV52" s="9"/>
      <c r="AW52" s="9"/>
    </row>
    <row r="53" spans="1:49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2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12"/>
      <c r="AS53" s="9"/>
      <c r="AT53" s="9"/>
      <c r="AU53" s="9"/>
      <c r="AV53" s="9"/>
      <c r="AW53" s="9"/>
    </row>
    <row r="54" spans="1:49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2"/>
      <c r="S54" s="11" t="s">
        <v>52</v>
      </c>
      <c r="T54" s="9">
        <v>1.557936E-2</v>
      </c>
      <c r="W54" s="35" t="s">
        <v>119</v>
      </c>
      <c r="X54" s="37">
        <v>12</v>
      </c>
    </row>
    <row r="55" spans="1:49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3.3450278911750092E-2</v>
      </c>
      <c r="W55" s="35" t="s">
        <v>122</v>
      </c>
      <c r="X55" s="55">
        <v>0.4</v>
      </c>
    </row>
    <row r="56" spans="1:49" x14ac:dyDescent="0.25">
      <c r="O56" s="35" t="s">
        <v>110</v>
      </c>
      <c r="P56" s="36">
        <f>K49+E49*E53+F49*F53+G49*G53</f>
        <v>4.1812848639687608E-2</v>
      </c>
    </row>
    <row r="57" spans="1:49" ht="15" customHeight="1" x14ac:dyDescent="0.25">
      <c r="A57" s="114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7.52631275514377E-2</v>
      </c>
      <c r="Q57" s="32"/>
    </row>
    <row r="58" spans="1:49" x14ac:dyDescent="0.25">
      <c r="A58" s="114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9" x14ac:dyDescent="0.25">
      <c r="A59" s="114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1">G58</f>
        <v>0</v>
      </c>
      <c r="H59">
        <v>4</v>
      </c>
      <c r="I59">
        <f t="shared" si="161"/>
        <v>20</v>
      </c>
      <c r="J59">
        <f t="shared" si="161"/>
        <v>3600</v>
      </c>
      <c r="K59">
        <f t="shared" si="161"/>
        <v>3600</v>
      </c>
      <c r="L59">
        <f t="shared" si="161"/>
        <v>0</v>
      </c>
      <c r="M59">
        <f t="shared" si="161"/>
        <v>0</v>
      </c>
      <c r="O59" s="35" t="s">
        <v>136</v>
      </c>
      <c r="P59" s="39">
        <f>1-SUM($AK$5:$AK$12,$J$37:$J$42)/$P$55</f>
        <v>0.41087241587729117</v>
      </c>
    </row>
    <row r="60" spans="1:49" x14ac:dyDescent="0.25">
      <c r="A60" s="114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2">G58</f>
        <v>0</v>
      </c>
      <c r="H60">
        <v>5</v>
      </c>
      <c r="I60">
        <f t="shared" si="162"/>
        <v>20</v>
      </c>
      <c r="J60">
        <f t="shared" si="162"/>
        <v>3600</v>
      </c>
      <c r="K60">
        <f t="shared" si="162"/>
        <v>3600</v>
      </c>
      <c r="L60">
        <f t="shared" si="162"/>
        <v>0</v>
      </c>
      <c r="M60">
        <f t="shared" si="162"/>
        <v>0</v>
      </c>
      <c r="O60" s="35" t="s">
        <v>137</v>
      </c>
      <c r="P60" s="39">
        <f>1-$K$49/$P$56</f>
        <v>0.17634374328200197</v>
      </c>
    </row>
    <row r="61" spans="1:49" x14ac:dyDescent="0.25">
      <c r="A61" s="114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3">G58</f>
        <v>0</v>
      </c>
      <c r="H61">
        <v>6</v>
      </c>
      <c r="I61">
        <f t="shared" si="163"/>
        <v>20</v>
      </c>
      <c r="J61">
        <f t="shared" si="163"/>
        <v>3600</v>
      </c>
      <c r="K61">
        <f t="shared" si="163"/>
        <v>3600</v>
      </c>
      <c r="L61">
        <f t="shared" si="163"/>
        <v>0</v>
      </c>
      <c r="M61">
        <f t="shared" si="163"/>
        <v>0</v>
      </c>
      <c r="O61" s="35" t="s">
        <v>111</v>
      </c>
      <c r="P61" s="39">
        <f>1-SUM($AK$5:$AK$12,$J$37:$J$42)/($P$55+N50/(1+N50)*P54)</f>
        <v>0.41087241587729117</v>
      </c>
    </row>
    <row r="62" spans="1:49" x14ac:dyDescent="0.25">
      <c r="A62" s="114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4">G58</f>
        <v>0</v>
      </c>
      <c r="H62">
        <v>7</v>
      </c>
      <c r="I62">
        <f t="shared" si="164"/>
        <v>20</v>
      </c>
      <c r="J62">
        <f t="shared" si="164"/>
        <v>3600</v>
      </c>
      <c r="K62">
        <f t="shared" si="164"/>
        <v>3600</v>
      </c>
      <c r="L62">
        <f t="shared" si="164"/>
        <v>0</v>
      </c>
      <c r="M62">
        <f t="shared" si="164"/>
        <v>0</v>
      </c>
      <c r="O62" s="35" t="s">
        <v>112</v>
      </c>
      <c r="P62" s="39">
        <f>1-$K$49/($P$56+1/(1+N50)*P54)</f>
        <v>0.17634374328200197</v>
      </c>
    </row>
    <row r="64" spans="1:49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2.6052937587875906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11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11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A13" sqref="A13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60</v>
      </c>
      <c r="C2">
        <f>B2*10^3/10000</f>
        <v>6</v>
      </c>
      <c r="D2" s="94">
        <f>C2*10^6/14</f>
        <v>428571.42857142858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2019-05-20T09:17:23Z</dcterms:modified>
</cp:coreProperties>
</file>