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/>
  </bookViews>
  <sheets>
    <sheet name="INPUTS" sheetId="15" r:id="rId1"/>
    <sheet name="INPUTS_save" sheetId="1" r:id="rId2"/>
    <sheet name="INPUTS_tillering" sheetId="17" r:id="rId3"/>
    <sheet name="INPUTS_save2" sheetId="9" r:id="rId4"/>
    <sheet name="Soil" sheetId="18" r:id="rId5"/>
    <sheet name="Barillot2016b_inputs" sheetId="6" r:id="rId6"/>
    <sheet name="Bertheloot2011b" sheetId="1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15" i="17" l="1"/>
  <c r="AP22" i="17" s="1"/>
  <c r="AP29" i="17" s="1"/>
  <c r="AP16" i="17"/>
  <c r="AP23" i="17" s="1"/>
  <c r="AP30" i="17" s="1"/>
  <c r="AP17" i="17"/>
  <c r="AP24" i="17" s="1"/>
  <c r="AP31" i="17" s="1"/>
  <c r="AO19" i="17"/>
  <c r="AO26" i="17" s="1"/>
  <c r="AO33" i="17" s="1"/>
  <c r="AO6" i="17"/>
  <c r="AO13" i="17" s="1"/>
  <c r="AO20" i="17" s="1"/>
  <c r="AO27" i="17" s="1"/>
  <c r="AO34" i="17" s="1"/>
  <c r="AP6" i="17"/>
  <c r="AP13" i="17" s="1"/>
  <c r="AP20" i="17" s="1"/>
  <c r="AP27" i="17" s="1"/>
  <c r="AP34" i="17" s="1"/>
  <c r="AO7" i="17"/>
  <c r="AO14" i="17" s="1"/>
  <c r="AO21" i="17" s="1"/>
  <c r="AO28" i="17" s="1"/>
  <c r="AP7" i="17"/>
  <c r="AP14" i="17" s="1"/>
  <c r="AP21" i="17" s="1"/>
  <c r="AP28" i="17" s="1"/>
  <c r="AO8" i="17"/>
  <c r="AO15" i="17" s="1"/>
  <c r="AO22" i="17" s="1"/>
  <c r="AO29" i="17" s="1"/>
  <c r="AP8" i="17"/>
  <c r="AO9" i="17"/>
  <c r="AO16" i="17" s="1"/>
  <c r="AO23" i="17" s="1"/>
  <c r="AO30" i="17" s="1"/>
  <c r="AP9" i="17"/>
  <c r="AO10" i="17"/>
  <c r="AO17" i="17" s="1"/>
  <c r="AO24" i="17" s="1"/>
  <c r="AO31" i="17" s="1"/>
  <c r="AP10" i="17"/>
  <c r="AO11" i="17"/>
  <c r="AO18" i="17" s="1"/>
  <c r="AO25" i="17" s="1"/>
  <c r="AO32" i="17" s="1"/>
  <c r="AP11" i="17"/>
  <c r="AP18" i="17" s="1"/>
  <c r="AP25" i="17" s="1"/>
  <c r="AP32" i="17" s="1"/>
  <c r="AO12" i="17"/>
  <c r="AP12" i="17"/>
  <c r="AP19" i="17" s="1"/>
  <c r="AP26" i="17" s="1"/>
  <c r="AP33" i="17" s="1"/>
  <c r="AP5" i="17"/>
  <c r="AO5" i="17"/>
  <c r="V37" i="17" l="1"/>
  <c r="AC15" i="15" l="1"/>
  <c r="R16" i="15" l="1"/>
  <c r="R42" i="17"/>
  <c r="D1" i="19" l="1"/>
  <c r="E25" i="6"/>
  <c r="C2" i="18" l="1"/>
  <c r="W15" i="17" l="1"/>
  <c r="W16" i="17"/>
  <c r="W17" i="17"/>
  <c r="W18" i="17"/>
  <c r="W34" i="17"/>
  <c r="W6" i="15"/>
  <c r="W7" i="15"/>
  <c r="W8" i="15"/>
  <c r="W9" i="15"/>
  <c r="W10" i="15"/>
  <c r="W11" i="15"/>
  <c r="W12" i="15"/>
  <c r="W5" i="15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W9" i="17" l="1"/>
  <c r="AW7" i="17" l="1"/>
  <c r="AW8" i="17"/>
  <c r="AW10" i="17"/>
  <c r="AW11" i="17"/>
  <c r="AW12" i="17"/>
  <c r="AW6" i="17"/>
  <c r="AW5" i="17"/>
  <c r="AX31" i="17"/>
  <c r="AX27" i="17"/>
  <c r="AX28" i="17"/>
  <c r="AX29" i="17"/>
  <c r="AX30" i="17"/>
  <c r="AX26" i="17"/>
  <c r="AX21" i="17"/>
  <c r="AX22" i="17"/>
  <c r="AX23" i="17"/>
  <c r="AX24" i="17"/>
  <c r="AX25" i="17"/>
  <c r="AX20" i="17"/>
  <c r="AX14" i="17"/>
  <c r="AX15" i="17"/>
  <c r="AX16" i="17"/>
  <c r="AX17" i="17"/>
  <c r="AX32" i="17" s="1"/>
  <c r="AX18" i="17"/>
  <c r="AX33" i="17" s="1"/>
  <c r="AX19" i="17"/>
  <c r="AX13" i="17"/>
  <c r="AW13" i="17" s="1"/>
  <c r="AS37" i="17"/>
  <c r="AS6" i="17"/>
  <c r="AA40" i="17"/>
  <c r="AX34" i="17" l="1"/>
  <c r="F3" i="18" l="1"/>
  <c r="AR37" i="17" l="1"/>
  <c r="AT37" i="17" s="1"/>
  <c r="J53" i="17"/>
  <c r="AS5" i="17"/>
  <c r="P50" i="17" l="1"/>
  <c r="BC12" i="17" l="1"/>
  <c r="BC11" i="17"/>
  <c r="BC10" i="17"/>
  <c r="BC9" i="17"/>
  <c r="BC8" i="17"/>
  <c r="BC7" i="17"/>
  <c r="BC6" i="17"/>
  <c r="BC5" i="17"/>
  <c r="AV34" i="17" l="1"/>
  <c r="AW34" i="17" s="1"/>
  <c r="AV33" i="17"/>
  <c r="AW33" i="17" s="1"/>
  <c r="AV32" i="17"/>
  <c r="AW32" i="17" s="1"/>
  <c r="AV31" i="17"/>
  <c r="AW31" i="17" s="1"/>
  <c r="AV30" i="17"/>
  <c r="AW30" i="17" s="1"/>
  <c r="AV29" i="17"/>
  <c r="AW29" i="17" s="1"/>
  <c r="AV28" i="17"/>
  <c r="AW28" i="17" s="1"/>
  <c r="AV27" i="17"/>
  <c r="AW27" i="17" s="1"/>
  <c r="AV26" i="17"/>
  <c r="AW26" i="17" s="1"/>
  <c r="AV25" i="17"/>
  <c r="AW25" i="17" s="1"/>
  <c r="AV24" i="17"/>
  <c r="AW24" i="17" s="1"/>
  <c r="AV23" i="17"/>
  <c r="AW23" i="17" s="1"/>
  <c r="AV22" i="17"/>
  <c r="AW22" i="17" s="1"/>
  <c r="AV21" i="17"/>
  <c r="AW21" i="17" s="1"/>
  <c r="AV20" i="17"/>
  <c r="AW20" i="17" s="1"/>
  <c r="AV19" i="17"/>
  <c r="AW19" i="17" s="1"/>
  <c r="AV18" i="17"/>
  <c r="AW18" i="17" s="1"/>
  <c r="AV17" i="17"/>
  <c r="AW17" i="17" s="1"/>
  <c r="AV16" i="17"/>
  <c r="AW16" i="17" s="1"/>
  <c r="AV15" i="17"/>
  <c r="AW15" i="17" s="1"/>
  <c r="AV14" i="17"/>
  <c r="AW14" i="17" s="1"/>
  <c r="AW6" i="15"/>
  <c r="AW7" i="15"/>
  <c r="AW8" i="15"/>
  <c r="AW9" i="15"/>
  <c r="AW10" i="15"/>
  <c r="AW11" i="15"/>
  <c r="AW12" i="15"/>
  <c r="AW5" i="15"/>
  <c r="AS15" i="15"/>
  <c r="D3" i="18" l="1"/>
  <c r="D4" i="18"/>
  <c r="C3" i="18"/>
  <c r="C4" i="18"/>
  <c r="D2" i="18"/>
  <c r="I20" i="6" l="1"/>
  <c r="D22" i="6"/>
  <c r="E22" i="6"/>
  <c r="I22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Y5" i="17"/>
  <c r="AS7" i="17"/>
  <c r="AS8" i="17"/>
  <c r="AS9" i="17"/>
  <c r="AS10" i="17"/>
  <c r="AS11" i="17"/>
  <c r="AS12" i="17"/>
  <c r="X45" i="17"/>
  <c r="V38" i="17"/>
  <c r="V39" i="17"/>
  <c r="V40" i="17"/>
  <c r="V41" i="17"/>
  <c r="V42" i="17"/>
  <c r="U38" i="17"/>
  <c r="U39" i="17"/>
  <c r="U40" i="17"/>
  <c r="U41" i="17"/>
  <c r="U42" i="17"/>
  <c r="U37" i="17"/>
  <c r="AT5" i="17" l="1"/>
  <c r="AU5" i="17" s="1"/>
  <c r="AT6" i="17"/>
  <c r="M62" i="17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S34" i="17"/>
  <c r="AS33" i="17"/>
  <c r="AS32" i="17"/>
  <c r="AS31" i="17"/>
  <c r="AS30" i="17"/>
  <c r="AS29" i="17"/>
  <c r="AS28" i="17"/>
  <c r="AS27" i="17"/>
  <c r="AS26" i="17"/>
  <c r="AS25" i="17"/>
  <c r="AS24" i="17"/>
  <c r="AS23" i="17"/>
  <c r="AS22" i="17"/>
  <c r="AS21" i="17"/>
  <c r="AS20" i="17"/>
  <c r="AS19" i="17"/>
  <c r="AS18" i="17"/>
  <c r="AS17" i="17"/>
  <c r="AS16" i="17"/>
  <c r="AS15" i="17"/>
  <c r="AS14" i="17"/>
  <c r="AS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AT8" i="17" s="1"/>
  <c r="E53" i="17"/>
  <c r="AT12" i="17" s="1"/>
  <c r="AX47" i="17"/>
  <c r="AY45" i="17"/>
  <c r="AA42" i="17"/>
  <c r="J42" i="17"/>
  <c r="AA41" i="17"/>
  <c r="J41" i="17"/>
  <c r="J40" i="17"/>
  <c r="AA39" i="17"/>
  <c r="J39" i="17"/>
  <c r="AT38" i="17"/>
  <c r="AB38" i="17"/>
  <c r="E50" i="17" s="1"/>
  <c r="AA38" i="17"/>
  <c r="J38" i="17"/>
  <c r="G38" i="17"/>
  <c r="AA37" i="17"/>
  <c r="J37" i="17"/>
  <c r="G37" i="17"/>
  <c r="BE12" i="17"/>
  <c r="AI12" i="17"/>
  <c r="AI19" i="17" s="1"/>
  <c r="AZ12" i="17"/>
  <c r="AM12" i="17"/>
  <c r="AM19" i="17" s="1"/>
  <c r="BE11" i="17"/>
  <c r="AI11" i="17"/>
  <c r="AI33" i="17" s="1"/>
  <c r="AZ11" i="17"/>
  <c r="AM11" i="17"/>
  <c r="AM18" i="17" s="1"/>
  <c r="BE10" i="17"/>
  <c r="AI10" i="17"/>
  <c r="AL10" i="17" s="1"/>
  <c r="AL23" i="17" s="1"/>
  <c r="AZ10" i="17"/>
  <c r="AM10" i="17"/>
  <c r="BE9" i="17"/>
  <c r="AI9" i="17"/>
  <c r="AI31" i="17" s="1"/>
  <c r="AZ9" i="17"/>
  <c r="AM9" i="17"/>
  <c r="AM16" i="17" s="1"/>
  <c r="BE8" i="17"/>
  <c r="AI8" i="17"/>
  <c r="AZ8" i="17"/>
  <c r="AM8" i="17"/>
  <c r="AM15" i="17" s="1"/>
  <c r="BE7" i="17"/>
  <c r="AI7" i="17"/>
  <c r="AL7" i="17" s="1"/>
  <c r="AL20" i="17" s="1"/>
  <c r="AZ7" i="17"/>
  <c r="AM7" i="17"/>
  <c r="AM14" i="17" s="1"/>
  <c r="BE6" i="17"/>
  <c r="AJ6" i="17" s="1"/>
  <c r="AM6" i="17" s="1"/>
  <c r="AM13" i="17" s="1"/>
  <c r="BE5" i="17"/>
  <c r="AJ5" i="17" s="1"/>
  <c r="AM5" i="17" s="1"/>
  <c r="J5" i="17"/>
  <c r="J6" i="17" s="1"/>
  <c r="J13" i="17" s="1"/>
  <c r="G5" i="17"/>
  <c r="E2" i="17"/>
  <c r="E7" i="17" s="1"/>
  <c r="E20" i="17" s="1"/>
  <c r="AI30" i="17" l="1"/>
  <c r="AI24" i="17"/>
  <c r="F54" i="17"/>
  <c r="P54" i="17"/>
  <c r="AI34" i="17"/>
  <c r="AT9" i="17"/>
  <c r="AT27" i="17" s="1"/>
  <c r="AT11" i="17"/>
  <c r="AT24" i="17" s="1"/>
  <c r="AJ13" i="17"/>
  <c r="P64" i="17"/>
  <c r="AT7" i="17"/>
  <c r="AT14" i="17" s="1"/>
  <c r="AT10" i="17"/>
  <c r="AT32" i="17" s="1"/>
  <c r="AT26" i="17"/>
  <c r="AT15" i="17"/>
  <c r="AT21" i="17"/>
  <c r="AT17" i="17"/>
  <c r="AT23" i="17"/>
  <c r="AT13" i="17"/>
  <c r="AU6" i="17"/>
  <c r="AU13" i="17" s="1"/>
  <c r="AT19" i="17"/>
  <c r="AT25" i="17"/>
  <c r="AT34" i="17"/>
  <c r="AT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Z6" i="17"/>
  <c r="J7" i="17"/>
  <c r="BA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Z5" i="17"/>
  <c r="K5" i="17"/>
  <c r="BA5" i="17"/>
  <c r="AK10" i="17"/>
  <c r="AG10" i="17" s="1"/>
  <c r="W38" i="17"/>
  <c r="X38" i="17" s="1"/>
  <c r="K37" i="17"/>
  <c r="E6" i="17"/>
  <c r="E13" i="17" s="1"/>
  <c r="E9" i="17"/>
  <c r="K42" i="17"/>
  <c r="K39" i="17"/>
  <c r="AT20" i="17" l="1"/>
  <c r="AC37" i="17"/>
  <c r="AT33" i="17"/>
  <c r="AT18" i="17"/>
  <c r="AT28" i="17"/>
  <c r="AG27" i="17"/>
  <c r="AG16" i="17"/>
  <c r="AG22" i="17"/>
  <c r="AG31" i="17"/>
  <c r="AG20" i="17"/>
  <c r="AG14" i="17"/>
  <c r="AU9" i="17"/>
  <c r="AH9" i="17" s="1"/>
  <c r="AT31" i="17"/>
  <c r="AG15" i="17"/>
  <c r="AG26" i="17"/>
  <c r="AG21" i="17"/>
  <c r="AT16" i="17"/>
  <c r="AT22" i="17"/>
  <c r="AG33" i="17"/>
  <c r="AG24" i="17"/>
  <c r="AG29" i="17"/>
  <c r="AG18" i="17"/>
  <c r="AT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U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BB6" i="17"/>
  <c r="AK16" i="17"/>
  <c r="AK22" i="17"/>
  <c r="AK27" i="17"/>
  <c r="AK31" i="17"/>
  <c r="M39" i="17"/>
  <c r="L39" i="17"/>
  <c r="K7" i="17"/>
  <c r="BA7" i="17"/>
  <c r="BB7" i="17" s="1"/>
  <c r="J8" i="17"/>
  <c r="BB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G16" i="15"/>
  <c r="G15" i="15"/>
  <c r="AQ9" i="17" l="1"/>
  <c r="AQ11" i="17"/>
  <c r="AR11" i="17" s="1"/>
  <c r="AD42" i="17"/>
  <c r="AE42" i="17" s="1"/>
  <c r="AD37" i="17"/>
  <c r="AE37" i="17" s="1"/>
  <c r="AD40" i="17"/>
  <c r="AE40" i="17" s="1"/>
  <c r="AF7" i="17"/>
  <c r="AU7" i="17"/>
  <c r="AD41" i="17"/>
  <c r="AE41" i="17" s="1"/>
  <c r="AD39" i="17"/>
  <c r="AE39" i="17" s="1"/>
  <c r="AU8" i="17"/>
  <c r="AU12" i="17"/>
  <c r="AU10" i="17"/>
  <c r="AU16" i="17"/>
  <c r="AU31" i="17"/>
  <c r="AU22" i="17"/>
  <c r="AU27" i="17"/>
  <c r="AU18" i="17"/>
  <c r="AU33" i="17"/>
  <c r="AU29" i="17"/>
  <c r="AU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R9" i="17"/>
  <c r="AL5" i="17"/>
  <c r="AN5" i="17" s="1"/>
  <c r="AK5" i="17"/>
  <c r="J9" i="17"/>
  <c r="BA8" i="17"/>
  <c r="BB8" i="17" s="1"/>
  <c r="K8" i="17"/>
  <c r="AQ31" i="17" l="1"/>
  <c r="AQ29" i="17"/>
  <c r="AR29" i="17" s="1"/>
  <c r="AQ16" i="17"/>
  <c r="AR16" i="17" s="1"/>
  <c r="AQ27" i="17"/>
  <c r="AR27" i="17" s="1"/>
  <c r="AQ22" i="17"/>
  <c r="AR22" i="17" s="1"/>
  <c r="AQ18" i="17"/>
  <c r="AR18" i="17" s="1"/>
  <c r="AF14" i="17"/>
  <c r="AQ24" i="17"/>
  <c r="AR24" i="17" s="1"/>
  <c r="AG5" i="17"/>
  <c r="AQ33" i="17"/>
  <c r="AR33" i="17" s="1"/>
  <c r="AF20" i="17"/>
  <c r="AC39" i="17"/>
  <c r="Q39" i="17" s="1"/>
  <c r="AC41" i="17"/>
  <c r="Q41" i="17" s="1"/>
  <c r="AC40" i="17"/>
  <c r="Q40" i="17" s="1"/>
  <c r="Q37" i="17"/>
  <c r="AC42" i="17"/>
  <c r="Q42" i="17" s="1"/>
  <c r="AC38" i="17"/>
  <c r="Q38" i="17" s="1"/>
  <c r="AR31" i="17"/>
  <c r="AU14" i="17"/>
  <c r="AU20" i="17"/>
  <c r="AH7" i="17"/>
  <c r="AQ7" i="17" s="1"/>
  <c r="AU17" i="17"/>
  <c r="AU23" i="17"/>
  <c r="AU32" i="17"/>
  <c r="AU28" i="17"/>
  <c r="AH10" i="17"/>
  <c r="AQ10" i="17" s="1"/>
  <c r="AU34" i="17"/>
  <c r="AU25" i="17"/>
  <c r="AU30" i="17"/>
  <c r="AU19" i="17"/>
  <c r="AH12" i="17"/>
  <c r="AQ12" i="17" s="1"/>
  <c r="AH8" i="17"/>
  <c r="AQ8" i="17" s="1"/>
  <c r="AR8" i="17" s="1"/>
  <c r="AU26" i="17"/>
  <c r="AU15" i="17"/>
  <c r="AU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BA9" i="17"/>
  <c r="BB9" i="17" s="1"/>
  <c r="J10" i="17"/>
  <c r="K9" i="17"/>
  <c r="AA16" i="15"/>
  <c r="AA17" i="15"/>
  <c r="AA18" i="15"/>
  <c r="AA19" i="15"/>
  <c r="N19" i="15" s="1"/>
  <c r="AA20" i="15"/>
  <c r="AA15" i="15"/>
  <c r="AR15" i="15"/>
  <c r="T31" i="15"/>
  <c r="J31" i="15"/>
  <c r="G31" i="15"/>
  <c r="F31" i="15"/>
  <c r="E31" i="15"/>
  <c r="AW25" i="15"/>
  <c r="AX23" i="15"/>
  <c r="J20" i="15"/>
  <c r="J19" i="15"/>
  <c r="K19" i="15" s="1"/>
  <c r="J18" i="15"/>
  <c r="J17" i="15"/>
  <c r="AT16" i="15"/>
  <c r="AB16" i="15"/>
  <c r="E28" i="15" s="1"/>
  <c r="J16" i="15"/>
  <c r="O16" i="15" s="1"/>
  <c r="J15" i="15"/>
  <c r="Q15" i="15" s="1"/>
  <c r="BD12" i="15"/>
  <c r="BB12" i="15"/>
  <c r="AI12" i="15" s="1"/>
  <c r="AL12" i="15" s="1"/>
  <c r="AY12" i="15"/>
  <c r="AM12" i="15"/>
  <c r="BD11" i="15"/>
  <c r="BB11" i="15"/>
  <c r="AI11" i="15" s="1"/>
  <c r="AY11" i="15"/>
  <c r="AM11" i="15"/>
  <c r="BD10" i="15"/>
  <c r="BB10" i="15"/>
  <c r="AI10" i="15" s="1"/>
  <c r="AK10" i="15" s="1"/>
  <c r="AY10" i="15"/>
  <c r="AM10" i="15"/>
  <c r="BD9" i="15"/>
  <c r="BB9" i="15"/>
  <c r="AI9" i="15" s="1"/>
  <c r="AK9" i="15" s="1"/>
  <c r="AY9" i="15"/>
  <c r="AM9" i="15"/>
  <c r="BD8" i="15"/>
  <c r="BB8" i="15"/>
  <c r="AY8" i="15"/>
  <c r="AM8" i="15"/>
  <c r="AI8" i="15"/>
  <c r="AK8" i="15" s="1"/>
  <c r="AG8" i="15" s="1"/>
  <c r="BD7" i="15"/>
  <c r="BB7" i="15"/>
  <c r="AI7" i="15" s="1"/>
  <c r="AK7" i="15" s="1"/>
  <c r="AG7" i="15" s="1"/>
  <c r="AY7" i="15"/>
  <c r="AM7" i="15"/>
  <c r="BD6" i="15"/>
  <c r="AJ6" i="15" s="1"/>
  <c r="AM6" i="15" s="1"/>
  <c r="BB6" i="15"/>
  <c r="AI6" i="15" s="1"/>
  <c r="AK6" i="15" s="1"/>
  <c r="AG6" i="15" s="1"/>
  <c r="BD5" i="15"/>
  <c r="AJ5" i="15" s="1"/>
  <c r="AM5" i="15" s="1"/>
  <c r="BB5" i="15"/>
  <c r="J5" i="15"/>
  <c r="K5" i="15" s="1"/>
  <c r="G5" i="15"/>
  <c r="E2" i="15"/>
  <c r="E5" i="15" s="1"/>
  <c r="O20" i="15" l="1"/>
  <c r="N17" i="15"/>
  <c r="W16" i="15"/>
  <c r="X16" i="15" s="1"/>
  <c r="AQ5" i="17"/>
  <c r="W20" i="15"/>
  <c r="X20" i="15" s="1"/>
  <c r="AE9" i="15"/>
  <c r="AG9" i="15"/>
  <c r="AT6" i="15"/>
  <c r="AT9" i="15"/>
  <c r="AT7" i="15"/>
  <c r="AT8" i="15"/>
  <c r="AT10" i="15"/>
  <c r="AT11" i="15"/>
  <c r="AT12" i="15"/>
  <c r="AT5" i="15"/>
  <c r="N15" i="15"/>
  <c r="AE10" i="15"/>
  <c r="AG10" i="15"/>
  <c r="O18" i="15"/>
  <c r="N18" i="15"/>
  <c r="W15" i="15"/>
  <c r="X15" i="15" s="1"/>
  <c r="O19" i="15"/>
  <c r="AN12" i="15"/>
  <c r="N16" i="15"/>
  <c r="AH32" i="17"/>
  <c r="AH17" i="17"/>
  <c r="AH28" i="17"/>
  <c r="AH23" i="17"/>
  <c r="AQ23" i="17" s="1"/>
  <c r="AH21" i="17"/>
  <c r="AH15" i="17"/>
  <c r="AH26" i="17"/>
  <c r="AH30" i="17"/>
  <c r="AH34" i="17"/>
  <c r="AH25" i="17"/>
  <c r="AH19" i="17"/>
  <c r="AQ19" i="17" s="1"/>
  <c r="AR7" i="17"/>
  <c r="AH14" i="17"/>
  <c r="AQ14" i="17" s="1"/>
  <c r="AH20" i="17"/>
  <c r="AR10" i="17"/>
  <c r="AR12" i="17"/>
  <c r="K31" i="17"/>
  <c r="K27" i="17"/>
  <c r="K22" i="17"/>
  <c r="K16" i="17"/>
  <c r="J23" i="17"/>
  <c r="J28" i="17"/>
  <c r="J17" i="17"/>
  <c r="J32" i="17"/>
  <c r="J11" i="17"/>
  <c r="K10" i="17"/>
  <c r="BA10" i="17"/>
  <c r="BB10" i="17" s="1"/>
  <c r="E8" i="15"/>
  <c r="AL7" i="15"/>
  <c r="AN7" i="15" s="1"/>
  <c r="E6" i="15"/>
  <c r="E9" i="15"/>
  <c r="AL9" i="15"/>
  <c r="AN9" i="15" s="1"/>
  <c r="E11" i="15"/>
  <c r="N20" i="15"/>
  <c r="E7" i="15"/>
  <c r="W18" i="15"/>
  <c r="X18" i="15" s="1"/>
  <c r="R18" i="15" s="1"/>
  <c r="AT15" i="15"/>
  <c r="AE7" i="15"/>
  <c r="AE8" i="15"/>
  <c r="AE6" i="15"/>
  <c r="AY5" i="15"/>
  <c r="J6" i="15"/>
  <c r="AZ5" i="15"/>
  <c r="AL11" i="15"/>
  <c r="AN11" i="15" s="1"/>
  <c r="AK11" i="15"/>
  <c r="AG11" i="15" s="1"/>
  <c r="M16" i="15"/>
  <c r="R38" i="17" s="1"/>
  <c r="W17" i="15"/>
  <c r="X17" i="15" s="1"/>
  <c r="M18" i="15"/>
  <c r="R40" i="17" s="1"/>
  <c r="K15" i="15"/>
  <c r="K20" i="15"/>
  <c r="AL6" i="15"/>
  <c r="AN6" i="15" s="1"/>
  <c r="AL8" i="15"/>
  <c r="AN8" i="15" s="1"/>
  <c r="E10" i="15"/>
  <c r="AL10" i="15"/>
  <c r="AN10" i="15" s="1"/>
  <c r="E12" i="15"/>
  <c r="O15" i="15"/>
  <c r="L20" i="15"/>
  <c r="K16" i="15"/>
  <c r="O17" i="15"/>
  <c r="K18" i="15"/>
  <c r="W19" i="15"/>
  <c r="M20" i="15"/>
  <c r="K17" i="15"/>
  <c r="AK12" i="15"/>
  <c r="AG12" i="15" s="1"/>
  <c r="L16" i="15"/>
  <c r="L15" i="15" l="1"/>
  <c r="M15" i="15"/>
  <c r="AQ26" i="17"/>
  <c r="AR26" i="17" s="1"/>
  <c r="AQ17" i="17"/>
  <c r="AR17" i="17" s="1"/>
  <c r="AQ25" i="17"/>
  <c r="AR25" i="17" s="1"/>
  <c r="AQ32" i="17"/>
  <c r="AR32" i="17" s="1"/>
  <c r="AQ15" i="17"/>
  <c r="AR15" i="17" s="1"/>
  <c r="AQ21" i="17"/>
  <c r="AR21" i="17" s="1"/>
  <c r="AQ20" i="17"/>
  <c r="AR20" i="17" s="1"/>
  <c r="AR23" i="17"/>
  <c r="AQ34" i="17"/>
  <c r="AR34" i="17" s="1"/>
  <c r="AR19" i="17"/>
  <c r="AQ28" i="17"/>
  <c r="AR28" i="17" s="1"/>
  <c r="AQ30" i="17"/>
  <c r="AR30" i="17" s="1"/>
  <c r="AR14" i="17"/>
  <c r="K17" i="17"/>
  <c r="K23" i="17"/>
  <c r="K32" i="17"/>
  <c r="K28" i="17"/>
  <c r="J33" i="17"/>
  <c r="J29" i="17"/>
  <c r="J18" i="17"/>
  <c r="J24" i="17"/>
  <c r="AR5" i="17"/>
  <c r="BA11" i="17"/>
  <c r="BB11" i="17" s="1"/>
  <c r="J12" i="17"/>
  <c r="K11" i="17"/>
  <c r="L18" i="15"/>
  <c r="AD18" i="15" s="1"/>
  <c r="AE18" i="15" s="1"/>
  <c r="AD20" i="15"/>
  <c r="AE20" i="15" s="1"/>
  <c r="BA5" i="15"/>
  <c r="AI5" i="15" s="1"/>
  <c r="AK5" i="15" s="1"/>
  <c r="AG5" i="15" s="1"/>
  <c r="AE12" i="15"/>
  <c r="AE11" i="15"/>
  <c r="AD16" i="15"/>
  <c r="AE16" i="15" s="1"/>
  <c r="AU5" i="15"/>
  <c r="AU9" i="15"/>
  <c r="AH9" i="15" s="1"/>
  <c r="AU12" i="15"/>
  <c r="AH12" i="15" s="1"/>
  <c r="AU7" i="15"/>
  <c r="AH7" i="15" s="1"/>
  <c r="AU11" i="15"/>
  <c r="AH11" i="15" s="1"/>
  <c r="M17" i="15"/>
  <c r="AY6" i="15"/>
  <c r="J7" i="15"/>
  <c r="K6" i="15"/>
  <c r="AZ6" i="15"/>
  <c r="X19" i="15"/>
  <c r="R19" i="15" s="1"/>
  <c r="L19" i="15"/>
  <c r="F28" i="15"/>
  <c r="L17" i="15"/>
  <c r="AD15" i="15" l="1"/>
  <c r="AE15" i="15" s="1"/>
  <c r="BA6" i="15"/>
  <c r="AF9" i="15"/>
  <c r="AQ9" i="15" s="1"/>
  <c r="AR9" i="15" s="1"/>
  <c r="AL5" i="15"/>
  <c r="AN5" i="15" s="1"/>
  <c r="J19" i="17"/>
  <c r="J34" i="17"/>
  <c r="J25" i="17"/>
  <c r="J30" i="17"/>
  <c r="K33" i="17"/>
  <c r="K29" i="17"/>
  <c r="K18" i="17"/>
  <c r="K24" i="17"/>
  <c r="K12" i="17"/>
  <c r="BA12" i="17"/>
  <c r="BB12" i="17" s="1"/>
  <c r="AF11" i="15"/>
  <c r="AQ11" i="15" s="1"/>
  <c r="AR11" i="15" s="1"/>
  <c r="AE5" i="15"/>
  <c r="AF8" i="15"/>
  <c r="AU8" i="15"/>
  <c r="AH8" i="15" s="1"/>
  <c r="AU6" i="15"/>
  <c r="AF6" i="15"/>
  <c r="AF12" i="15"/>
  <c r="AQ12" i="15" s="1"/>
  <c r="AR12" i="15" s="1"/>
  <c r="AF7" i="15"/>
  <c r="AQ7" i="15" s="1"/>
  <c r="AR7" i="15" s="1"/>
  <c r="AU10" i="15"/>
  <c r="AH10" i="15" s="1"/>
  <c r="AF10" i="15"/>
  <c r="G28" i="15"/>
  <c r="J8" i="15"/>
  <c r="K7" i="15"/>
  <c r="AZ7" i="15"/>
  <c r="BA7" i="15" s="1"/>
  <c r="AH5" i="15"/>
  <c r="AF5" i="15"/>
  <c r="AD17" i="15"/>
  <c r="AE17" i="15" s="1"/>
  <c r="M19" i="15"/>
  <c r="AC19" i="15"/>
  <c r="Q19" i="15" s="1"/>
  <c r="AD19" i="15" l="1"/>
  <c r="AE19" i="15" s="1"/>
  <c r="R41" i="17"/>
  <c r="AQ10" i="15"/>
  <c r="AR10" i="15" s="1"/>
  <c r="K25" i="17"/>
  <c r="K34" i="17"/>
  <c r="K30" i="17"/>
  <c r="K19" i="17"/>
  <c r="P33" i="15" a="1"/>
  <c r="AQ5" i="15"/>
  <c r="AR5" i="15" s="1"/>
  <c r="AH6" i="15"/>
  <c r="AQ6" i="15" s="1"/>
  <c r="AR6" i="15" s="1"/>
  <c r="AC20" i="15"/>
  <c r="Q20" i="15" s="1"/>
  <c r="AC16" i="15"/>
  <c r="Q16" i="15" s="1"/>
  <c r="AC18" i="15"/>
  <c r="Q18" i="15" s="1"/>
  <c r="AC17" i="15"/>
  <c r="Q17" i="15" s="1"/>
  <c r="AQ8" i="15"/>
  <c r="AR8" i="15" s="1"/>
  <c r="K8" i="15"/>
  <c r="J9" i="15"/>
  <c r="AZ8" i="15"/>
  <c r="BA8" i="15" s="1"/>
  <c r="P33" i="15" l="1"/>
  <c r="K27" i="15" s="1"/>
  <c r="G27" i="15" s="1"/>
  <c r="Y23" i="15"/>
  <c r="J10" i="15"/>
  <c r="K9" i="15"/>
  <c r="AZ9" i="15"/>
  <c r="BA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Z10" i="15"/>
  <c r="BA10" i="15" s="1"/>
  <c r="J11" i="15"/>
  <c r="P34" i="15" l="1"/>
  <c r="P38" i="15" s="1"/>
  <c r="P39" i="15"/>
  <c r="AZ11" i="15"/>
  <c r="BA11" i="15" s="1"/>
  <c r="J12" i="15"/>
  <c r="K11" i="15"/>
  <c r="P40" i="15" l="1"/>
  <c r="P44" i="15"/>
  <c r="P35" i="15"/>
  <c r="P43" i="15" s="1"/>
  <c r="K12" i="15"/>
  <c r="AZ12" i="15"/>
  <c r="BA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l="1"/>
  <c r="V21" i="1" s="1"/>
  <c r="E26" i="1"/>
  <c r="M27" i="1"/>
  <c r="L27" i="1"/>
  <c r="F27" i="1"/>
  <c r="F26" i="1" s="1"/>
  <c r="G27" i="1"/>
  <c r="E27" i="1"/>
  <c r="P34" i="1" s="1"/>
  <c r="N28" i="1"/>
  <c r="W21" i="1" l="1"/>
  <c r="Y21" i="1" s="1"/>
  <c r="V23" i="1"/>
  <c r="V22" i="1"/>
  <c r="V24" i="1" s="1"/>
  <c r="V25" i="1" s="1"/>
  <c r="P44" i="1"/>
  <c r="P38" i="1"/>
  <c r="P42" i="1"/>
  <c r="P32" i="1"/>
  <c r="E32" i="1"/>
  <c r="F32" i="1"/>
  <c r="P40" i="1" l="1"/>
  <c r="P39" i="1"/>
  <c r="P35" i="1"/>
  <c r="P43" i="1" s="1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Q6" i="17"/>
  <c r="AR6" i="17" s="1"/>
  <c r="AQ13" i="17" l="1"/>
  <c r="AR13" i="17" s="1"/>
  <c r="P55" i="17" a="1"/>
  <c r="P55" i="17" s="1"/>
  <c r="K49" i="17" s="1"/>
  <c r="Y45" i="17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S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<sst xmlns="http://schemas.openxmlformats.org/spreadsheetml/2006/main" count="1210" uniqueCount="185">
  <si>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</si>
  <si>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</si>
  <si>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</si>
  <si>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</si>
  <si>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</si>
  <si>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</si>
  <si>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</si>
  <si>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</si>
  <si>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</si>
  <si>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</si>
  <si>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</si>
  <si>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</si>
  <si>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</si>
  <si>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</si>
  <si>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</si>
  <si>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</si>
  <si>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</si>
  <si>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</si>
  <si>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</si>
  <si>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</si>
  <si>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</si>
  <si>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</si>
  <si>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</si>
  <si>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</si>
  <si>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</si>
  <si>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</si>
  <si>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</si>
  <si>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</si>
  <si>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</si>
  <si>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</si>
  <si>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</si>
  <si>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</si>
  <si>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</si>
  <si>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</si>
  <si>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</si>
  <si>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</si>
  <si>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</si>
  <si>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</si>
  <si>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</si>
  <si>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</si>
  <si>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</si>
  <si>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</si>
  <si>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</si>
  <si>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</si>
  <si>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</si>
  <si>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</si>
  <si>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</si>
  <si>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</si>
  <si>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</si>
  <si>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</si>
  <si>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</si>
  <si>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</si>
  <si>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</si>
  <si>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</si>
  <si>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</si>
  <si>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</si>
  <si>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</si>
  <si>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</si>
  <si>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</si>
  <si>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</si>
  <si>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</si>
  <si>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</si>
  <si>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</si>
  <si>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</si>
  <si>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</si>
  <si>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</si>
  <si>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</si>
  <si>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</si>
  <si>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</si>
  <si>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</si>
  <si>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</si>
  <si>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</si>
  <si>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</si>
  <si>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</si>
  <si>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</si>
  <si>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</si>
  <si>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</si>
  <si>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</si>
  <si>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</si>
  <si>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</si>
  <si>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</si>
  <si>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</si>
  <si>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</si>
  <si>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</si>
  <si>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</si>
  <si>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</si>
  <si>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</si>
  <si>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</si>
  <si>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</si>
  <si>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</si>
  <si>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</si>
  <si>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</si>
  <si>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</si>
  <si>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</si>
  <si>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</si>
  <si>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</si>
  <si>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</si>
  <si>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</si>
  <si>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</si>
  <si>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</si>
  <si>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</si>
  <si>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</si>
  <si>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</si>
  <si>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</si>
  <si>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</si>
  <si>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</si>
  <si>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</si>
  <si>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</si>
  <si>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</si>
  <si>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</si>
  <si>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</si>
  <si>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</si>
  <si>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</si>
  <si>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</si>
  <si>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</si>
  <si>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</si>
  <si>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</si>
  <si>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</si>
  <si>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</si>
  <si>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</si>
  <si>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</si>
  <si>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</si>
  <si>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</si>
  <si>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</si>
  <si>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</si>
  <si>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</si>
  <si>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</si>
  <si>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</si>
  <si>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</si>
  <si>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</si>
  <si>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</si>
  <si>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</si>
  <si>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</si>
  <si>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</si>
  <si>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</si>
  <si>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</si>
  <si>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</si>
  <si>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</si>
  <si>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</si>
  <si>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</si>
  <si>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</si>
  <si>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</si>
  <si>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</si>
  <si>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</si>
  <si>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</si>
  <si>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</si>
  <si>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</si>
  <si>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</si>
  <si>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</si>
  <si>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</si>
  <si>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</si>
  <si>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</si>
  <si>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</si>
  <si>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</si>
  <si>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</si>
  <si>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</si>
  <si>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</si>
  <si>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</si>
  <si>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</si>
  <si>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</si>
  <si>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</si>
  <si>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</si>
  <si>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</si>
  <si>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</si>
  <si>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</si>
  <si>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</si>
  <si>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</si>
  <si>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</si>
  <si>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</si>
  <si>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</si>
  <si>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</si>
  <si>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</si>
  <si>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</si>
  <si>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</si>
  <si>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</si>
  <si>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</si>
  <si>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</si>
  <si>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</si>
  <si>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</si>
  <si>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</si>
  <si>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</si>
  <si>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</si>
  <si>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</si>
  <si>
    <t>integral_conc_sucrose_init</t>
  </si>
  <si>
    <t>integral_conc_sucrose_em_prec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</si>
</sst>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5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11" fontId="24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9" xfId="0" applyFont="1" applyBorder="1"/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44"/>
  <sheetViews>
    <sheetView tabSelected="1" topLeftCell="U1" workbookViewId="0">
      <selection activeCell="AH20" sqref="AH20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6" max="46" width="12" bestFit="1" customWidth="1"/>
    <col min="47" max="48" width="12" customWidth="1"/>
  </cols>
  <sheetData>
    <row r="1" spans="1:56" x14ac:dyDescent="0.25">
      <c r="A1" s="61" t="s">
        <v>113</v>
      </c>
      <c r="B1" s="62" t="s">
        <v>114</v>
      </c>
      <c r="C1" s="63"/>
      <c r="E1" s="67" t="s">
        <v>142</v>
      </c>
      <c r="W1" s="106" t="s">
        <v>176</v>
      </c>
      <c r="X1" s="107" t="s">
        <v>177</v>
      </c>
    </row>
    <row r="2" spans="1:56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>
        <v>9.9999999999999995E-7</v>
      </c>
      <c r="X2" s="108">
        <v>9.9999999999999995E-7</v>
      </c>
    </row>
    <row r="4" spans="1:56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7" t="s">
        <v>183</v>
      </c>
      <c r="AP4" s="110" t="s">
        <v>184</v>
      </c>
      <c r="AQ4" s="14" t="s">
        <v>77</v>
      </c>
      <c r="AR4" s="14" t="s">
        <v>129</v>
      </c>
      <c r="AS4" s="14" t="s">
        <v>108</v>
      </c>
      <c r="AT4" s="14" t="s">
        <v>22</v>
      </c>
      <c r="AU4" s="14" t="s">
        <v>24</v>
      </c>
      <c r="AV4" s="14" t="s">
        <v>165</v>
      </c>
      <c r="AW4" s="99" t="s">
        <v>166</v>
      </c>
      <c r="AX4" s="8" t="s">
        <v>63</v>
      </c>
      <c r="AY4" s="8" t="s">
        <v>53</v>
      </c>
      <c r="AZ4" s="8" t="s">
        <v>54</v>
      </c>
      <c r="BA4" s="8" t="s">
        <v>55</v>
      </c>
      <c r="BB4" s="8" t="s">
        <v>56</v>
      </c>
      <c r="BC4" s="8"/>
      <c r="BD4" s="8" t="s">
        <v>61</v>
      </c>
    </row>
    <row r="5" spans="1:56" x14ac:dyDescent="0.25">
      <c r="A5" s="111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22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AK5*$AR$15</f>
        <v>9.0399389163552328</v>
      </c>
      <c r="AF5" s="1">
        <f t="shared" ref="AF5:AF12" si="1">AK5*$AT5</f>
        <v>1.0111902874411887</v>
      </c>
      <c r="AG5" s="28">
        <f t="shared" ref="AG5:AG12" si="2">AK5*$AW5</f>
        <v>9.0399389163552328</v>
      </c>
      <c r="AH5" s="33">
        <f t="shared" ref="AH5:AH12" si="3">AK5*$AU5</f>
        <v>10.111902874411886</v>
      </c>
      <c r="AI5" s="1">
        <f>BA5</f>
        <v>2.0477283347659267E-3</v>
      </c>
      <c r="AJ5" s="1">
        <f>BD5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1">
        <v>2100</v>
      </c>
      <c r="AP5" s="1">
        <v>2100</v>
      </c>
      <c r="AQ5" s="70">
        <f>AK5+AE5*$E$31+AF5*$F$31+AH5*$J$31</f>
        <v>3.3497283868557494E-3</v>
      </c>
      <c r="AR5" s="71">
        <f>(1-AK5/AQ5)*100</f>
        <v>38.829284515098252</v>
      </c>
      <c r="AS5" s="15">
        <v>4.5999999999999996</v>
      </c>
      <c r="AT5" s="15">
        <f t="shared" ref="AT5:AT12" si="4">(($AS5/100)*(1+($AR$15+$AW5)*$E$31)-$Y$16)/(((1+1/$X$23)*(14*10^(-6)))-(($J$31/$X$23+$F$31)*$AS5/100))</f>
        <v>493.49156696102204</v>
      </c>
      <c r="AU5" s="15">
        <f t="shared" ref="AU5:AU12" si="5">$AT5/$X$23</f>
        <v>4934.91566961022</v>
      </c>
      <c r="AV5" s="15">
        <v>10</v>
      </c>
      <c r="AW5" s="84">
        <f t="shared" ref="AW5:AW12" si="6">$AV5/100/(1-$X$33)*$X$32*10^6/$X$30</f>
        <v>4411.7647058823532</v>
      </c>
      <c r="AX5" s="9">
        <v>851425</v>
      </c>
      <c r="AY5" s="10">
        <f>$T$27+$T$28*$T$30*(J5)^$T$29</f>
        <v>9.1058115591388438E-4</v>
      </c>
      <c r="AZ5" s="9">
        <f t="shared" ref="AZ5:AZ12" si="7">J5*Z5</f>
        <v>2.6054999999999997E-3</v>
      </c>
      <c r="BA5" s="10">
        <f>((AZ5-AY5)/($T$31-AX5))*(F5-$T$31)+AZ5</f>
        <v>2.0477283347659267E-3</v>
      </c>
      <c r="BB5" s="10">
        <f t="shared" ref="BB5:BB12" si="8">$T$27+$T$28*$T$30*(L5)^$T$29</f>
        <v>4.0277279389003447E-3</v>
      </c>
      <c r="BC5" s="9"/>
      <c r="BD5" s="9">
        <f t="shared" ref="BD5:BD12" si="9">$AY$20*$AX$22*$AX$24*(M5)^$AX$21</f>
        <v>1.3244862745926676E-6</v>
      </c>
    </row>
    <row r="6" spans="1:56" x14ac:dyDescent="0.25">
      <c r="A6" s="111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8">
        <f t="shared" si="2"/>
        <v>1.7508581272094206</v>
      </c>
      <c r="AH6" s="33">
        <f t="shared" si="3"/>
        <v>6.5956141271581705</v>
      </c>
      <c r="AI6" s="1">
        <f>BB6</f>
        <v>7.9355355356128927E-4</v>
      </c>
      <c r="AJ6" s="1">
        <f>BD6</f>
        <v>1.6879744031468265E-7</v>
      </c>
      <c r="AK6">
        <f t="shared" ref="AK6:AK12" si="13">AI6+AJ6</f>
        <v>7.9372235100160394E-4</v>
      </c>
      <c r="AL6">
        <f t="shared" ref="AL6:AM12" si="14">AI6*0.005</f>
        <v>3.9677677678064465E-6</v>
      </c>
      <c r="AM6">
        <f t="shared" si="14"/>
        <v>8.4398720157341326E-10</v>
      </c>
      <c r="AN6">
        <f t="shared" ref="AN6:AN12" si="15">AL6+AM6</f>
        <v>3.9686117550080197E-6</v>
      </c>
      <c r="AO6" s="1">
        <v>2100</v>
      </c>
      <c r="AP6" s="1">
        <v>2100</v>
      </c>
      <c r="AQ6" s="70">
        <f t="shared" ref="AQ6:AQ12" si="16">AK6+AE6*$E$31+AF6*$F$31+AH6*$J$31</f>
        <v>1.5736842407450208E-3</v>
      </c>
      <c r="AR6" s="71">
        <f>(1-AK6/AQ6)*100</f>
        <v>49.562794717583479</v>
      </c>
      <c r="AS6" s="15">
        <v>6.5</v>
      </c>
      <c r="AT6" s="15">
        <f t="shared" si="4"/>
        <v>830.97245766546928</v>
      </c>
      <c r="AU6" s="15">
        <f t="shared" si="5"/>
        <v>8309.724576654693</v>
      </c>
      <c r="AV6" s="15">
        <v>5</v>
      </c>
      <c r="AW6" s="84">
        <f t="shared" si="6"/>
        <v>2205.8823529411766</v>
      </c>
      <c r="AX6" s="9">
        <v>818263</v>
      </c>
      <c r="AY6" s="10">
        <f>$T$27+$T$28*$T$30*(J6)^$T$29</f>
        <v>9.1017858127080242E-4</v>
      </c>
      <c r="AZ6" s="9" t="e">
        <f t="shared" si="7"/>
        <v>#VALUE!</v>
      </c>
      <c r="BA6" s="10" t="e">
        <f>((AZ6-AY6)/($T$31-AX6))*(F6-$T$31)+AZ6</f>
        <v>#VALUE!</v>
      </c>
      <c r="BB6" s="10">
        <f t="shared" si="8"/>
        <v>7.9355355356128927E-4</v>
      </c>
      <c r="BC6" s="9"/>
      <c r="BD6" s="9">
        <f t="shared" si="9"/>
        <v>1.6879744031468265E-7</v>
      </c>
    </row>
    <row r="7" spans="1:56" x14ac:dyDescent="0.25">
      <c r="A7" s="111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8">
        <f t="shared" si="2"/>
        <v>0</v>
      </c>
      <c r="AH7" s="33">
        <f t="shared" si="3"/>
        <v>0.54184269937105289</v>
      </c>
      <c r="AI7" s="1">
        <f>BB7</f>
        <v>2.9792072957780891E-5</v>
      </c>
      <c r="AJ7" s="1">
        <v>0</v>
      </c>
      <c r="AK7">
        <f t="shared" si="13"/>
        <v>2.9792072957780891E-5</v>
      </c>
      <c r="AL7">
        <f t="shared" si="14"/>
        <v>1.4896036478890447E-7</v>
      </c>
      <c r="AM7">
        <f t="shared" si="14"/>
        <v>0</v>
      </c>
      <c r="AN7">
        <f t="shared" si="15"/>
        <v>1.4896036478890447E-7</v>
      </c>
      <c r="AO7" s="1">
        <v>2100</v>
      </c>
      <c r="AP7" t="s">
        <v>32</v>
      </c>
      <c r="AQ7" s="70">
        <f t="shared" si="16"/>
        <v>8.9403557211611783E-5</v>
      </c>
      <c r="AR7" s="71">
        <f t="shared" ref="AR7:AR12" si="17">(1-AK7/AQ7)*100</f>
        <v>66.676859526668281</v>
      </c>
      <c r="AS7" s="15">
        <v>9.5</v>
      </c>
      <c r="AT7" s="15">
        <f t="shared" si="4"/>
        <v>1818.7478935719314</v>
      </c>
      <c r="AU7" s="15">
        <f t="shared" si="5"/>
        <v>18187.478935719311</v>
      </c>
      <c r="AV7" s="15">
        <v>0</v>
      </c>
      <c r="AW7" s="84">
        <f t="shared" si="6"/>
        <v>0</v>
      </c>
      <c r="AX7" s="9"/>
      <c r="AY7" s="10" t="e">
        <f t="shared" ref="AY7:AY12" si="18">$T$27+$T$28*$T$30*(T7*$T$32)^$T$29</f>
        <v>#VALUE!</v>
      </c>
      <c r="AZ7" s="9" t="e">
        <f t="shared" si="7"/>
        <v>#VALUE!</v>
      </c>
      <c r="BA7" s="10" t="e">
        <f t="shared" ref="BA7:BA12" si="19">AY7+((AZ7-AY7)/$T$31)*F7</f>
        <v>#VALUE!</v>
      </c>
      <c r="BB7" s="10">
        <f t="shared" si="8"/>
        <v>2.9792072957780891E-5</v>
      </c>
      <c r="BC7" s="9"/>
      <c r="BD7" s="9">
        <f t="shared" si="9"/>
        <v>0</v>
      </c>
    </row>
    <row r="8" spans="1:56" x14ac:dyDescent="0.25">
      <c r="A8" s="111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8">
        <f t="shared" si="2"/>
        <v>0</v>
      </c>
      <c r="AH8" s="33">
        <f t="shared" si="3"/>
        <v>0.14688630816538931</v>
      </c>
      <c r="AI8" s="1">
        <f t="shared" ref="AI8:AI12" si="21">BB8</f>
        <v>8.076232483046996E-6</v>
      </c>
      <c r="AJ8" s="1">
        <v>0</v>
      </c>
      <c r="AK8">
        <f t="shared" si="13"/>
        <v>8.076232483046996E-6</v>
      </c>
      <c r="AL8">
        <f t="shared" si="14"/>
        <v>4.0381162415234981E-8</v>
      </c>
      <c r="AM8">
        <f t="shared" si="14"/>
        <v>0</v>
      </c>
      <c r="AN8">
        <f t="shared" si="15"/>
        <v>4.0381162415234981E-8</v>
      </c>
      <c r="AO8" s="1">
        <v>2100</v>
      </c>
      <c r="AP8" t="s">
        <v>32</v>
      </c>
      <c r="AQ8" s="70">
        <f t="shared" si="16"/>
        <v>2.4236108506970847E-5</v>
      </c>
      <c r="AR8" s="71">
        <f t="shared" si="17"/>
        <v>66.676859526668281</v>
      </c>
      <c r="AS8" s="15">
        <v>9.5</v>
      </c>
      <c r="AT8" s="15">
        <f t="shared" si="4"/>
        <v>1818.7478935719314</v>
      </c>
      <c r="AU8" s="15">
        <f t="shared" si="5"/>
        <v>18187.478935719311</v>
      </c>
      <c r="AV8" s="15">
        <v>0</v>
      </c>
      <c r="AW8" s="84">
        <f t="shared" si="6"/>
        <v>0</v>
      </c>
      <c r="AX8" s="9"/>
      <c r="AY8" s="10" t="e">
        <f t="shared" si="18"/>
        <v>#VALUE!</v>
      </c>
      <c r="AZ8" s="9" t="e">
        <f t="shared" si="7"/>
        <v>#VALUE!</v>
      </c>
      <c r="BA8" s="10" t="e">
        <f t="shared" si="19"/>
        <v>#VALUE!</v>
      </c>
      <c r="BB8" s="10">
        <f t="shared" si="8"/>
        <v>8.076232483046996E-6</v>
      </c>
      <c r="BC8" s="9"/>
      <c r="BD8" s="9">
        <f t="shared" si="9"/>
        <v>0</v>
      </c>
    </row>
    <row r="9" spans="1:56" x14ac:dyDescent="0.25">
      <c r="A9" s="111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8">
        <f t="shared" si="2"/>
        <v>0</v>
      </c>
      <c r="AH9" s="33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3"/>
        <v>2.7639035136305163E-6</v>
      </c>
      <c r="AL9">
        <f t="shared" si="14"/>
        <v>1.3819517568152583E-8</v>
      </c>
      <c r="AM9">
        <f t="shared" si="14"/>
        <v>0</v>
      </c>
      <c r="AN9">
        <f t="shared" si="15"/>
        <v>1.3819517568152583E-8</v>
      </c>
      <c r="AO9" s="1">
        <v>2100</v>
      </c>
      <c r="AP9" t="s">
        <v>32</v>
      </c>
      <c r="AQ9" s="70">
        <f t="shared" si="16"/>
        <v>8.294246803786242E-6</v>
      </c>
      <c r="AR9" s="71">
        <f t="shared" si="17"/>
        <v>66.676859526668281</v>
      </c>
      <c r="AS9" s="15">
        <v>9.5</v>
      </c>
      <c r="AT9" s="15">
        <f t="shared" si="4"/>
        <v>1818.7478935719314</v>
      </c>
      <c r="AU9" s="15">
        <f t="shared" si="5"/>
        <v>18187.478935719311</v>
      </c>
      <c r="AV9" s="15">
        <v>0</v>
      </c>
      <c r="AW9" s="84">
        <f t="shared" si="6"/>
        <v>0</v>
      </c>
      <c r="AX9" s="9"/>
      <c r="AY9" s="10" t="e">
        <f t="shared" si="18"/>
        <v>#VALUE!</v>
      </c>
      <c r="AZ9" s="9" t="e">
        <f t="shared" si="7"/>
        <v>#VALUE!</v>
      </c>
      <c r="BA9" s="10" t="e">
        <f t="shared" si="19"/>
        <v>#VALUE!</v>
      </c>
      <c r="BB9" s="10">
        <f t="shared" si="8"/>
        <v>2.7639035136305163E-6</v>
      </c>
      <c r="BC9" s="9"/>
      <c r="BD9" s="9">
        <f t="shared" si="9"/>
        <v>0</v>
      </c>
    </row>
    <row r="10" spans="1:56" x14ac:dyDescent="0.25">
      <c r="A10" s="111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8">
        <f t="shared" si="2"/>
        <v>0</v>
      </c>
      <c r="AH10" s="33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3"/>
        <v>1.2005036038088161E-6</v>
      </c>
      <c r="AL10">
        <f t="shared" si="14"/>
        <v>6.0025180190440811E-9</v>
      </c>
      <c r="AM10">
        <f t="shared" si="14"/>
        <v>0</v>
      </c>
      <c r="AN10">
        <f t="shared" si="15"/>
        <v>6.0025180190440811E-9</v>
      </c>
      <c r="AO10" s="1">
        <v>2100</v>
      </c>
      <c r="AP10" t="s">
        <v>32</v>
      </c>
      <c r="AQ10" s="70">
        <f t="shared" si="16"/>
        <v>3.6026124391534188E-6</v>
      </c>
      <c r="AR10" s="71">
        <f t="shared" si="17"/>
        <v>66.676859526668281</v>
      </c>
      <c r="AS10" s="15">
        <v>9.5</v>
      </c>
      <c r="AT10" s="15">
        <f t="shared" si="4"/>
        <v>1818.7478935719314</v>
      </c>
      <c r="AU10" s="15">
        <f t="shared" si="5"/>
        <v>18187.478935719311</v>
      </c>
      <c r="AV10" s="15">
        <v>0</v>
      </c>
      <c r="AW10" s="84">
        <f t="shared" si="6"/>
        <v>0</v>
      </c>
      <c r="AX10" s="9"/>
      <c r="AY10" s="10" t="e">
        <f t="shared" si="18"/>
        <v>#VALUE!</v>
      </c>
      <c r="AZ10" s="9" t="e">
        <f t="shared" si="7"/>
        <v>#VALUE!</v>
      </c>
      <c r="BA10" s="10" t="e">
        <f t="shared" si="19"/>
        <v>#VALUE!</v>
      </c>
      <c r="BB10" s="10">
        <f t="shared" si="8"/>
        <v>1.2005036038088161E-6</v>
      </c>
      <c r="BC10" s="9"/>
      <c r="BD10" s="9">
        <f t="shared" si="9"/>
        <v>0</v>
      </c>
    </row>
    <row r="11" spans="1:56" x14ac:dyDescent="0.25">
      <c r="A11" s="111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8">
        <f t="shared" si="2"/>
        <v>0</v>
      </c>
      <c r="AH11" s="33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3"/>
        <v>4.3399411725433714E-7</v>
      </c>
      <c r="AL11">
        <f t="shared" si="14"/>
        <v>2.1699705862716857E-9</v>
      </c>
      <c r="AM11">
        <f t="shared" si="14"/>
        <v>0</v>
      </c>
      <c r="AN11">
        <f t="shared" si="15"/>
        <v>2.1699705862716857E-9</v>
      </c>
      <c r="AO11" s="1">
        <v>2100</v>
      </c>
      <c r="AP11" t="s">
        <v>32</v>
      </c>
      <c r="AQ11" s="70">
        <f t="shared" si="16"/>
        <v>1.3023806012571343E-6</v>
      </c>
      <c r="AR11" s="71">
        <f t="shared" si="17"/>
        <v>66.676859526668281</v>
      </c>
      <c r="AS11" s="15">
        <v>9.5</v>
      </c>
      <c r="AT11" s="15">
        <f t="shared" si="4"/>
        <v>1818.7478935719314</v>
      </c>
      <c r="AU11" s="15">
        <f t="shared" si="5"/>
        <v>18187.478935719311</v>
      </c>
      <c r="AV11" s="15">
        <v>0</v>
      </c>
      <c r="AW11" s="84">
        <f t="shared" si="6"/>
        <v>0</v>
      </c>
      <c r="AX11" s="9"/>
      <c r="AY11" s="10" t="e">
        <f t="shared" si="18"/>
        <v>#VALUE!</v>
      </c>
      <c r="AZ11" s="9" t="e">
        <f t="shared" si="7"/>
        <v>#VALUE!</v>
      </c>
      <c r="BA11" s="10" t="e">
        <f t="shared" si="19"/>
        <v>#VALUE!</v>
      </c>
      <c r="BB11" s="10">
        <f t="shared" si="8"/>
        <v>4.3399411725433714E-7</v>
      </c>
      <c r="BC11" s="9"/>
      <c r="BD11" s="9">
        <f t="shared" si="9"/>
        <v>0</v>
      </c>
    </row>
    <row r="12" spans="1:56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8">
        <f t="shared" si="2"/>
        <v>0</v>
      </c>
      <c r="AH12" s="33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3"/>
        <v>2.9139725491853351E-7</v>
      </c>
      <c r="AL12">
        <f t="shared" si="14"/>
        <v>1.4569862745926675E-9</v>
      </c>
      <c r="AM12">
        <f t="shared" si="14"/>
        <v>0</v>
      </c>
      <c r="AN12">
        <f t="shared" si="15"/>
        <v>1.4569862745926675E-9</v>
      </c>
      <c r="AO12" s="1">
        <v>2100</v>
      </c>
      <c r="AP12" t="s">
        <v>32</v>
      </c>
      <c r="AQ12" s="73">
        <f t="shared" si="16"/>
        <v>8.7445916195004701E-7</v>
      </c>
      <c r="AR12" s="72">
        <f t="shared" si="17"/>
        <v>66.676859526668281</v>
      </c>
      <c r="AS12" s="16">
        <v>9.5</v>
      </c>
      <c r="AT12" s="15">
        <f t="shared" si="4"/>
        <v>1818.7478935719314</v>
      </c>
      <c r="AU12" s="16">
        <f t="shared" si="5"/>
        <v>18187.478935719311</v>
      </c>
      <c r="AV12" s="16">
        <v>0</v>
      </c>
      <c r="AW12" s="84">
        <f t="shared" si="6"/>
        <v>0</v>
      </c>
      <c r="AX12" s="9"/>
      <c r="AY12" s="10" t="e">
        <f t="shared" si="18"/>
        <v>#VALUE!</v>
      </c>
      <c r="AZ12" s="9" t="e">
        <f t="shared" si="7"/>
        <v>#VALUE!</v>
      </c>
      <c r="BA12" s="10" t="e">
        <f t="shared" si="19"/>
        <v>#VALUE!</v>
      </c>
      <c r="BB12" s="10">
        <f t="shared" si="8"/>
        <v>2.9139725491853351E-7</v>
      </c>
      <c r="BC12" s="9"/>
      <c r="BD12" s="9">
        <f t="shared" si="9"/>
        <v>0</v>
      </c>
    </row>
    <row r="13" spans="1:56" x14ac:dyDescent="0.25">
      <c r="A13" s="6"/>
      <c r="X13" s="1"/>
      <c r="Y13" s="1"/>
      <c r="Z13" s="1"/>
      <c r="AA13" s="1"/>
      <c r="AB13" s="1"/>
      <c r="AC13" s="1"/>
      <c r="AD13" s="1"/>
      <c r="AE13" s="1"/>
      <c r="AF13" s="1"/>
    </row>
    <row r="14" spans="1:56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Q14" s="25"/>
      <c r="AR14" s="80" t="s">
        <v>21</v>
      </c>
      <c r="AS14" s="80" t="s">
        <v>139</v>
      </c>
      <c r="AT14" s="81" t="s">
        <v>116</v>
      </c>
      <c r="AU14" s="51"/>
      <c r="AV14" s="51"/>
    </row>
    <row r="15" spans="1:56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4.2972599999999998E-3</v>
      </c>
      <c r="K15">
        <f>J15*0.005</f>
        <v>2.1486299999999998E-5</v>
      </c>
      <c r="L15">
        <f>J15*$W15</f>
        <v>1.7013068517930177</v>
      </c>
      <c r="M15">
        <f t="shared" ref="M15:M20" si="22">J15*$X15</f>
        <v>17.013068517930176</v>
      </c>
      <c r="N15">
        <f t="shared" ref="N15:N20" si="23">AA15*$J15</f>
        <v>0</v>
      </c>
      <c r="O15" s="1">
        <f t="shared" ref="O15:O20" si="24">J15*$AB$16</f>
        <v>18.958500000000001</v>
      </c>
      <c r="P15">
        <v>1.9532999999999999E-4</v>
      </c>
      <c r="Q15" s="1">
        <f>J15*$AC15</f>
        <v>0.24494381999999998</v>
      </c>
      <c r="R15">
        <v>4250</v>
      </c>
      <c r="S15">
        <v>0</v>
      </c>
      <c r="T15">
        <v>0</v>
      </c>
      <c r="U15" s="15">
        <v>22</v>
      </c>
      <c r="V15" s="15">
        <v>4.3</v>
      </c>
      <c r="W15" s="15">
        <f t="shared" ref="W15:W20" si="25">(($V15/100)*(1+$AB$16*$E$31)-$Y$16)/(((1+1/$X$23)*(14*10^(-6)))-(($J$31/$X$23+$F$31)*$V15/100))</f>
        <v>395.90503059926971</v>
      </c>
      <c r="X15" s="15">
        <f>$W15/$X$23</f>
        <v>3959.0503059926968</v>
      </c>
      <c r="Y15" s="80" t="s">
        <v>43</v>
      </c>
      <c r="Z15" s="80" t="s">
        <v>27</v>
      </c>
      <c r="AA15" s="89">
        <f t="shared" ref="AA15:AA20" si="26">IF(F15="HiddenElement",$AA$22/100/(1-$X$33)*$X$32*10^6/$X$30,0)</f>
        <v>0</v>
      </c>
      <c r="AB15" s="88" t="s">
        <v>21</v>
      </c>
      <c r="AC15" s="15">
        <f>ROUND(X15/$AU$6*120,0)</f>
        <v>57</v>
      </c>
      <c r="AD15" s="15">
        <f>J15+L15*$F$31+M15*$J$31+O15*$E$31</f>
        <v>6.5927338413052268E-3</v>
      </c>
      <c r="AE15" s="71">
        <f>(1-J15/AD15)*100</f>
        <v>34.81823923974413</v>
      </c>
      <c r="AF15" s="1"/>
      <c r="AQ15" s="82"/>
      <c r="AR15" s="84">
        <f>$AR$16/100/(1-$X$33)*$X$32*10^6/$X$30</f>
        <v>4411.7647058823532</v>
      </c>
      <c r="AS15" s="84">
        <f>$AS$16/100/(1-$X$33)*$X$32*10^6/$X$30</f>
        <v>4411.7647058823532</v>
      </c>
      <c r="AT15" s="85">
        <f>AS15+AR15</f>
        <v>8823.5294117647063</v>
      </c>
      <c r="AU15" s="97"/>
      <c r="AV15" s="97"/>
    </row>
    <row r="16" spans="1:56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ref="Q16:Q20" si="28">J16*$AC16</f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5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9">
        <f t="shared" si="26"/>
        <v>0</v>
      </c>
      <c r="AB16" s="56">
        <f>$AB$17/100/(1-$X$33)*$X$32*10^6/$X$30</f>
        <v>4411.7647058823532</v>
      </c>
      <c r="AC16" s="15">
        <f t="shared" ref="AC16:AC20" si="29">ROUND(X16/$AU$6*120,0)</f>
        <v>16</v>
      </c>
      <c r="AD16" s="15">
        <f t="shared" ref="AD16:AD20" si="30">J16+L16*$F$31+M16*$J$31+O16*$E$31</f>
        <v>2.1242656885690431E-3</v>
      </c>
      <c r="AE16" s="71">
        <f t="shared" ref="AE16:AE20" si="31">(1-J16/AD16)*100</f>
        <v>19.501594871030591</v>
      </c>
      <c r="AF16" s="1"/>
      <c r="AQ16" s="83" t="s">
        <v>140</v>
      </c>
      <c r="AR16" s="86">
        <v>10</v>
      </c>
      <c r="AS16" s="86">
        <v>10</v>
      </c>
      <c r="AT16" s="87">
        <f>AS16+AR16</f>
        <v>20</v>
      </c>
      <c r="AU16" s="98"/>
      <c r="AV16" s="98"/>
    </row>
    <row r="17" spans="1:51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5.3035399999999998E-3</v>
      </c>
      <c r="K17">
        <f t="shared" si="27"/>
        <v>2.6517699999999999E-5</v>
      </c>
      <c r="L17">
        <f t="shared" ref="L17:L20" si="32">J17*$W17</f>
        <v>2.4889358583911396</v>
      </c>
      <c r="M17">
        <f t="shared" si="22"/>
        <v>24.889358583911395</v>
      </c>
      <c r="N17">
        <f t="shared" si="23"/>
        <v>0</v>
      </c>
      <c r="O17" s="1">
        <f t="shared" si="24"/>
        <v>23.397970588235296</v>
      </c>
      <c r="P17">
        <v>2.4106999999999999E-4</v>
      </c>
      <c r="Q17" s="1">
        <f t="shared" si="28"/>
        <v>0.36064071999999997</v>
      </c>
      <c r="R17">
        <v>4250</v>
      </c>
      <c r="S17">
        <v>0</v>
      </c>
      <c r="T17">
        <v>0</v>
      </c>
      <c r="U17" s="15">
        <v>22</v>
      </c>
      <c r="V17" s="15">
        <v>4.8</v>
      </c>
      <c r="W17" s="15">
        <f t="shared" si="25"/>
        <v>469.29708428542818</v>
      </c>
      <c r="X17" s="15">
        <f t="shared" ref="X17:X20" si="33">$W17/$X$23</f>
        <v>4692.9708428542817</v>
      </c>
      <c r="Z17" s="28"/>
      <c r="AA17" s="89">
        <f t="shared" si="26"/>
        <v>0</v>
      </c>
      <c r="AB17" s="53">
        <v>10</v>
      </c>
      <c r="AC17" s="15">
        <f t="shared" si="29"/>
        <v>68</v>
      </c>
      <c r="AD17" s="15">
        <f t="shared" si="30"/>
        <v>8.5377879623382402E-3</v>
      </c>
      <c r="AE17" s="71">
        <f t="shared" si="31"/>
        <v>37.881568113486843</v>
      </c>
      <c r="AF17" s="1"/>
      <c r="AG17" s="1"/>
    </row>
    <row r="18" spans="1:51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7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8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5"/>
        <v>160.40455673709138</v>
      </c>
      <c r="X18" s="15">
        <f t="shared" si="33"/>
        <v>1604.0455673709137</v>
      </c>
      <c r="AA18" s="89">
        <f t="shared" si="26"/>
        <v>1323.5294117647056</v>
      </c>
      <c r="AB18" s="54" t="s">
        <v>121</v>
      </c>
      <c r="AC18" s="15">
        <f t="shared" si="29"/>
        <v>23</v>
      </c>
      <c r="AD18" s="15">
        <f t="shared" si="30"/>
        <v>2.9444020852838065E-3</v>
      </c>
      <c r="AE18" s="71">
        <f t="shared" si="31"/>
        <v>22.564923744773314</v>
      </c>
      <c r="AF18" s="1"/>
      <c r="AG18" s="1"/>
    </row>
    <row r="19" spans="1:51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7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8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5"/>
        <v>160.40455673709138</v>
      </c>
      <c r="X19" s="15">
        <f t="shared" si="33"/>
        <v>1604.0455673709137</v>
      </c>
      <c r="AA19" s="89">
        <f t="shared" si="26"/>
        <v>0</v>
      </c>
      <c r="AB19" s="1"/>
      <c r="AC19" s="15">
        <f t="shared" si="29"/>
        <v>23</v>
      </c>
      <c r="AD19" s="15">
        <f t="shared" si="30"/>
        <v>5.1656176934803615E-5</v>
      </c>
      <c r="AE19" s="71">
        <f t="shared" si="31"/>
        <v>22.564923744773303</v>
      </c>
      <c r="AW19" s="78" t="s">
        <v>57</v>
      </c>
      <c r="AX19" s="9" t="s">
        <v>47</v>
      </c>
      <c r="AY19" s="10">
        <v>0</v>
      </c>
    </row>
    <row r="20" spans="1:51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4.2242199999999999E-3</v>
      </c>
      <c r="K20">
        <f t="shared" si="27"/>
        <v>2.11211E-5</v>
      </c>
      <c r="L20">
        <f t="shared" si="32"/>
        <v>2.1835532433632427</v>
      </c>
      <c r="M20">
        <f t="shared" si="22"/>
        <v>21.835532433632427</v>
      </c>
      <c r="N20">
        <f t="shared" si="23"/>
        <v>0</v>
      </c>
      <c r="O20" s="1">
        <f t="shared" si="24"/>
        <v>18.636264705882354</v>
      </c>
      <c r="P20">
        <v>1.9201E-4</v>
      </c>
      <c r="Q20" s="1">
        <f t="shared" si="28"/>
        <v>0.3168165</v>
      </c>
      <c r="R20">
        <v>0</v>
      </c>
      <c r="S20">
        <v>0</v>
      </c>
      <c r="T20">
        <v>0</v>
      </c>
      <c r="U20" s="16">
        <v>22</v>
      </c>
      <c r="V20" s="16">
        <v>5.0999999999999996</v>
      </c>
      <c r="W20" s="16">
        <f t="shared" si="25"/>
        <v>516.91276575633913</v>
      </c>
      <c r="X20" s="16">
        <f t="shared" si="33"/>
        <v>5169.127657563391</v>
      </c>
      <c r="AA20" s="90">
        <f t="shared" si="26"/>
        <v>0</v>
      </c>
      <c r="AC20" s="16">
        <f t="shared" si="29"/>
        <v>75</v>
      </c>
      <c r="AD20" s="16">
        <f t="shared" si="30"/>
        <v>7.0076137152537141E-3</v>
      </c>
      <c r="AE20" s="72">
        <f t="shared" si="31"/>
        <v>39.719565437732463</v>
      </c>
      <c r="AW20" s="78"/>
      <c r="AX20" s="9" t="s">
        <v>48</v>
      </c>
      <c r="AY20" s="9">
        <v>0.106</v>
      </c>
    </row>
    <row r="21" spans="1:51" x14ac:dyDescent="0.25">
      <c r="A21" s="4"/>
      <c r="V21" s="92"/>
      <c r="W21" s="17"/>
      <c r="X21" s="59"/>
      <c r="Z21" s="1"/>
      <c r="AN21" s="78"/>
      <c r="AO21" s="109"/>
      <c r="AP21" s="109"/>
      <c r="AQ21" s="78"/>
      <c r="AR21" s="78"/>
      <c r="AS21" s="78"/>
      <c r="AT21" s="78"/>
      <c r="AU21" s="96"/>
      <c r="AV21" s="96"/>
      <c r="AW21" s="9" t="s">
        <v>49</v>
      </c>
      <c r="AX21" s="9">
        <v>1.28</v>
      </c>
    </row>
    <row r="22" spans="1:51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109"/>
      <c r="AP22" s="109"/>
      <c r="AQ22" s="78"/>
      <c r="AR22" s="78"/>
      <c r="AS22" s="78"/>
      <c r="AT22" s="78"/>
      <c r="AU22" s="96"/>
      <c r="AV22" s="96"/>
      <c r="AW22" s="9" t="s">
        <v>50</v>
      </c>
      <c r="AX22" s="9">
        <v>0.8</v>
      </c>
    </row>
    <row r="23" spans="1:51" x14ac:dyDescent="0.25">
      <c r="A23" s="4"/>
      <c r="X23" s="16">
        <v>0.1</v>
      </c>
      <c r="Y23" s="74">
        <f>(SUMPRODUCT(V15:V20,AD15:AD20)+SUMPRODUCT(AS5:AS12,AQ5:AQ12))/SUM(AD15:AD20,AQ5:AQ12)</f>
        <v>4.4146203981518433</v>
      </c>
      <c r="AA23" s="54" t="s">
        <v>121</v>
      </c>
      <c r="AN23" s="78"/>
      <c r="AO23" s="109"/>
      <c r="AP23" s="109"/>
      <c r="AQ23" s="78"/>
      <c r="AR23" s="78"/>
      <c r="AS23" s="78"/>
      <c r="AT23" s="78"/>
      <c r="AU23" s="96"/>
      <c r="AV23" s="96"/>
      <c r="AW23" s="9" t="s">
        <v>60</v>
      </c>
      <c r="AX23" s="9">
        <f>210*3600*24/12</f>
        <v>1512000</v>
      </c>
    </row>
    <row r="24" spans="1:51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/>
      <c r="AV24" s="9"/>
      <c r="AW24" s="9" t="s">
        <v>58</v>
      </c>
      <c r="AX24" s="9">
        <v>5</v>
      </c>
    </row>
    <row r="25" spans="1:51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11"/>
      <c r="AS25" s="11"/>
      <c r="AT25" s="9" t="s">
        <v>59</v>
      </c>
      <c r="AU25" s="9"/>
      <c r="AV25" s="9"/>
      <c r="AW25" s="9">
        <f>1/59</f>
        <v>1.6949152542372881E-2</v>
      </c>
    </row>
    <row r="26" spans="1:51" x14ac:dyDescent="0.25">
      <c r="A26" s="111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12"/>
      <c r="AT26" s="9"/>
      <c r="AU26" s="9"/>
      <c r="AV26" s="9"/>
      <c r="AW26" s="9"/>
    </row>
    <row r="27" spans="1:51" x14ac:dyDescent="0.25">
      <c r="A27" s="111"/>
      <c r="B27">
        <v>1</v>
      </c>
      <c r="C27" t="s">
        <v>30</v>
      </c>
      <c r="D27" t="s">
        <v>68</v>
      </c>
      <c r="E27" s="28">
        <f>E28*$K$27</f>
        <v>154.21320252380491</v>
      </c>
      <c r="F27" s="28">
        <f>F28*$K$27</f>
        <v>2.0990033143932734</v>
      </c>
      <c r="G27" s="28">
        <f>G28*$K$27</f>
        <v>20.990033143932731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3.4954992572062443E-2</v>
      </c>
      <c r="L27" s="28">
        <f>K27*$Y$16</f>
        <v>1.7477496286031222E-4</v>
      </c>
      <c r="M27" s="28">
        <f>M28*$K$27</f>
        <v>2.7963994057649955</v>
      </c>
      <c r="N27" s="76" t="s">
        <v>134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12"/>
      <c r="AT27" s="9"/>
      <c r="AU27" s="9"/>
      <c r="AV27" s="9"/>
      <c r="AW27" s="9"/>
    </row>
    <row r="28" spans="1:51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80</v>
      </c>
      <c r="N28" s="77">
        <f>SUM(AK5:AK12,J15:J20)/K27</f>
        <v>0.59334451961947088</v>
      </c>
      <c r="O28" s="16">
        <v>0.8</v>
      </c>
      <c r="P28" s="16">
        <v>0.1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12"/>
      <c r="AT28" s="9"/>
      <c r="AU28" s="9"/>
      <c r="AV28" s="9"/>
      <c r="AW28" s="9"/>
    </row>
    <row r="29" spans="1:51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13"/>
      <c r="AT29" s="9"/>
      <c r="AU29" s="9"/>
      <c r="AV29" s="9"/>
      <c r="AW29" s="9"/>
    </row>
    <row r="30" spans="1:51" x14ac:dyDescent="0.25">
      <c r="D30" s="27" t="s">
        <v>78</v>
      </c>
      <c r="F30" s="1"/>
      <c r="O30" s="35" t="s">
        <v>138</v>
      </c>
      <c r="P30" s="69">
        <f>K27+SUM(J15:J20)+SUM(AK5:AK12)</f>
        <v>5.5695345848035004E-2</v>
      </c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13"/>
      <c r="AT30" s="9"/>
      <c r="AU30" s="9"/>
      <c r="AV30" s="9"/>
      <c r="AW30" s="9"/>
    </row>
    <row r="31" spans="1:51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12"/>
      <c r="AT31" s="9"/>
      <c r="AU31" s="9"/>
      <c r="AV31" s="9"/>
      <c r="AW31" s="9"/>
    </row>
    <row r="32" spans="1:51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12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SUM(J15:J20,AK5:AK12)+SUM(AF5:AF12*F31,L15:L20*F31)+SUM(AH5:AH12*J31,M15:M20*J31)+SUM(AE5:AE12*E31,O15:O20*E31)+SUM(N15:N20*E31,AG5:AG12*E31)</f>
        <v>3.2704112436364279E-2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4.0880140545455336E-2</v>
      </c>
    </row>
    <row r="35" spans="1:24" ht="15" customHeight="1" x14ac:dyDescent="0.25">
      <c r="A35" s="113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7.3584252981819614E-2</v>
      </c>
      <c r="Q35" s="32"/>
    </row>
    <row r="36" spans="1:24" x14ac:dyDescent="0.25">
      <c r="A36" s="113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1-SUM($AK$5:$AK$12,$J$15:$J$20)/$P$33</f>
        <v>0.36581818826824364</v>
      </c>
    </row>
    <row r="38" spans="1:24" x14ac:dyDescent="0.25">
      <c r="O38" s="35" t="s">
        <v>137</v>
      </c>
      <c r="P38" s="39">
        <f>1-$K$27/$P$34</f>
        <v>0.14493952061648663</v>
      </c>
    </row>
    <row r="39" spans="1:24" x14ac:dyDescent="0.25">
      <c r="O39" s="35" t="s">
        <v>111</v>
      </c>
      <c r="P39" s="39">
        <f>1-SUM($AK$5:$AK$12,$J$15:$J$20)/($P$33+N28/(1+N28)*P32)</f>
        <v>0.36581818826824364</v>
      </c>
    </row>
    <row r="40" spans="1:24" x14ac:dyDescent="0.25">
      <c r="O40" s="35" t="s">
        <v>112</v>
      </c>
      <c r="P40" s="39">
        <f>1-$K$27/($P$34+1/(1+N28)*P32)</f>
        <v>0.14493952061648663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2.6287201769563748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O28" sqref="O2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11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11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11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11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11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11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11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11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11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12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E66"/>
  <sheetViews>
    <sheetView topLeftCell="X1" workbookViewId="0">
      <selection activeCell="AH33" sqref="AH3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6" max="46" width="12" bestFit="1" customWidth="1"/>
    <col min="47" max="49" width="12" customWidth="1"/>
  </cols>
  <sheetData>
    <row r="1" spans="1:57" x14ac:dyDescent="0.25">
      <c r="A1" s="61" t="s">
        <v>113</v>
      </c>
      <c r="B1" s="62" t="s">
        <v>114</v>
      </c>
      <c r="C1" s="63"/>
      <c r="E1" s="67" t="s">
        <v>142</v>
      </c>
      <c r="W1" s="106"/>
      <c r="X1" s="107"/>
    </row>
    <row r="2" spans="1:57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/>
      <c r="X2" s="108"/>
    </row>
    <row r="4" spans="1:57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7" t="s">
        <v>183</v>
      </c>
      <c r="AP4" s="110" t="s">
        <v>184</v>
      </c>
      <c r="AQ4" s="14" t="s">
        <v>77</v>
      </c>
      <c r="AR4" s="14" t="s">
        <v>129</v>
      </c>
      <c r="AS4" s="14" t="s">
        <v>108</v>
      </c>
      <c r="AT4" s="14" t="s">
        <v>22</v>
      </c>
      <c r="AU4" s="14" t="s">
        <v>24</v>
      </c>
      <c r="AV4" s="14" t="s">
        <v>165</v>
      </c>
      <c r="AW4" s="99" t="s">
        <v>166</v>
      </c>
      <c r="AX4" s="99" t="s">
        <v>174</v>
      </c>
      <c r="AY4" s="8" t="s">
        <v>63</v>
      </c>
      <c r="AZ4" s="8" t="s">
        <v>53</v>
      </c>
      <c r="BA4" s="8" t="s">
        <v>54</v>
      </c>
      <c r="BB4" s="8" t="s">
        <v>55</v>
      </c>
      <c r="BC4" s="8" t="s">
        <v>56</v>
      </c>
      <c r="BD4" s="8"/>
      <c r="BE4" s="8" t="s">
        <v>61</v>
      </c>
    </row>
    <row r="5" spans="1:57" x14ac:dyDescent="0.25">
      <c r="A5" s="111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f>INPUTS!Y5</f>
        <v>22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AK5*$AR$37</f>
        <v>12.053251888473643</v>
      </c>
      <c r="AF5" s="1">
        <f t="shared" ref="AF5:AF12" si="1">AK5*$AT5</f>
        <v>1.0111902874411887</v>
      </c>
      <c r="AG5" s="1">
        <f t="shared" ref="AG5:AG12" si="2">AK5*$AW5</f>
        <v>6.0266259442368213</v>
      </c>
      <c r="AH5" s="33">
        <f t="shared" ref="AH5:AH12" si="3">AK5*$AU5</f>
        <v>10.111902874411886</v>
      </c>
      <c r="AI5" s="1">
        <f>BB5</f>
        <v>2.0477283347659267E-3</v>
      </c>
      <c r="AJ5" s="1">
        <f>BE5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>
        <f>INPUTS!AO5</f>
        <v>2100</v>
      </c>
      <c r="AP5">
        <f>INPUTS!AP5</f>
        <v>2100</v>
      </c>
      <c r="AQ5" s="70">
        <f>AK5+(AE5+AG5)*$E$53+AF5*$F$53+AH5*$J$53</f>
        <v>3.6080123558944709E-3</v>
      </c>
      <c r="AR5" s="102">
        <f>(1-AK5/AQ5)*100</f>
        <v>43.208264858268933</v>
      </c>
      <c r="AS5" s="70">
        <f>INPUTS!AS5</f>
        <v>4.5999999999999996</v>
      </c>
      <c r="AT5" s="70">
        <f t="shared" ref="AT5:AT12" si="4">(($AS5/100)*(1+($AR$37+$AW5)*$E$53)-$Y$38)/(((1+1/$X$45)*(14*10^(-6)))-(($J$53/$X$45+$F$53)*$AS5/100))</f>
        <v>493.49156696102204</v>
      </c>
      <c r="AU5" s="70">
        <f t="shared" ref="AU5:AU12" si="5">$AT5/$X$45</f>
        <v>4934.91566961022</v>
      </c>
      <c r="AV5" s="15">
        <v>5</v>
      </c>
      <c r="AW5" s="84">
        <f t="shared" ref="AW5:AW34" si="6">$AV5/100/(1-$AX5/100)*$X$54*10^6/$X$52</f>
        <v>2941.1764705882351</v>
      </c>
      <c r="AX5" s="84">
        <v>40</v>
      </c>
      <c r="AY5" s="9">
        <v>851425</v>
      </c>
      <c r="AZ5" s="10">
        <f>$T$49+$T$50*$T$52*(J5)^$T$51</f>
        <v>9.1058115591388438E-4</v>
      </c>
      <c r="BA5" s="9">
        <f t="shared" ref="BA5:BA12" si="7">J5*Z5</f>
        <v>2.6054999999999997E-3</v>
      </c>
      <c r="BB5" s="10">
        <f>((BA5-AZ5)/($T$53-AY5))*(F5-$T$53)+BA5</f>
        <v>2.0477283347659267E-3</v>
      </c>
      <c r="BC5" s="10">
        <f>$T$49+$T$50*0.6*(L5)^$T$51</f>
        <v>3.0208025791752585E-3</v>
      </c>
      <c r="BD5" s="9"/>
      <c r="BE5" s="9">
        <f t="shared" ref="BE5:BE12" si="8">$AZ$42*$AY$44*$AY$46*(M5)^$AY$43</f>
        <v>1.3244862745926676E-6</v>
      </c>
    </row>
    <row r="6" spans="1:57" x14ac:dyDescent="0.25">
      <c r="A6" s="111"/>
      <c r="B6">
        <v>1</v>
      </c>
      <c r="C6" t="s">
        <v>30</v>
      </c>
      <c r="D6">
        <v>4</v>
      </c>
      <c r="E6">
        <f t="shared" ref="E6:E11" si="9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0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2.918527681859532</v>
      </c>
      <c r="AF6" s="1">
        <f t="shared" si="1"/>
        <v>0.47926386573102986</v>
      </c>
      <c r="AG6" s="1">
        <f t="shared" si="2"/>
        <v>3.5022332182314386</v>
      </c>
      <c r="AH6" s="33">
        <f t="shared" si="3"/>
        <v>4.7926386573102988</v>
      </c>
      <c r="AI6" s="1">
        <f>BC6</f>
        <v>4.9598090847580579E-4</v>
      </c>
      <c r="AJ6" s="1">
        <f>BE6</f>
        <v>1.6879744031468265E-7</v>
      </c>
      <c r="AK6">
        <f t="shared" ref="AK6:AK12" si="11">AI6+AJ6</f>
        <v>4.9614970591612046E-4</v>
      </c>
      <c r="AL6">
        <f t="shared" ref="AL6:AM12" si="12">AI6*0.005</f>
        <v>2.479904542379029E-6</v>
      </c>
      <c r="AM6">
        <f t="shared" si="12"/>
        <v>8.4398720157341326E-10</v>
      </c>
      <c r="AN6">
        <f t="shared" ref="AN6:AN12" si="13">AL6+AM6</f>
        <v>2.4807485295806025E-6</v>
      </c>
      <c r="AO6">
        <f>INPUTS!AO6</f>
        <v>2100</v>
      </c>
      <c r="AP6">
        <f>INPUTS!AP6</f>
        <v>2100</v>
      </c>
      <c r="AQ6" s="70">
        <f t="shared" ref="AQ6:AQ34" si="14">AK6+(AE6+AG6)*$E$53+AF6*$F$53+AH6*$J$53</f>
        <v>1.1736520592639877E-3</v>
      </c>
      <c r="AR6" s="102">
        <f>(1-AK6/AQ6)*100</f>
        <v>57.725997070438204</v>
      </c>
      <c r="AS6" s="70">
        <f>INPUTS!AS6</f>
        <v>6.5</v>
      </c>
      <c r="AT6" s="70">
        <f t="shared" si="4"/>
        <v>965.96623965762194</v>
      </c>
      <c r="AU6" s="70">
        <f t="shared" si="5"/>
        <v>9659.6623965762192</v>
      </c>
      <c r="AV6" s="15">
        <v>8</v>
      </c>
      <c r="AW6" s="84">
        <f t="shared" si="6"/>
        <v>7058.8235294117649</v>
      </c>
      <c r="AX6" s="84">
        <v>60</v>
      </c>
      <c r="AY6" s="9">
        <v>818263</v>
      </c>
      <c r="AZ6" s="10">
        <f>$T$49+$T$50*$T$52*(J6)^$T$51</f>
        <v>9.1017858127080242E-4</v>
      </c>
      <c r="BA6" s="9" t="e">
        <f t="shared" si="7"/>
        <v>#VALUE!</v>
      </c>
      <c r="BB6" s="10" t="e">
        <f>((BA6-AZ6)/($T$53-AY6))*(F6-$T$53)+BA6</f>
        <v>#VALUE!</v>
      </c>
      <c r="BC6" s="10">
        <f>$T$49+$T$50*0.5*(L6)^$T$51</f>
        <v>4.9598090847580579E-4</v>
      </c>
      <c r="BD6" s="9"/>
      <c r="BE6" s="9">
        <f t="shared" si="8"/>
        <v>1.6879744031468265E-7</v>
      </c>
    </row>
    <row r="7" spans="1:57" x14ac:dyDescent="0.25">
      <c r="A7" s="111"/>
      <c r="B7">
        <v>1</v>
      </c>
      <c r="C7" t="s">
        <v>30</v>
      </c>
      <c r="D7">
        <v>5</v>
      </c>
      <c r="E7">
        <f t="shared" si="9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0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33">
        <f t="shared" si="3"/>
        <v>0.21145753411309956</v>
      </c>
      <c r="AI7" s="1">
        <f>BC7</f>
        <v>1.1188589859167832E-5</v>
      </c>
      <c r="AJ7" s="1">
        <v>0</v>
      </c>
      <c r="AK7">
        <f t="shared" si="11"/>
        <v>1.1188589859167832E-5</v>
      </c>
      <c r="AL7">
        <f t="shared" si="12"/>
        <v>5.5942949295839161E-8</v>
      </c>
      <c r="AM7">
        <f t="shared" si="12"/>
        <v>0</v>
      </c>
      <c r="AN7">
        <f t="shared" si="13"/>
        <v>5.5942949295839161E-8</v>
      </c>
      <c r="AO7">
        <f>INPUTS!AO7</f>
        <v>2100</v>
      </c>
      <c r="AP7" t="str">
        <f>INPUTS!AP7</f>
        <v>NA</v>
      </c>
      <c r="AQ7" s="70">
        <f t="shared" si="14"/>
        <v>3.4867252364606023E-5</v>
      </c>
      <c r="AR7" s="102">
        <f t="shared" ref="AR7:AR34" si="15">(1-AK7/AQ7)*100</f>
        <v>67.910893172283792</v>
      </c>
      <c r="AS7" s="70">
        <f>INPUTS!AS7</f>
        <v>9.5</v>
      </c>
      <c r="AT7" s="70">
        <f t="shared" si="4"/>
        <v>1889.9390966577716</v>
      </c>
      <c r="AU7" s="71">
        <f t="shared" si="5"/>
        <v>18899.390966577714</v>
      </c>
      <c r="AV7" s="15">
        <v>0</v>
      </c>
      <c r="AW7" s="84">
        <f t="shared" si="6"/>
        <v>0</v>
      </c>
      <c r="AX7" s="84">
        <v>68</v>
      </c>
      <c r="AY7" s="9"/>
      <c r="AZ7" s="10" t="e">
        <f t="shared" ref="AZ7:AZ12" si="16">$T$49+$T$50*$T$52*(T7*$T$54)^$T$51</f>
        <v>#VALUE!</v>
      </c>
      <c r="BA7" s="9" t="e">
        <f t="shared" si="7"/>
        <v>#VALUE!</v>
      </c>
      <c r="BB7" s="10" t="e">
        <f t="shared" ref="BB7:BB12" si="17">AZ7+((BA7-AZ7)/$T$53)*F7</f>
        <v>#VALUE!</v>
      </c>
      <c r="BC7" s="10">
        <f t="shared" ref="BC7:BC12" si="18">$T$49+$T$50*0.3*(L7)^$T$51</f>
        <v>1.1188589859167832E-5</v>
      </c>
      <c r="BD7" s="9"/>
      <c r="BE7" s="9">
        <f t="shared" si="8"/>
        <v>0</v>
      </c>
    </row>
    <row r="8" spans="1:57" x14ac:dyDescent="0.25">
      <c r="A8" s="111"/>
      <c r="B8">
        <v>1</v>
      </c>
      <c r="C8" t="s">
        <v>30</v>
      </c>
      <c r="D8">
        <v>6</v>
      </c>
      <c r="E8">
        <f t="shared" si="9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10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33">
        <f t="shared" si="3"/>
        <v>5.7551474375663887E-2</v>
      </c>
      <c r="AI8" s="1">
        <f t="shared" ref="AI8:AI12" si="20">BC8</f>
        <v>3.0451496811426225E-6</v>
      </c>
      <c r="AJ8" s="1">
        <v>0</v>
      </c>
      <c r="AK8">
        <f t="shared" si="11"/>
        <v>3.0451496811426225E-6</v>
      </c>
      <c r="AL8">
        <f t="shared" si="12"/>
        <v>1.5225748405713114E-8</v>
      </c>
      <c r="AM8">
        <f t="shared" si="12"/>
        <v>0</v>
      </c>
      <c r="AN8">
        <f t="shared" si="13"/>
        <v>1.5225748405713114E-8</v>
      </c>
      <c r="AO8">
        <f>INPUTS!AO8</f>
        <v>2100</v>
      </c>
      <c r="AP8" t="str">
        <f>INPUTS!AP8</f>
        <v>NA</v>
      </c>
      <c r="AQ8" s="70">
        <f t="shared" si="14"/>
        <v>9.4896679346414427E-6</v>
      </c>
      <c r="AR8" s="102">
        <f>(1-AK8/AQ8)*100</f>
        <v>67.910893172283792</v>
      </c>
      <c r="AS8" s="70">
        <f>INPUTS!AS8</f>
        <v>9.5</v>
      </c>
      <c r="AT8" s="70">
        <f t="shared" si="4"/>
        <v>1889.9390966577716</v>
      </c>
      <c r="AU8" s="70">
        <f t="shared" si="5"/>
        <v>18899.390966577714</v>
      </c>
      <c r="AV8" s="70">
        <v>0</v>
      </c>
      <c r="AW8" s="84">
        <f t="shared" si="6"/>
        <v>0</v>
      </c>
      <c r="AX8" s="84">
        <v>68</v>
      </c>
      <c r="AY8" s="9"/>
      <c r="AZ8" s="10" t="e">
        <f t="shared" si="16"/>
        <v>#VALUE!</v>
      </c>
      <c r="BA8" s="9" t="e">
        <f t="shared" si="7"/>
        <v>#VALUE!</v>
      </c>
      <c r="BB8" s="10" t="e">
        <f t="shared" si="17"/>
        <v>#VALUE!</v>
      </c>
      <c r="BC8" s="10">
        <f t="shared" si="18"/>
        <v>3.0451496811426225E-6</v>
      </c>
      <c r="BD8" s="9"/>
      <c r="BE8" s="9">
        <f t="shared" si="8"/>
        <v>0</v>
      </c>
    </row>
    <row r="9" spans="1:57" x14ac:dyDescent="0.25">
      <c r="A9" s="111"/>
      <c r="B9">
        <v>1</v>
      </c>
      <c r="C9" t="s">
        <v>30</v>
      </c>
      <c r="D9">
        <v>7</v>
      </c>
      <c r="E9">
        <f t="shared" si="9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10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33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1"/>
        <v>1.0530263176114436E-6</v>
      </c>
      <c r="AL9">
        <f t="shared" si="12"/>
        <v>5.2651315880572185E-9</v>
      </c>
      <c r="AM9">
        <f t="shared" si="12"/>
        <v>0</v>
      </c>
      <c r="AN9">
        <f t="shared" si="13"/>
        <v>5.2651315880572185E-9</v>
      </c>
      <c r="AO9">
        <f>INPUTS!AO9</f>
        <v>2100</v>
      </c>
      <c r="AP9" t="str">
        <f>INPUTS!AP9</f>
        <v>NA</v>
      </c>
      <c r="AQ9" s="70">
        <f t="shared" si="14"/>
        <v>3.281569422499217E-6</v>
      </c>
      <c r="AR9" s="102">
        <f t="shared" si="15"/>
        <v>67.910893172283792</v>
      </c>
      <c r="AS9" s="70">
        <f>INPUTS!AS9</f>
        <v>9.5</v>
      </c>
      <c r="AT9" s="70">
        <f t="shared" si="4"/>
        <v>1889.9390966577716</v>
      </c>
      <c r="AU9" s="70">
        <f t="shared" si="5"/>
        <v>18899.390966577714</v>
      </c>
      <c r="AV9" s="70">
        <v>0</v>
      </c>
      <c r="AW9" s="84">
        <f t="shared" si="6"/>
        <v>0</v>
      </c>
      <c r="AX9" s="84">
        <v>68</v>
      </c>
      <c r="AY9" s="9"/>
      <c r="AZ9" s="10" t="e">
        <f t="shared" si="16"/>
        <v>#VALUE!</v>
      </c>
      <c r="BA9" s="9" t="e">
        <f t="shared" si="7"/>
        <v>#VALUE!</v>
      </c>
      <c r="BB9" s="10" t="e">
        <f t="shared" si="17"/>
        <v>#VALUE!</v>
      </c>
      <c r="BC9" s="10">
        <f t="shared" si="18"/>
        <v>1.0530263176114436E-6</v>
      </c>
      <c r="BD9" s="9"/>
      <c r="BE9" s="9">
        <f t="shared" si="8"/>
        <v>0</v>
      </c>
    </row>
    <row r="10" spans="1:57" x14ac:dyDescent="0.25">
      <c r="A10" s="111"/>
      <c r="B10">
        <v>1</v>
      </c>
      <c r="C10" t="s">
        <v>30</v>
      </c>
      <c r="D10">
        <v>8</v>
      </c>
      <c r="E10">
        <f t="shared" si="9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10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33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1"/>
        <v>4.6675135142830591E-7</v>
      </c>
      <c r="AL10">
        <f t="shared" si="12"/>
        <v>2.3337567571415298E-9</v>
      </c>
      <c r="AM10">
        <f t="shared" si="12"/>
        <v>0</v>
      </c>
      <c r="AN10">
        <f t="shared" si="13"/>
        <v>2.3337567571415298E-9</v>
      </c>
      <c r="AO10">
        <f>INPUTS!AO10</f>
        <v>2100</v>
      </c>
      <c r="AP10" t="str">
        <f>INPUTS!AP10</f>
        <v>NA</v>
      </c>
      <c r="AQ10" s="70">
        <f t="shared" si="14"/>
        <v>1.4545476567305404E-6</v>
      </c>
      <c r="AR10" s="102">
        <f t="shared" si="15"/>
        <v>67.910893172283792</v>
      </c>
      <c r="AS10" s="70">
        <f>INPUTS!AS10</f>
        <v>9.5</v>
      </c>
      <c r="AT10" s="70">
        <f t="shared" si="4"/>
        <v>1889.9390966577716</v>
      </c>
      <c r="AU10" s="70">
        <f t="shared" si="5"/>
        <v>18899.390966577714</v>
      </c>
      <c r="AV10" s="70">
        <v>0</v>
      </c>
      <c r="AW10" s="84">
        <f t="shared" si="6"/>
        <v>0</v>
      </c>
      <c r="AX10" s="84">
        <v>68</v>
      </c>
      <c r="AY10" s="9"/>
      <c r="AZ10" s="10" t="e">
        <f t="shared" si="16"/>
        <v>#VALUE!</v>
      </c>
      <c r="BA10" s="9" t="e">
        <f t="shared" si="7"/>
        <v>#VALUE!</v>
      </c>
      <c r="BB10" s="10" t="e">
        <f t="shared" si="17"/>
        <v>#VALUE!</v>
      </c>
      <c r="BC10" s="10">
        <f t="shared" si="18"/>
        <v>4.6675135142830591E-7</v>
      </c>
      <c r="BD10" s="9"/>
      <c r="BE10" s="9">
        <f t="shared" si="8"/>
        <v>0</v>
      </c>
    </row>
    <row r="11" spans="1:57" x14ac:dyDescent="0.25">
      <c r="A11" s="111"/>
      <c r="B11">
        <v>1</v>
      </c>
      <c r="C11" t="s">
        <v>30</v>
      </c>
      <c r="D11">
        <v>9</v>
      </c>
      <c r="E11">
        <f t="shared" si="9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10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33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1"/>
        <v>1.7931029397037642E-7</v>
      </c>
      <c r="AL11">
        <f t="shared" si="12"/>
        <v>8.9655146985188215E-10</v>
      </c>
      <c r="AM11">
        <f t="shared" si="12"/>
        <v>0</v>
      </c>
      <c r="AN11">
        <f t="shared" si="13"/>
        <v>8.9655146985188215E-10</v>
      </c>
      <c r="AO11">
        <f>INPUTS!AO11</f>
        <v>2100</v>
      </c>
      <c r="AP11" t="str">
        <f>INPUTS!AP11</f>
        <v>NA</v>
      </c>
      <c r="AQ11" s="70">
        <f t="shared" si="14"/>
        <v>5.5878867222163193E-7</v>
      </c>
      <c r="AR11" s="102">
        <f t="shared" si="15"/>
        <v>67.910893172283792</v>
      </c>
      <c r="AS11" s="70">
        <f>INPUTS!AS11</f>
        <v>9.5</v>
      </c>
      <c r="AT11" s="70">
        <f t="shared" si="4"/>
        <v>1889.9390966577716</v>
      </c>
      <c r="AU11" s="70">
        <f t="shared" si="5"/>
        <v>18899.390966577714</v>
      </c>
      <c r="AV11" s="70">
        <v>0</v>
      </c>
      <c r="AW11" s="84">
        <f t="shared" si="6"/>
        <v>0</v>
      </c>
      <c r="AX11" s="84">
        <v>68</v>
      </c>
      <c r="AY11" s="9"/>
      <c r="AZ11" s="10" t="e">
        <f t="shared" si="16"/>
        <v>#VALUE!</v>
      </c>
      <c r="BA11" s="9" t="e">
        <f t="shared" si="7"/>
        <v>#VALUE!</v>
      </c>
      <c r="BB11" s="10" t="e">
        <f t="shared" si="17"/>
        <v>#VALUE!</v>
      </c>
      <c r="BC11" s="10">
        <f t="shared" si="18"/>
        <v>1.7931029397037642E-7</v>
      </c>
      <c r="BD11" s="9"/>
      <c r="BE11" s="9">
        <f t="shared" si="8"/>
        <v>0</v>
      </c>
    </row>
    <row r="12" spans="1:57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10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33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1"/>
        <v>1.2583647059445005E-7</v>
      </c>
      <c r="AL12">
        <f t="shared" si="12"/>
        <v>6.2918235297225031E-10</v>
      </c>
      <c r="AM12">
        <f t="shared" si="12"/>
        <v>0</v>
      </c>
      <c r="AN12">
        <f t="shared" si="13"/>
        <v>6.2918235297225031E-10</v>
      </c>
      <c r="AO12">
        <f>INPUTS!AO12</f>
        <v>2100</v>
      </c>
      <c r="AP12" t="str">
        <f>INPUTS!AP12</f>
        <v>NA</v>
      </c>
      <c r="AQ12" s="70">
        <f t="shared" si="14"/>
        <v>3.9214700262632978E-7</v>
      </c>
      <c r="AR12" s="102">
        <f t="shared" si="15"/>
        <v>67.910893172283792</v>
      </c>
      <c r="AS12" s="70">
        <f>INPUTS!AS12</f>
        <v>9.5</v>
      </c>
      <c r="AT12" s="70">
        <f t="shared" si="4"/>
        <v>1889.9390966577716</v>
      </c>
      <c r="AU12" s="70">
        <f t="shared" si="5"/>
        <v>18899.390966577714</v>
      </c>
      <c r="AV12" s="70">
        <v>0</v>
      </c>
      <c r="AW12" s="84">
        <f t="shared" si="6"/>
        <v>0</v>
      </c>
      <c r="AX12" s="84">
        <v>68</v>
      </c>
      <c r="AY12" s="9"/>
      <c r="AZ12" s="10" t="e">
        <f t="shared" si="16"/>
        <v>#VALUE!</v>
      </c>
      <c r="BA12" s="9" t="e">
        <f t="shared" si="7"/>
        <v>#VALUE!</v>
      </c>
      <c r="BB12" s="10" t="e">
        <f t="shared" si="17"/>
        <v>#VALUE!</v>
      </c>
      <c r="BC12" s="10">
        <f t="shared" si="18"/>
        <v>1.2583647059445005E-7</v>
      </c>
      <c r="BD12" s="9"/>
      <c r="BE12" s="9">
        <f t="shared" si="8"/>
        <v>0</v>
      </c>
    </row>
    <row r="13" spans="1:57" x14ac:dyDescent="0.25">
      <c r="A13" s="111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O19" si="21">F6</f>
        <v>776406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2.5999999999999999E-2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 t="str">
        <f t="shared" si="21"/>
        <v>NA</v>
      </c>
      <c r="Y13" t="str">
        <f t="shared" si="21"/>
        <v>NA</v>
      </c>
      <c r="Z13" t="str">
        <f t="shared" si="21"/>
        <v>NA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2.918527681859532</v>
      </c>
      <c r="AF13">
        <f t="shared" si="21"/>
        <v>0.47926386573102986</v>
      </c>
      <c r="AG13">
        <f t="shared" ref="AG13" si="23">AG6</f>
        <v>3.5022332182314386</v>
      </c>
      <c r="AH13">
        <f t="shared" si="21"/>
        <v>4.7926386573102988</v>
      </c>
      <c r="AI13">
        <f t="shared" si="21"/>
        <v>4.9598090847580579E-4</v>
      </c>
      <c r="AJ13">
        <f t="shared" si="21"/>
        <v>1.6879744031468265E-7</v>
      </c>
      <c r="AK13">
        <f t="shared" si="21"/>
        <v>4.9614970591612046E-4</v>
      </c>
      <c r="AL13">
        <f t="shared" si="21"/>
        <v>2.479904542379029E-6</v>
      </c>
      <c r="AM13">
        <f t="shared" si="21"/>
        <v>8.4398720157341326E-10</v>
      </c>
      <c r="AN13">
        <f t="shared" si="21"/>
        <v>2.4807485295806025E-6</v>
      </c>
      <c r="AO13">
        <f t="shared" si="21"/>
        <v>2100</v>
      </c>
      <c r="AP13">
        <f t="shared" ref="AP13:AP34" si="24">AP6</f>
        <v>2100</v>
      </c>
      <c r="AQ13" s="70">
        <f t="shared" si="14"/>
        <v>1.1736520592639877E-3</v>
      </c>
      <c r="AR13" s="102">
        <f t="shared" si="15"/>
        <v>57.725997070438204</v>
      </c>
      <c r="AS13" s="70">
        <f t="shared" ref="AS13" si="25">AS6</f>
        <v>6.5</v>
      </c>
      <c r="AT13" s="70">
        <f t="shared" ref="AT13" si="26">AT6</f>
        <v>965.96623965762194</v>
      </c>
      <c r="AU13" s="70">
        <f>AU6</f>
        <v>9659.6623965762192</v>
      </c>
      <c r="AV13" s="70">
        <v>0</v>
      </c>
      <c r="AW13" s="84">
        <f t="shared" si="6"/>
        <v>0</v>
      </c>
      <c r="AX13" s="84">
        <f>AX6</f>
        <v>60</v>
      </c>
      <c r="AY13" s="9"/>
      <c r="AZ13" s="10"/>
      <c r="BA13" s="9"/>
      <c r="BB13" s="10"/>
      <c r="BC13" s="10"/>
      <c r="BD13" s="9"/>
      <c r="BE13" s="9"/>
    </row>
    <row r="14" spans="1:57" x14ac:dyDescent="0.25">
      <c r="A14" s="111"/>
      <c r="B14">
        <f t="shared" ref="B14:B19" si="27">B7</f>
        <v>1</v>
      </c>
      <c r="C14" t="s">
        <v>126</v>
      </c>
      <c r="D14">
        <f t="shared" ref="D14:D19" si="28">D7-3</f>
        <v>2</v>
      </c>
      <c r="E14">
        <f t="shared" ref="E14:T18" si="29">E7</f>
        <v>2739600</v>
      </c>
      <c r="F14">
        <f t="shared" si="29"/>
        <v>0</v>
      </c>
      <c r="G14">
        <f t="shared" si="29"/>
        <v>0</v>
      </c>
      <c r="H14" t="str">
        <f t="shared" si="29"/>
        <v>True</v>
      </c>
      <c r="I14" t="str">
        <f t="shared" si="29"/>
        <v>False</v>
      </c>
      <c r="J14">
        <f t="shared" si="29"/>
        <v>2.894E-2</v>
      </c>
      <c r="K14">
        <f t="shared" si="29"/>
        <v>2.894E-2</v>
      </c>
      <c r="L14">
        <f t="shared" si="29"/>
        <v>2E-3</v>
      </c>
      <c r="M14">
        <f t="shared" si="29"/>
        <v>0</v>
      </c>
      <c r="N14">
        <f t="shared" si="29"/>
        <v>0</v>
      </c>
      <c r="O14">
        <f t="shared" si="29"/>
        <v>0</v>
      </c>
      <c r="P14">
        <f t="shared" si="29"/>
        <v>0</v>
      </c>
      <c r="Q14">
        <f t="shared" si="29"/>
        <v>0</v>
      </c>
      <c r="R14">
        <f t="shared" si="29"/>
        <v>0</v>
      </c>
      <c r="S14">
        <f t="shared" si="29"/>
        <v>0</v>
      </c>
      <c r="T14" t="str">
        <f t="shared" si="29"/>
        <v>NA</v>
      </c>
      <c r="U14" t="str">
        <f t="shared" si="21"/>
        <v>NA</v>
      </c>
      <c r="V14" t="str">
        <f t="shared" si="21"/>
        <v>NA</v>
      </c>
      <c r="W14" s="1">
        <f t="shared" ref="W14" si="30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1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>
        <f t="shared" ref="AO14" si="32">AO7</f>
        <v>2100</v>
      </c>
      <c r="AP14" t="str">
        <f t="shared" si="24"/>
        <v>NA</v>
      </c>
      <c r="AQ14" s="70">
        <f t="shared" si="14"/>
        <v>3.4867252364606023E-5</v>
      </c>
      <c r="AR14" s="102">
        <f t="shared" si="15"/>
        <v>67.910893172283792</v>
      </c>
      <c r="AS14" s="70">
        <f t="shared" ref="AS14:AU14" si="33">AS7</f>
        <v>9.5</v>
      </c>
      <c r="AT14" s="70">
        <f t="shared" ref="AT14" si="34">AT7</f>
        <v>1889.9390966577716</v>
      </c>
      <c r="AU14" s="70">
        <f t="shared" si="33"/>
        <v>18899.390966577714</v>
      </c>
      <c r="AV14" s="70">
        <f t="shared" ref="AV14" si="35">AV7</f>
        <v>0</v>
      </c>
      <c r="AW14" s="84">
        <f t="shared" si="6"/>
        <v>0</v>
      </c>
      <c r="AX14" s="84">
        <f t="shared" ref="AX14:AX19" si="36">AX7</f>
        <v>68</v>
      </c>
      <c r="AY14" s="9"/>
      <c r="AZ14" s="10"/>
      <c r="BA14" s="9"/>
      <c r="BB14" s="10"/>
      <c r="BC14" s="10"/>
      <c r="BD14" s="9"/>
      <c r="BE14" s="9"/>
    </row>
    <row r="15" spans="1:57" x14ac:dyDescent="0.25">
      <c r="A15" s="111"/>
      <c r="B15">
        <f t="shared" si="27"/>
        <v>1</v>
      </c>
      <c r="C15" t="s">
        <v>126</v>
      </c>
      <c r="D15">
        <f t="shared" si="28"/>
        <v>3</v>
      </c>
      <c r="E15">
        <f t="shared" si="29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7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8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>
        <f t="shared" ref="AO15" si="39">AO8</f>
        <v>2100</v>
      </c>
      <c r="AP15" t="str">
        <f t="shared" si="24"/>
        <v>NA</v>
      </c>
      <c r="AQ15" s="70">
        <f t="shared" si="14"/>
        <v>9.4896679346414427E-6</v>
      </c>
      <c r="AR15" s="102">
        <f t="shared" si="15"/>
        <v>67.910893172283792</v>
      </c>
      <c r="AS15" s="70">
        <f t="shared" ref="AS15:AU15" si="40">AS8</f>
        <v>9.5</v>
      </c>
      <c r="AT15" s="70">
        <f t="shared" ref="AT15" si="41">AT8</f>
        <v>1889.9390966577716</v>
      </c>
      <c r="AU15" s="70">
        <f t="shared" si="40"/>
        <v>18899.390966577714</v>
      </c>
      <c r="AV15" s="70">
        <f t="shared" ref="AV15" si="42">AV8</f>
        <v>0</v>
      </c>
      <c r="AW15" s="84">
        <f t="shared" si="6"/>
        <v>0</v>
      </c>
      <c r="AX15" s="84">
        <f t="shared" si="36"/>
        <v>68</v>
      </c>
      <c r="AY15" s="9"/>
      <c r="AZ15" s="10"/>
      <c r="BA15" s="9"/>
      <c r="BB15" s="10"/>
      <c r="BC15" s="10"/>
      <c r="BD15" s="9"/>
      <c r="BE15" s="9"/>
    </row>
    <row r="16" spans="1:57" x14ac:dyDescent="0.25">
      <c r="A16" s="111"/>
      <c r="B16">
        <f t="shared" si="27"/>
        <v>1</v>
      </c>
      <c r="C16" t="s">
        <v>126</v>
      </c>
      <c r="D16">
        <f t="shared" si="28"/>
        <v>4</v>
      </c>
      <c r="E16">
        <f t="shared" si="29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3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4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>
        <f t="shared" ref="AO16" si="45">AO9</f>
        <v>2100</v>
      </c>
      <c r="AP16" t="str">
        <f t="shared" si="24"/>
        <v>NA</v>
      </c>
      <c r="AQ16" s="70">
        <f t="shared" si="14"/>
        <v>3.281569422499217E-6</v>
      </c>
      <c r="AR16" s="102">
        <f t="shared" si="15"/>
        <v>67.910893172283792</v>
      </c>
      <c r="AS16" s="70">
        <f t="shared" ref="AS16:AU16" si="46">AS9</f>
        <v>9.5</v>
      </c>
      <c r="AT16" s="70">
        <f t="shared" ref="AT16" si="47">AT9</f>
        <v>1889.9390966577716</v>
      </c>
      <c r="AU16" s="70">
        <f t="shared" si="46"/>
        <v>18899.390966577714</v>
      </c>
      <c r="AV16" s="70">
        <f t="shared" ref="AV16" si="48">AV9</f>
        <v>0</v>
      </c>
      <c r="AW16" s="84">
        <f t="shared" si="6"/>
        <v>0</v>
      </c>
      <c r="AX16" s="84">
        <f t="shared" si="36"/>
        <v>68</v>
      </c>
      <c r="AY16" s="9"/>
      <c r="AZ16" s="10"/>
      <c r="BA16" s="9"/>
      <c r="BB16" s="10"/>
      <c r="BC16" s="10"/>
      <c r="BD16" s="9"/>
      <c r="BE16" s="9"/>
    </row>
    <row r="17" spans="1:57" x14ac:dyDescent="0.25">
      <c r="A17" s="111"/>
      <c r="B17">
        <f t="shared" si="27"/>
        <v>1</v>
      </c>
      <c r="C17" t="s">
        <v>126</v>
      </c>
      <c r="D17">
        <f t="shared" si="28"/>
        <v>5</v>
      </c>
      <c r="E17">
        <f t="shared" si="29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9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50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>
        <f t="shared" ref="AO17" si="51">AO10</f>
        <v>2100</v>
      </c>
      <c r="AP17" t="str">
        <f t="shared" si="24"/>
        <v>NA</v>
      </c>
      <c r="AQ17" s="70">
        <f t="shared" si="14"/>
        <v>1.4545476567305404E-6</v>
      </c>
      <c r="AR17" s="102">
        <f t="shared" si="15"/>
        <v>67.910893172283792</v>
      </c>
      <c r="AS17" s="70">
        <f t="shared" ref="AS17:AU17" si="52">AS10</f>
        <v>9.5</v>
      </c>
      <c r="AT17" s="70">
        <f t="shared" ref="AT17" si="53">AT10</f>
        <v>1889.9390966577716</v>
      </c>
      <c r="AU17" s="70">
        <f t="shared" si="52"/>
        <v>18899.390966577714</v>
      </c>
      <c r="AV17" s="70">
        <f t="shared" ref="AV17" si="54">AV10</f>
        <v>0</v>
      </c>
      <c r="AW17" s="84">
        <f t="shared" si="6"/>
        <v>0</v>
      </c>
      <c r="AX17" s="84">
        <f t="shared" si="36"/>
        <v>68</v>
      </c>
      <c r="AY17" s="9"/>
      <c r="AZ17" s="10"/>
      <c r="BA17" s="9"/>
      <c r="BB17" s="10"/>
      <c r="BC17" s="10"/>
      <c r="BD17" s="9"/>
      <c r="BE17" s="9"/>
    </row>
    <row r="18" spans="1:57" x14ac:dyDescent="0.25">
      <c r="A18" s="111"/>
      <c r="B18">
        <f t="shared" si="27"/>
        <v>1</v>
      </c>
      <c r="C18" t="s">
        <v>126</v>
      </c>
      <c r="D18">
        <f t="shared" si="28"/>
        <v>6</v>
      </c>
      <c r="E18">
        <f t="shared" si="29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5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6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>
        <f t="shared" ref="AO18" si="57">AO11</f>
        <v>2100</v>
      </c>
      <c r="AP18" t="str">
        <f t="shared" si="24"/>
        <v>NA</v>
      </c>
      <c r="AQ18" s="70">
        <f t="shared" si="14"/>
        <v>5.5878867222163193E-7</v>
      </c>
      <c r="AR18" s="102">
        <f t="shared" si="15"/>
        <v>67.910893172283792</v>
      </c>
      <c r="AS18" s="70">
        <f t="shared" ref="AS18:AU18" si="58">AS11</f>
        <v>9.5</v>
      </c>
      <c r="AT18" s="70">
        <f t="shared" ref="AT18" si="59">AT11</f>
        <v>1889.9390966577716</v>
      </c>
      <c r="AU18" s="70">
        <f t="shared" si="58"/>
        <v>18899.390966577714</v>
      </c>
      <c r="AV18" s="70">
        <f t="shared" ref="AV18" si="60">AV11</f>
        <v>0</v>
      </c>
      <c r="AW18" s="84">
        <f t="shared" si="6"/>
        <v>0</v>
      </c>
      <c r="AX18" s="84">
        <f t="shared" si="36"/>
        <v>68</v>
      </c>
      <c r="AY18" s="9"/>
      <c r="AZ18" s="10"/>
      <c r="BA18" s="9"/>
      <c r="BB18" s="10"/>
      <c r="BC18" s="10"/>
      <c r="BD18" s="9"/>
      <c r="BE18" s="9"/>
    </row>
    <row r="19" spans="1:57" x14ac:dyDescent="0.25">
      <c r="A19" s="111"/>
      <c r="B19">
        <f t="shared" si="27"/>
        <v>1</v>
      </c>
      <c r="C19" t="s">
        <v>126</v>
      </c>
      <c r="D19">
        <f t="shared" si="28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61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62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>
        <f t="shared" ref="AO19" si="63">AO12</f>
        <v>2100</v>
      </c>
      <c r="AP19" t="str">
        <f t="shared" si="24"/>
        <v>NA</v>
      </c>
      <c r="AQ19" s="70">
        <f t="shared" si="14"/>
        <v>3.9214700262632978E-7</v>
      </c>
      <c r="AR19" s="102">
        <f t="shared" si="15"/>
        <v>67.910893172283792</v>
      </c>
      <c r="AS19" s="70">
        <f t="shared" ref="AS19:AU19" si="64">AS12</f>
        <v>9.5</v>
      </c>
      <c r="AT19" s="70">
        <f t="shared" ref="AT19" si="65">AT12</f>
        <v>1889.9390966577716</v>
      </c>
      <c r="AU19" s="70">
        <f t="shared" si="64"/>
        <v>18899.390966577714</v>
      </c>
      <c r="AV19" s="70">
        <f t="shared" ref="AV19" si="66">AV12</f>
        <v>0</v>
      </c>
      <c r="AW19" s="84">
        <f t="shared" si="6"/>
        <v>0</v>
      </c>
      <c r="AX19" s="84">
        <f t="shared" si="36"/>
        <v>68</v>
      </c>
      <c r="AY19" s="9"/>
      <c r="AZ19" s="10"/>
      <c r="BA19" s="9"/>
      <c r="BB19" s="10"/>
      <c r="BC19" s="10"/>
      <c r="BD19" s="9"/>
      <c r="BE19" s="9"/>
    </row>
    <row r="20" spans="1:57" x14ac:dyDescent="0.25">
      <c r="A20" s="111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N25" si="67">F7</f>
        <v>0</v>
      </c>
      <c r="G20">
        <f t="shared" si="67"/>
        <v>0</v>
      </c>
      <c r="H20" t="str">
        <f t="shared" si="67"/>
        <v>True</v>
      </c>
      <c r="I20" t="str">
        <f t="shared" si="67"/>
        <v>False</v>
      </c>
      <c r="J20">
        <f t="shared" si="67"/>
        <v>2.894E-2</v>
      </c>
      <c r="K20">
        <f t="shared" si="67"/>
        <v>2.894E-2</v>
      </c>
      <c r="L20">
        <f t="shared" si="67"/>
        <v>2E-3</v>
      </c>
      <c r="M20">
        <f t="shared" si="67"/>
        <v>0</v>
      </c>
      <c r="N20">
        <f t="shared" si="67"/>
        <v>0</v>
      </c>
      <c r="O20">
        <f t="shared" si="67"/>
        <v>0</v>
      </c>
      <c r="P20">
        <f t="shared" si="67"/>
        <v>0</v>
      </c>
      <c r="Q20">
        <f t="shared" si="67"/>
        <v>0</v>
      </c>
      <c r="R20">
        <f t="shared" si="67"/>
        <v>0</v>
      </c>
      <c r="S20">
        <f t="shared" si="67"/>
        <v>0</v>
      </c>
      <c r="T20" t="str">
        <f t="shared" si="67"/>
        <v>NA</v>
      </c>
      <c r="U20" t="str">
        <f t="shared" si="67"/>
        <v>NA</v>
      </c>
      <c r="V20" t="str">
        <f t="shared" si="67"/>
        <v>NA</v>
      </c>
      <c r="W20" s="1">
        <f t="shared" ref="W20" si="68">W7</f>
        <v>4.7804505939809229E-3</v>
      </c>
      <c r="X20" t="str">
        <f t="shared" si="67"/>
        <v>NA</v>
      </c>
      <c r="Y20" t="str">
        <f t="shared" si="67"/>
        <v>NA</v>
      </c>
      <c r="Z20" t="str">
        <f t="shared" si="67"/>
        <v>NA</v>
      </c>
      <c r="AA20" t="str">
        <f t="shared" si="67"/>
        <v>False</v>
      </c>
      <c r="AB20" t="str">
        <f t="shared" si="67"/>
        <v>NA</v>
      </c>
      <c r="AC20" t="str">
        <f t="shared" si="67"/>
        <v>NA</v>
      </c>
      <c r="AD20" t="str">
        <f t="shared" si="67"/>
        <v>False</v>
      </c>
      <c r="AE20">
        <f t="shared" si="67"/>
        <v>6.5815234465693123E-2</v>
      </c>
      <c r="AF20">
        <f t="shared" si="67"/>
        <v>2.1145753411309958E-2</v>
      </c>
      <c r="AG20">
        <f t="shared" ref="AG20" si="69">AG7</f>
        <v>0</v>
      </c>
      <c r="AH20">
        <f t="shared" si="67"/>
        <v>0.21145753411309956</v>
      </c>
      <c r="AI20">
        <f t="shared" si="67"/>
        <v>1.1188589859167832E-5</v>
      </c>
      <c r="AJ20">
        <f t="shared" si="67"/>
        <v>0</v>
      </c>
      <c r="AK20">
        <f t="shared" si="67"/>
        <v>1.1188589859167832E-5</v>
      </c>
      <c r="AL20">
        <f t="shared" si="67"/>
        <v>5.5942949295839161E-8</v>
      </c>
      <c r="AM20">
        <f t="shared" si="67"/>
        <v>0</v>
      </c>
      <c r="AN20">
        <f t="shared" si="67"/>
        <v>5.5942949295839161E-8</v>
      </c>
      <c r="AO20">
        <f t="shared" ref="AO20" si="70">AO13</f>
        <v>2100</v>
      </c>
      <c r="AP20">
        <f t="shared" si="24"/>
        <v>2100</v>
      </c>
      <c r="AQ20" s="70">
        <f t="shared" si="14"/>
        <v>3.4867252364606023E-5</v>
      </c>
      <c r="AR20" s="102">
        <f t="shared" si="15"/>
        <v>67.910893172283792</v>
      </c>
      <c r="AS20" s="70">
        <f t="shared" ref="AS20:AU20" si="71">AS7</f>
        <v>9.5</v>
      </c>
      <c r="AT20" s="70">
        <f t="shared" ref="AT20" si="72">AT7</f>
        <v>1889.9390966577716</v>
      </c>
      <c r="AU20" s="70">
        <f t="shared" si="71"/>
        <v>18899.390966577714</v>
      </c>
      <c r="AV20" s="70">
        <f t="shared" ref="AV20" si="73">AV7</f>
        <v>0</v>
      </c>
      <c r="AW20" s="84">
        <f t="shared" si="6"/>
        <v>0</v>
      </c>
      <c r="AX20" s="84">
        <f>AX7</f>
        <v>68</v>
      </c>
      <c r="AY20" s="9"/>
      <c r="AZ20" s="10"/>
      <c r="BA20" s="9"/>
      <c r="BB20" s="10"/>
      <c r="BC20" s="10"/>
      <c r="BD20" s="9"/>
      <c r="BE20" s="9"/>
    </row>
    <row r="21" spans="1:57" x14ac:dyDescent="0.25">
      <c r="A21" s="111"/>
      <c r="B21">
        <f t="shared" ref="B21:B34" si="74">B8</f>
        <v>1</v>
      </c>
      <c r="C21" t="s">
        <v>127</v>
      </c>
      <c r="D21">
        <f t="shared" ref="D21:D25" si="75">D8-4</f>
        <v>2</v>
      </c>
      <c r="E21">
        <f t="shared" ref="E21:T25" si="76">E8</f>
        <v>2191680</v>
      </c>
      <c r="F21">
        <f t="shared" si="76"/>
        <v>0</v>
      </c>
      <c r="G21">
        <f t="shared" si="76"/>
        <v>0</v>
      </c>
      <c r="H21" t="str">
        <f t="shared" si="76"/>
        <v>True</v>
      </c>
      <c r="I21" t="str">
        <f t="shared" si="76"/>
        <v>False</v>
      </c>
      <c r="J21">
        <f t="shared" si="76"/>
        <v>2.894E-2</v>
      </c>
      <c r="K21">
        <f t="shared" si="76"/>
        <v>2.894E-2</v>
      </c>
      <c r="L21">
        <f t="shared" si="76"/>
        <v>7.2000000000000005E-4</v>
      </c>
      <c r="M21">
        <f t="shared" si="76"/>
        <v>0</v>
      </c>
      <c r="N21">
        <f t="shared" si="76"/>
        <v>0</v>
      </c>
      <c r="O21">
        <f t="shared" si="76"/>
        <v>0</v>
      </c>
      <c r="P21">
        <f t="shared" si="76"/>
        <v>0</v>
      </c>
      <c r="Q21">
        <f t="shared" si="76"/>
        <v>0</v>
      </c>
      <c r="R21">
        <f t="shared" si="76"/>
        <v>0</v>
      </c>
      <c r="S21">
        <f t="shared" si="76"/>
        <v>0</v>
      </c>
      <c r="T21" t="str">
        <f t="shared" si="76"/>
        <v>NA</v>
      </c>
      <c r="U21" t="str">
        <f t="shared" si="67"/>
        <v>NA</v>
      </c>
      <c r="V21" t="str">
        <f t="shared" si="67"/>
        <v>NA</v>
      </c>
      <c r="W21" s="1">
        <f t="shared" ref="W21" si="77">W8</f>
        <v>6.4152407049273701E-6</v>
      </c>
      <c r="X21" t="str">
        <f t="shared" si="67"/>
        <v>NA</v>
      </c>
      <c r="Y21" t="str">
        <f t="shared" si="67"/>
        <v>NA</v>
      </c>
      <c r="Z21" t="str">
        <f t="shared" si="67"/>
        <v>NA</v>
      </c>
      <c r="AA21" t="str">
        <f t="shared" si="67"/>
        <v>False</v>
      </c>
      <c r="AB21" t="str">
        <f t="shared" si="67"/>
        <v>NA</v>
      </c>
      <c r="AC21" t="str">
        <f t="shared" si="67"/>
        <v>NA</v>
      </c>
      <c r="AD21" t="str">
        <f t="shared" si="67"/>
        <v>False</v>
      </c>
      <c r="AE21">
        <f t="shared" si="67"/>
        <v>1.7912645183191897E-2</v>
      </c>
      <c r="AF21">
        <f t="shared" si="67"/>
        <v>5.7551474375663898E-3</v>
      </c>
      <c r="AG21">
        <f t="shared" ref="AG21" si="78">AG8</f>
        <v>0</v>
      </c>
      <c r="AH21">
        <f t="shared" si="67"/>
        <v>5.7551474375663887E-2</v>
      </c>
      <c r="AI21">
        <f t="shared" si="67"/>
        <v>3.0451496811426225E-6</v>
      </c>
      <c r="AJ21">
        <f t="shared" si="67"/>
        <v>0</v>
      </c>
      <c r="AK21">
        <f t="shared" si="67"/>
        <v>3.0451496811426225E-6</v>
      </c>
      <c r="AL21">
        <f t="shared" si="67"/>
        <v>1.5225748405713114E-8</v>
      </c>
      <c r="AM21">
        <f t="shared" si="67"/>
        <v>0</v>
      </c>
      <c r="AN21">
        <f t="shared" si="67"/>
        <v>1.5225748405713114E-8</v>
      </c>
      <c r="AO21">
        <f t="shared" ref="AO21" si="79">AO14</f>
        <v>2100</v>
      </c>
      <c r="AP21" t="str">
        <f t="shared" si="24"/>
        <v>NA</v>
      </c>
      <c r="AQ21" s="70">
        <f t="shared" si="14"/>
        <v>9.4896679346414427E-6</v>
      </c>
      <c r="AR21" s="102">
        <f t="shared" si="15"/>
        <v>67.910893172283792</v>
      </c>
      <c r="AS21" s="70">
        <f t="shared" ref="AS21:AU21" si="80">AS8</f>
        <v>9.5</v>
      </c>
      <c r="AT21" s="70">
        <f t="shared" ref="AT21" si="81">AT8</f>
        <v>1889.9390966577716</v>
      </c>
      <c r="AU21" s="70">
        <f t="shared" si="80"/>
        <v>18899.390966577714</v>
      </c>
      <c r="AV21" s="70">
        <f t="shared" ref="AV21" si="82">AV8</f>
        <v>0</v>
      </c>
      <c r="AW21" s="84">
        <f t="shared" si="6"/>
        <v>0</v>
      </c>
      <c r="AX21" s="84">
        <f t="shared" ref="AX21:AX25" si="83">AX8</f>
        <v>68</v>
      </c>
      <c r="AY21" s="9"/>
      <c r="AZ21" s="10"/>
      <c r="BA21" s="9"/>
      <c r="BB21" s="10"/>
      <c r="BC21" s="10"/>
      <c r="BD21" s="9"/>
      <c r="BE21" s="9"/>
    </row>
    <row r="22" spans="1:57" x14ac:dyDescent="0.25">
      <c r="A22" s="111"/>
      <c r="B22">
        <f t="shared" si="74"/>
        <v>1</v>
      </c>
      <c r="C22" t="s">
        <v>127</v>
      </c>
      <c r="D22">
        <f t="shared" si="75"/>
        <v>3</v>
      </c>
      <c r="E22">
        <f t="shared" si="76"/>
        <v>1643760</v>
      </c>
      <c r="F22">
        <f t="shared" si="67"/>
        <v>0</v>
      </c>
      <c r="G22">
        <f t="shared" si="67"/>
        <v>0</v>
      </c>
      <c r="H22" t="str">
        <f t="shared" si="67"/>
        <v>True</v>
      </c>
      <c r="I22" t="str">
        <f t="shared" si="67"/>
        <v>False</v>
      </c>
      <c r="J22">
        <f t="shared" si="67"/>
        <v>2.894E-2</v>
      </c>
      <c r="K22">
        <f t="shared" si="67"/>
        <v>2.894E-2</v>
      </c>
      <c r="L22">
        <f t="shared" si="67"/>
        <v>3.1E-4</v>
      </c>
      <c r="M22">
        <f t="shared" si="67"/>
        <v>0</v>
      </c>
      <c r="N22">
        <f t="shared" si="67"/>
        <v>0</v>
      </c>
      <c r="O22">
        <f t="shared" si="67"/>
        <v>0</v>
      </c>
      <c r="P22">
        <f t="shared" si="67"/>
        <v>0</v>
      </c>
      <c r="Q22">
        <f t="shared" si="67"/>
        <v>0</v>
      </c>
      <c r="R22">
        <f t="shared" si="67"/>
        <v>0</v>
      </c>
      <c r="S22">
        <f t="shared" si="67"/>
        <v>0</v>
      </c>
      <c r="T22" t="str">
        <f t="shared" si="67"/>
        <v>NA</v>
      </c>
      <c r="U22" t="str">
        <f t="shared" si="67"/>
        <v>NA</v>
      </c>
      <c r="V22" t="str">
        <f t="shared" si="67"/>
        <v>NA</v>
      </c>
      <c r="W22" s="1">
        <f t="shared" ref="W22" si="84">W9</f>
        <v>2.3349332116543619E-6</v>
      </c>
      <c r="X22" t="str">
        <f t="shared" si="67"/>
        <v>NA</v>
      </c>
      <c r="Y22" t="str">
        <f t="shared" si="67"/>
        <v>NA</v>
      </c>
      <c r="Z22" t="str">
        <f t="shared" si="67"/>
        <v>NA</v>
      </c>
      <c r="AA22" t="str">
        <f t="shared" si="67"/>
        <v>False</v>
      </c>
      <c r="AB22" t="str">
        <f t="shared" si="67"/>
        <v>NA</v>
      </c>
      <c r="AC22" t="str">
        <f t="shared" si="67"/>
        <v>NA</v>
      </c>
      <c r="AD22" t="str">
        <f t="shared" si="67"/>
        <v>False</v>
      </c>
      <c r="AE22">
        <f t="shared" si="67"/>
        <v>6.1942724565379036E-3</v>
      </c>
      <c r="AF22">
        <f t="shared" si="67"/>
        <v>1.9901556074634315E-3</v>
      </c>
      <c r="AG22">
        <f t="shared" ref="AG22" si="85">AG9</f>
        <v>0</v>
      </c>
      <c r="AH22">
        <f t="shared" si="67"/>
        <v>1.9901556074634313E-2</v>
      </c>
      <c r="AI22">
        <f t="shared" si="67"/>
        <v>1.0530263176114436E-6</v>
      </c>
      <c r="AJ22">
        <f t="shared" si="67"/>
        <v>0</v>
      </c>
      <c r="AK22">
        <f t="shared" si="67"/>
        <v>1.0530263176114436E-6</v>
      </c>
      <c r="AL22">
        <f t="shared" si="67"/>
        <v>5.2651315880572185E-9</v>
      </c>
      <c r="AM22">
        <f t="shared" si="67"/>
        <v>0</v>
      </c>
      <c r="AN22">
        <f t="shared" si="67"/>
        <v>5.2651315880572185E-9</v>
      </c>
      <c r="AO22">
        <f t="shared" ref="AO22" si="86">AO15</f>
        <v>2100</v>
      </c>
      <c r="AP22" t="str">
        <f t="shared" si="24"/>
        <v>NA</v>
      </c>
      <c r="AQ22" s="70">
        <f t="shared" si="14"/>
        <v>3.281569422499217E-6</v>
      </c>
      <c r="AR22" s="102">
        <f t="shared" si="15"/>
        <v>67.910893172283792</v>
      </c>
      <c r="AS22" s="70">
        <f t="shared" ref="AS22:AU22" si="87">AS9</f>
        <v>9.5</v>
      </c>
      <c r="AT22" s="70">
        <f t="shared" ref="AT22" si="88">AT9</f>
        <v>1889.9390966577716</v>
      </c>
      <c r="AU22" s="70">
        <f t="shared" si="87"/>
        <v>18899.390966577714</v>
      </c>
      <c r="AV22" s="70">
        <f t="shared" ref="AV22" si="89">AV9</f>
        <v>0</v>
      </c>
      <c r="AW22" s="84">
        <f t="shared" si="6"/>
        <v>0</v>
      </c>
      <c r="AX22" s="84">
        <f t="shared" si="83"/>
        <v>68</v>
      </c>
      <c r="AY22" s="9"/>
      <c r="AZ22" s="10"/>
      <c r="BA22" s="9"/>
      <c r="BB22" s="10"/>
      <c r="BC22" s="10"/>
      <c r="BD22" s="9"/>
      <c r="BE22" s="9"/>
    </row>
    <row r="23" spans="1:57" x14ac:dyDescent="0.25">
      <c r="A23" s="111"/>
      <c r="B23">
        <f t="shared" si="74"/>
        <v>1</v>
      </c>
      <c r="C23" t="s">
        <v>127</v>
      </c>
      <c r="D23">
        <f t="shared" si="75"/>
        <v>4</v>
      </c>
      <c r="E23">
        <f t="shared" si="76"/>
        <v>1095840</v>
      </c>
      <c r="F23">
        <f t="shared" si="67"/>
        <v>0</v>
      </c>
      <c r="G23">
        <f t="shared" si="67"/>
        <v>0</v>
      </c>
      <c r="H23" t="str">
        <f t="shared" si="67"/>
        <v>True</v>
      </c>
      <c r="I23" t="str">
        <f t="shared" si="67"/>
        <v>False</v>
      </c>
      <c r="J23">
        <f t="shared" si="67"/>
        <v>2.894E-2</v>
      </c>
      <c r="K23">
        <f t="shared" si="67"/>
        <v>2.894E-2</v>
      </c>
      <c r="L23">
        <f t="shared" si="67"/>
        <v>1.6000000000000001E-4</v>
      </c>
      <c r="M23">
        <f t="shared" si="67"/>
        <v>0</v>
      </c>
      <c r="N23">
        <f t="shared" si="67"/>
        <v>0</v>
      </c>
      <c r="O23">
        <f t="shared" si="67"/>
        <v>0</v>
      </c>
      <c r="P23">
        <f t="shared" si="67"/>
        <v>0</v>
      </c>
      <c r="Q23">
        <f t="shared" si="67"/>
        <v>0</v>
      </c>
      <c r="R23">
        <f t="shared" si="67"/>
        <v>0</v>
      </c>
      <c r="S23">
        <f t="shared" si="67"/>
        <v>0</v>
      </c>
      <c r="T23" t="str">
        <f t="shared" si="67"/>
        <v>NA</v>
      </c>
      <c r="U23" t="str">
        <f t="shared" si="67"/>
        <v>NA</v>
      </c>
      <c r="V23" t="str">
        <f t="shared" si="67"/>
        <v>NA</v>
      </c>
      <c r="W23" s="1">
        <f t="shared" ref="W23" si="90">W10</f>
        <v>9.1658819653476345E-7</v>
      </c>
      <c r="X23" t="str">
        <f t="shared" si="67"/>
        <v>NA</v>
      </c>
      <c r="Y23" t="str">
        <f t="shared" si="67"/>
        <v>NA</v>
      </c>
      <c r="Z23" t="str">
        <f t="shared" si="67"/>
        <v>NA</v>
      </c>
      <c r="AA23" t="str">
        <f t="shared" si="67"/>
        <v>False</v>
      </c>
      <c r="AB23" t="str">
        <f t="shared" si="67"/>
        <v>NA</v>
      </c>
      <c r="AC23" t="str">
        <f t="shared" si="67"/>
        <v>NA</v>
      </c>
      <c r="AD23" t="str">
        <f t="shared" si="67"/>
        <v>False</v>
      </c>
      <c r="AE23">
        <f t="shared" si="67"/>
        <v>2.7455961848723877E-3</v>
      </c>
      <c r="AF23">
        <f t="shared" si="67"/>
        <v>8.8213162748220658E-4</v>
      </c>
      <c r="AG23">
        <f t="shared" ref="AG23" si="91">AG10</f>
        <v>0</v>
      </c>
      <c r="AH23">
        <f t="shared" si="67"/>
        <v>8.8213162748220653E-3</v>
      </c>
      <c r="AI23">
        <f t="shared" si="67"/>
        <v>4.6675135142830591E-7</v>
      </c>
      <c r="AJ23">
        <f t="shared" si="67"/>
        <v>0</v>
      </c>
      <c r="AK23">
        <f t="shared" si="67"/>
        <v>4.6675135142830591E-7</v>
      </c>
      <c r="AL23">
        <f t="shared" si="67"/>
        <v>2.3337567571415298E-9</v>
      </c>
      <c r="AM23">
        <f t="shared" si="67"/>
        <v>0</v>
      </c>
      <c r="AN23">
        <f t="shared" si="67"/>
        <v>2.3337567571415298E-9</v>
      </c>
      <c r="AO23">
        <f t="shared" ref="AO23" si="92">AO16</f>
        <v>2100</v>
      </c>
      <c r="AP23" t="str">
        <f t="shared" si="24"/>
        <v>NA</v>
      </c>
      <c r="AQ23" s="70">
        <f t="shared" si="14"/>
        <v>1.4545476567305404E-6</v>
      </c>
      <c r="AR23" s="102">
        <f t="shared" si="15"/>
        <v>67.910893172283792</v>
      </c>
      <c r="AS23" s="70">
        <f t="shared" ref="AS23:AU23" si="93">AS10</f>
        <v>9.5</v>
      </c>
      <c r="AT23" s="70">
        <f t="shared" ref="AT23" si="94">AT10</f>
        <v>1889.9390966577716</v>
      </c>
      <c r="AU23" s="70">
        <f t="shared" si="93"/>
        <v>18899.390966577714</v>
      </c>
      <c r="AV23" s="70">
        <f t="shared" ref="AV23" si="95">AV10</f>
        <v>0</v>
      </c>
      <c r="AW23" s="84">
        <f t="shared" si="6"/>
        <v>0</v>
      </c>
      <c r="AX23" s="84">
        <f t="shared" si="83"/>
        <v>68</v>
      </c>
      <c r="AY23" s="9"/>
      <c r="AZ23" s="10"/>
      <c r="BA23" s="9"/>
      <c r="BB23" s="10"/>
      <c r="BC23" s="10"/>
      <c r="BD23" s="9"/>
      <c r="BE23" s="9"/>
    </row>
    <row r="24" spans="1:57" x14ac:dyDescent="0.25">
      <c r="A24" s="111"/>
      <c r="B24">
        <f t="shared" si="74"/>
        <v>1</v>
      </c>
      <c r="C24" t="s">
        <v>127</v>
      </c>
      <c r="D24">
        <f t="shared" si="75"/>
        <v>5</v>
      </c>
      <c r="E24">
        <f t="shared" si="76"/>
        <v>547920</v>
      </c>
      <c r="F24">
        <f t="shared" si="67"/>
        <v>0</v>
      </c>
      <c r="G24">
        <f t="shared" si="67"/>
        <v>0</v>
      </c>
      <c r="H24" t="str">
        <f t="shared" si="67"/>
        <v>True</v>
      </c>
      <c r="I24" t="str">
        <f t="shared" si="67"/>
        <v>False</v>
      </c>
      <c r="J24">
        <f t="shared" si="67"/>
        <v>2.894E-2</v>
      </c>
      <c r="K24">
        <f t="shared" si="67"/>
        <v>2.894E-2</v>
      </c>
      <c r="L24">
        <f t="shared" si="67"/>
        <v>6.9999999999999994E-5</v>
      </c>
      <c r="M24">
        <f t="shared" si="67"/>
        <v>0</v>
      </c>
      <c r="N24">
        <f t="shared" si="67"/>
        <v>0</v>
      </c>
      <c r="O24">
        <f t="shared" si="67"/>
        <v>0</v>
      </c>
      <c r="P24">
        <f t="shared" si="67"/>
        <v>0</v>
      </c>
      <c r="Q24">
        <f t="shared" si="67"/>
        <v>0</v>
      </c>
      <c r="R24">
        <f t="shared" si="67"/>
        <v>0</v>
      </c>
      <c r="S24">
        <f t="shared" si="67"/>
        <v>0</v>
      </c>
      <c r="T24" t="str">
        <f t="shared" si="67"/>
        <v>NA</v>
      </c>
      <c r="U24" t="str">
        <f t="shared" si="67"/>
        <v>NA</v>
      </c>
      <c r="V24" t="str">
        <f t="shared" si="67"/>
        <v>NA</v>
      </c>
      <c r="W24" s="1">
        <f t="shared" ref="W24" si="96">W11</f>
        <v>3.8709515855680863E-7</v>
      </c>
      <c r="X24" t="str">
        <f t="shared" si="67"/>
        <v>NA</v>
      </c>
      <c r="Y24" t="str">
        <f t="shared" si="67"/>
        <v>NA</v>
      </c>
      <c r="Z24" t="str">
        <f t="shared" si="67"/>
        <v>NA</v>
      </c>
      <c r="AA24" t="str">
        <f t="shared" si="67"/>
        <v>False</v>
      </c>
      <c r="AB24" t="str">
        <f t="shared" si="67"/>
        <v>NA</v>
      </c>
      <c r="AC24" t="str">
        <f t="shared" si="67"/>
        <v>NA</v>
      </c>
      <c r="AD24" t="str">
        <f t="shared" si="67"/>
        <v>False</v>
      </c>
      <c r="AE24">
        <f t="shared" si="67"/>
        <v>1.0547664351198613E-3</v>
      </c>
      <c r="AF24">
        <f t="shared" si="67"/>
        <v>3.3888553500781266E-4</v>
      </c>
      <c r="AG24">
        <f t="shared" ref="AG24" si="97">AG11</f>
        <v>0</v>
      </c>
      <c r="AH24">
        <f t="shared" si="67"/>
        <v>3.3888553500781263E-3</v>
      </c>
      <c r="AI24">
        <f t="shared" si="67"/>
        <v>1.7931029397037642E-7</v>
      </c>
      <c r="AJ24">
        <f t="shared" si="67"/>
        <v>0</v>
      </c>
      <c r="AK24">
        <f t="shared" si="67"/>
        <v>1.7931029397037642E-7</v>
      </c>
      <c r="AL24">
        <f t="shared" si="67"/>
        <v>8.9655146985188215E-10</v>
      </c>
      <c r="AM24">
        <f t="shared" si="67"/>
        <v>0</v>
      </c>
      <c r="AN24">
        <f t="shared" si="67"/>
        <v>8.9655146985188215E-10</v>
      </c>
      <c r="AO24">
        <f t="shared" ref="AO24" si="98">AO17</f>
        <v>2100</v>
      </c>
      <c r="AP24" t="str">
        <f t="shared" si="24"/>
        <v>NA</v>
      </c>
      <c r="AQ24" s="70">
        <f t="shared" si="14"/>
        <v>5.5878867222163193E-7</v>
      </c>
      <c r="AR24" s="102">
        <f t="shared" si="15"/>
        <v>67.910893172283792</v>
      </c>
      <c r="AS24" s="70">
        <f t="shared" ref="AS24:AU24" si="99">AS11</f>
        <v>9.5</v>
      </c>
      <c r="AT24" s="70">
        <f t="shared" ref="AT24" si="100">AT11</f>
        <v>1889.9390966577716</v>
      </c>
      <c r="AU24" s="70">
        <f t="shared" si="99"/>
        <v>18899.390966577714</v>
      </c>
      <c r="AV24" s="70">
        <f t="shared" ref="AV24" si="101">AV11</f>
        <v>0</v>
      </c>
      <c r="AW24" s="84">
        <f t="shared" si="6"/>
        <v>0</v>
      </c>
      <c r="AX24" s="84">
        <f t="shared" si="83"/>
        <v>68</v>
      </c>
      <c r="AY24" s="9"/>
      <c r="AZ24" s="10"/>
      <c r="BA24" s="9"/>
      <c r="BB24" s="10"/>
      <c r="BC24" s="10"/>
      <c r="BD24" s="9"/>
      <c r="BE24" s="9"/>
    </row>
    <row r="25" spans="1:57" x14ac:dyDescent="0.25">
      <c r="A25" s="111"/>
      <c r="B25">
        <f t="shared" si="74"/>
        <v>1</v>
      </c>
      <c r="C25" t="s">
        <v>127</v>
      </c>
      <c r="D25">
        <f t="shared" si="75"/>
        <v>6</v>
      </c>
      <c r="E25">
        <f t="shared" si="76"/>
        <v>0</v>
      </c>
      <c r="F25">
        <f t="shared" si="67"/>
        <v>0</v>
      </c>
      <c r="G25">
        <f t="shared" si="67"/>
        <v>0</v>
      </c>
      <c r="H25" t="str">
        <f t="shared" si="67"/>
        <v>True</v>
      </c>
      <c r="I25" t="str">
        <f t="shared" si="67"/>
        <v>False</v>
      </c>
      <c r="J25">
        <f t="shared" si="67"/>
        <v>2.894E-2</v>
      </c>
      <c r="K25">
        <f t="shared" si="67"/>
        <v>2.894E-2</v>
      </c>
      <c r="L25">
        <f t="shared" si="67"/>
        <v>5.0000000000000002E-5</v>
      </c>
      <c r="M25">
        <f t="shared" si="67"/>
        <v>0</v>
      </c>
      <c r="N25">
        <f t="shared" si="67"/>
        <v>0</v>
      </c>
      <c r="O25">
        <f t="shared" si="67"/>
        <v>0</v>
      </c>
      <c r="P25">
        <f t="shared" si="67"/>
        <v>0</v>
      </c>
      <c r="Q25">
        <f t="shared" si="67"/>
        <v>0</v>
      </c>
      <c r="R25">
        <f t="shared" si="67"/>
        <v>0</v>
      </c>
      <c r="S25">
        <f t="shared" si="67"/>
        <v>0</v>
      </c>
      <c r="T25" t="str">
        <f t="shared" si="67"/>
        <v>NA</v>
      </c>
      <c r="U25" t="str">
        <f t="shared" si="67"/>
        <v>NA</v>
      </c>
      <c r="V25" t="str">
        <f t="shared" si="67"/>
        <v>NA</v>
      </c>
      <c r="W25" s="1">
        <f t="shared" ref="W25" si="102">W12</f>
        <v>1.9999999999999999E-7</v>
      </c>
      <c r="X25" t="str">
        <f t="shared" si="67"/>
        <v>NA</v>
      </c>
      <c r="Y25" t="str">
        <f t="shared" si="67"/>
        <v>NA</v>
      </c>
      <c r="Z25" t="str">
        <f t="shared" si="67"/>
        <v>NA</v>
      </c>
      <c r="AA25" t="str">
        <f t="shared" si="67"/>
        <v>False</v>
      </c>
      <c r="AB25" t="str">
        <f t="shared" si="67"/>
        <v>NA</v>
      </c>
      <c r="AC25" t="str">
        <f t="shared" si="67"/>
        <v>NA</v>
      </c>
      <c r="AD25" t="str">
        <f t="shared" si="67"/>
        <v>False</v>
      </c>
      <c r="AE25">
        <f t="shared" si="67"/>
        <v>7.4021453290852969E-4</v>
      </c>
      <c r="AF25">
        <f t="shared" si="67"/>
        <v>2.3782326556187717E-4</v>
      </c>
      <c r="AG25">
        <f t="shared" ref="AG25" si="103">AG12</f>
        <v>0</v>
      </c>
      <c r="AH25">
        <f t="shared" si="67"/>
        <v>2.3782326556187716E-3</v>
      </c>
      <c r="AI25">
        <f t="shared" si="67"/>
        <v>1.2583647059445005E-7</v>
      </c>
      <c r="AJ25">
        <f t="shared" si="67"/>
        <v>0</v>
      </c>
      <c r="AK25">
        <f t="shared" si="67"/>
        <v>1.2583647059445005E-7</v>
      </c>
      <c r="AL25">
        <f t="shared" si="67"/>
        <v>6.2918235297225031E-10</v>
      </c>
      <c r="AM25">
        <f t="shared" si="67"/>
        <v>0</v>
      </c>
      <c r="AN25">
        <f t="shared" si="67"/>
        <v>6.2918235297225031E-10</v>
      </c>
      <c r="AO25">
        <f t="shared" ref="AO25" si="104">AO18</f>
        <v>2100</v>
      </c>
      <c r="AP25" t="str">
        <f t="shared" si="24"/>
        <v>NA</v>
      </c>
      <c r="AQ25" s="70">
        <f t="shared" si="14"/>
        <v>3.9214700262632978E-7</v>
      </c>
      <c r="AR25" s="102">
        <f t="shared" si="15"/>
        <v>67.910893172283792</v>
      </c>
      <c r="AS25" s="70">
        <f t="shared" ref="AS25:AU25" si="105">AS12</f>
        <v>9.5</v>
      </c>
      <c r="AT25" s="70">
        <f t="shared" ref="AT25" si="106">AT12</f>
        <v>1889.9390966577716</v>
      </c>
      <c r="AU25" s="70">
        <f t="shared" si="105"/>
        <v>18899.390966577714</v>
      </c>
      <c r="AV25" s="70">
        <f t="shared" ref="AV25" si="107">AV12</f>
        <v>0</v>
      </c>
      <c r="AW25" s="84">
        <f t="shared" si="6"/>
        <v>0</v>
      </c>
      <c r="AX25" s="84">
        <f t="shared" si="83"/>
        <v>68</v>
      </c>
      <c r="AY25" s="9"/>
      <c r="AZ25" s="10"/>
      <c r="BA25" s="9"/>
      <c r="BB25" s="10"/>
      <c r="BC25" s="10"/>
      <c r="BD25" s="9"/>
      <c r="BE25" s="9"/>
    </row>
    <row r="26" spans="1:57" x14ac:dyDescent="0.25">
      <c r="A26" s="111"/>
      <c r="B26">
        <f t="shared" si="74"/>
        <v>1</v>
      </c>
      <c r="C26" t="s">
        <v>143</v>
      </c>
      <c r="D26">
        <f>D8-5</f>
        <v>1</v>
      </c>
      <c r="E26">
        <f>E8</f>
        <v>2191680</v>
      </c>
      <c r="F26">
        <f t="shared" ref="F26:AN30" si="108">F8</f>
        <v>0</v>
      </c>
      <c r="G26">
        <f t="shared" si="108"/>
        <v>0</v>
      </c>
      <c r="H26" t="str">
        <f t="shared" si="108"/>
        <v>True</v>
      </c>
      <c r="I26" t="str">
        <f t="shared" si="108"/>
        <v>False</v>
      </c>
      <c r="J26">
        <f t="shared" si="108"/>
        <v>2.894E-2</v>
      </c>
      <c r="K26">
        <f t="shared" si="108"/>
        <v>2.894E-2</v>
      </c>
      <c r="L26">
        <f t="shared" si="108"/>
        <v>7.2000000000000005E-4</v>
      </c>
      <c r="M26">
        <f t="shared" si="108"/>
        <v>0</v>
      </c>
      <c r="N26">
        <f t="shared" si="108"/>
        <v>0</v>
      </c>
      <c r="O26">
        <f t="shared" si="108"/>
        <v>0</v>
      </c>
      <c r="P26">
        <f t="shared" si="108"/>
        <v>0</v>
      </c>
      <c r="Q26">
        <f t="shared" si="108"/>
        <v>0</v>
      </c>
      <c r="R26">
        <f t="shared" si="108"/>
        <v>0</v>
      </c>
      <c r="S26">
        <f t="shared" si="108"/>
        <v>0</v>
      </c>
      <c r="T26" t="str">
        <f t="shared" si="108"/>
        <v>NA</v>
      </c>
      <c r="U26" t="str">
        <f t="shared" si="108"/>
        <v>NA</v>
      </c>
      <c r="V26" t="str">
        <f t="shared" si="108"/>
        <v>NA</v>
      </c>
      <c r="W26" s="1">
        <f t="shared" ref="W26" si="109">W8</f>
        <v>6.4152407049273701E-6</v>
      </c>
      <c r="X26" t="str">
        <f t="shared" si="108"/>
        <v>NA</v>
      </c>
      <c r="Y26" t="str">
        <f t="shared" si="108"/>
        <v>NA</v>
      </c>
      <c r="Z26" t="str">
        <f t="shared" si="108"/>
        <v>NA</v>
      </c>
      <c r="AA26" t="str">
        <f t="shared" si="108"/>
        <v>False</v>
      </c>
      <c r="AB26" t="str">
        <f t="shared" si="108"/>
        <v>NA</v>
      </c>
      <c r="AC26" t="str">
        <f t="shared" si="108"/>
        <v>NA</v>
      </c>
      <c r="AD26" t="str">
        <f t="shared" si="108"/>
        <v>False</v>
      </c>
      <c r="AE26">
        <f t="shared" si="108"/>
        <v>1.7912645183191897E-2</v>
      </c>
      <c r="AF26">
        <f t="shared" si="108"/>
        <v>5.7551474375663898E-3</v>
      </c>
      <c r="AG26">
        <f t="shared" ref="AG26" si="110">AG8</f>
        <v>0</v>
      </c>
      <c r="AH26">
        <f t="shared" si="108"/>
        <v>5.7551474375663887E-2</v>
      </c>
      <c r="AI26">
        <f t="shared" si="108"/>
        <v>3.0451496811426225E-6</v>
      </c>
      <c r="AJ26">
        <f t="shared" si="108"/>
        <v>0</v>
      </c>
      <c r="AK26">
        <f t="shared" si="108"/>
        <v>3.0451496811426225E-6</v>
      </c>
      <c r="AL26">
        <f t="shared" si="108"/>
        <v>1.5225748405713114E-8</v>
      </c>
      <c r="AM26">
        <f t="shared" si="108"/>
        <v>0</v>
      </c>
      <c r="AN26">
        <f t="shared" si="108"/>
        <v>1.5225748405713114E-8</v>
      </c>
      <c r="AO26">
        <f t="shared" ref="AO26" si="111">AO19</f>
        <v>2100</v>
      </c>
      <c r="AP26" t="str">
        <f t="shared" si="24"/>
        <v>NA</v>
      </c>
      <c r="AQ26" s="70">
        <f t="shared" si="14"/>
        <v>9.4896679346414427E-6</v>
      </c>
      <c r="AR26" s="102">
        <f t="shared" si="15"/>
        <v>67.910893172283792</v>
      </c>
      <c r="AS26" s="70">
        <f t="shared" ref="AS26:AU26" si="112">AS8</f>
        <v>9.5</v>
      </c>
      <c r="AT26" s="70">
        <f t="shared" ref="AT26" si="113">AT8</f>
        <v>1889.9390966577716</v>
      </c>
      <c r="AU26" s="70">
        <f t="shared" si="112"/>
        <v>18899.390966577714</v>
      </c>
      <c r="AV26" s="70">
        <f t="shared" ref="AV26" si="114">AV8</f>
        <v>0</v>
      </c>
      <c r="AW26" s="84">
        <f t="shared" si="6"/>
        <v>0</v>
      </c>
      <c r="AX26" s="84">
        <f>AX8</f>
        <v>68</v>
      </c>
      <c r="AY26" s="9"/>
      <c r="AZ26" s="10"/>
      <c r="BA26" s="9"/>
      <c r="BB26" s="10"/>
      <c r="BC26" s="10"/>
      <c r="BD26" s="9"/>
      <c r="BE26" s="9"/>
    </row>
    <row r="27" spans="1:57" x14ac:dyDescent="0.25">
      <c r="A27" s="111"/>
      <c r="B27">
        <f t="shared" si="74"/>
        <v>1</v>
      </c>
      <c r="C27" t="s">
        <v>143</v>
      </c>
      <c r="D27">
        <f t="shared" ref="D27:D30" si="115">D9-5</f>
        <v>2</v>
      </c>
      <c r="E27">
        <f t="shared" ref="E27:T30" si="116">E9</f>
        <v>1643760</v>
      </c>
      <c r="F27">
        <f t="shared" si="116"/>
        <v>0</v>
      </c>
      <c r="G27">
        <f t="shared" si="116"/>
        <v>0</v>
      </c>
      <c r="H27" t="str">
        <f t="shared" si="116"/>
        <v>True</v>
      </c>
      <c r="I27" t="str">
        <f t="shared" si="116"/>
        <v>False</v>
      </c>
      <c r="J27">
        <f t="shared" si="116"/>
        <v>2.894E-2</v>
      </c>
      <c r="K27">
        <f t="shared" si="116"/>
        <v>2.894E-2</v>
      </c>
      <c r="L27">
        <f t="shared" si="116"/>
        <v>3.1E-4</v>
      </c>
      <c r="M27">
        <f t="shared" si="116"/>
        <v>0</v>
      </c>
      <c r="N27">
        <f t="shared" si="116"/>
        <v>0</v>
      </c>
      <c r="O27">
        <f t="shared" si="116"/>
        <v>0</v>
      </c>
      <c r="P27">
        <f t="shared" si="116"/>
        <v>0</v>
      </c>
      <c r="Q27">
        <f t="shared" si="116"/>
        <v>0</v>
      </c>
      <c r="R27">
        <f t="shared" si="116"/>
        <v>0</v>
      </c>
      <c r="S27">
        <f t="shared" si="116"/>
        <v>0</v>
      </c>
      <c r="T27" t="str">
        <f t="shared" si="116"/>
        <v>NA</v>
      </c>
      <c r="U27" t="str">
        <f t="shared" si="108"/>
        <v>NA</v>
      </c>
      <c r="V27" t="str">
        <f t="shared" si="108"/>
        <v>NA</v>
      </c>
      <c r="W27" s="1">
        <f t="shared" ref="W27" si="117">W9</f>
        <v>2.3349332116543619E-6</v>
      </c>
      <c r="X27" t="str">
        <f t="shared" si="108"/>
        <v>NA</v>
      </c>
      <c r="Y27" t="str">
        <f t="shared" si="108"/>
        <v>NA</v>
      </c>
      <c r="Z27" t="str">
        <f t="shared" si="108"/>
        <v>NA</v>
      </c>
      <c r="AA27" t="str">
        <f t="shared" si="108"/>
        <v>False</v>
      </c>
      <c r="AB27" t="str">
        <f t="shared" si="108"/>
        <v>NA</v>
      </c>
      <c r="AC27" t="str">
        <f t="shared" si="108"/>
        <v>NA</v>
      </c>
      <c r="AD27" t="str">
        <f t="shared" si="108"/>
        <v>False</v>
      </c>
      <c r="AE27">
        <f t="shared" si="108"/>
        <v>6.1942724565379036E-3</v>
      </c>
      <c r="AF27">
        <f t="shared" si="108"/>
        <v>1.9901556074634315E-3</v>
      </c>
      <c r="AG27">
        <f t="shared" ref="AG27" si="118">AG9</f>
        <v>0</v>
      </c>
      <c r="AH27">
        <f t="shared" si="108"/>
        <v>1.9901556074634313E-2</v>
      </c>
      <c r="AI27">
        <f t="shared" si="108"/>
        <v>1.0530263176114436E-6</v>
      </c>
      <c r="AJ27">
        <f t="shared" si="108"/>
        <v>0</v>
      </c>
      <c r="AK27">
        <f t="shared" si="108"/>
        <v>1.0530263176114436E-6</v>
      </c>
      <c r="AL27">
        <f t="shared" si="108"/>
        <v>5.2651315880572185E-9</v>
      </c>
      <c r="AM27">
        <f t="shared" si="108"/>
        <v>0</v>
      </c>
      <c r="AN27">
        <f t="shared" si="108"/>
        <v>5.2651315880572185E-9</v>
      </c>
      <c r="AO27">
        <f t="shared" ref="AO27" si="119">AO20</f>
        <v>2100</v>
      </c>
      <c r="AP27">
        <f t="shared" si="24"/>
        <v>2100</v>
      </c>
      <c r="AQ27" s="70">
        <f t="shared" si="14"/>
        <v>3.281569422499217E-6</v>
      </c>
      <c r="AR27" s="102">
        <f t="shared" si="15"/>
        <v>67.910893172283792</v>
      </c>
      <c r="AS27" s="70">
        <f t="shared" ref="AS27:AU27" si="120">AS9</f>
        <v>9.5</v>
      </c>
      <c r="AT27" s="70">
        <f t="shared" ref="AT27" si="121">AT9</f>
        <v>1889.9390966577716</v>
      </c>
      <c r="AU27" s="70">
        <f t="shared" si="120"/>
        <v>18899.390966577714</v>
      </c>
      <c r="AV27" s="70">
        <f t="shared" ref="AV27" si="122">AV9</f>
        <v>0</v>
      </c>
      <c r="AW27" s="84">
        <f t="shared" si="6"/>
        <v>0</v>
      </c>
      <c r="AX27" s="84">
        <f t="shared" ref="AX27:AX30" si="123">AX9</f>
        <v>68</v>
      </c>
      <c r="AY27" s="9"/>
      <c r="AZ27" s="10"/>
      <c r="BA27" s="9"/>
      <c r="BB27" s="10"/>
      <c r="BC27" s="10"/>
      <c r="BD27" s="9"/>
      <c r="BE27" s="9"/>
    </row>
    <row r="28" spans="1:57" x14ac:dyDescent="0.25">
      <c r="A28" s="111"/>
      <c r="B28">
        <f t="shared" si="74"/>
        <v>1</v>
      </c>
      <c r="C28" t="s">
        <v>143</v>
      </c>
      <c r="D28">
        <f t="shared" si="115"/>
        <v>3</v>
      </c>
      <c r="E28">
        <f t="shared" si="116"/>
        <v>1095840</v>
      </c>
      <c r="F28">
        <f t="shared" si="108"/>
        <v>0</v>
      </c>
      <c r="G28">
        <f t="shared" si="108"/>
        <v>0</v>
      </c>
      <c r="H28" t="str">
        <f t="shared" si="108"/>
        <v>True</v>
      </c>
      <c r="I28" t="str">
        <f t="shared" si="108"/>
        <v>False</v>
      </c>
      <c r="J28">
        <f t="shared" si="108"/>
        <v>2.894E-2</v>
      </c>
      <c r="K28">
        <f t="shared" si="108"/>
        <v>2.894E-2</v>
      </c>
      <c r="L28">
        <f t="shared" si="108"/>
        <v>1.6000000000000001E-4</v>
      </c>
      <c r="M28">
        <f t="shared" si="108"/>
        <v>0</v>
      </c>
      <c r="N28">
        <f t="shared" si="108"/>
        <v>0</v>
      </c>
      <c r="O28">
        <f t="shared" si="108"/>
        <v>0</v>
      </c>
      <c r="P28">
        <f t="shared" si="108"/>
        <v>0</v>
      </c>
      <c r="Q28">
        <f t="shared" si="108"/>
        <v>0</v>
      </c>
      <c r="R28">
        <f t="shared" si="108"/>
        <v>0</v>
      </c>
      <c r="S28">
        <f t="shared" si="108"/>
        <v>0</v>
      </c>
      <c r="T28" t="str">
        <f t="shared" si="108"/>
        <v>NA</v>
      </c>
      <c r="U28" t="str">
        <f t="shared" si="108"/>
        <v>NA</v>
      </c>
      <c r="V28" t="str">
        <f t="shared" si="108"/>
        <v>NA</v>
      </c>
      <c r="W28" s="1">
        <f t="shared" ref="W28" si="124">W10</f>
        <v>9.1658819653476345E-7</v>
      </c>
      <c r="X28" t="str">
        <f t="shared" si="108"/>
        <v>NA</v>
      </c>
      <c r="Y28" t="str">
        <f t="shared" si="108"/>
        <v>NA</v>
      </c>
      <c r="Z28" t="str">
        <f t="shared" si="108"/>
        <v>NA</v>
      </c>
      <c r="AA28" t="str">
        <f t="shared" si="108"/>
        <v>False</v>
      </c>
      <c r="AB28" t="str">
        <f t="shared" si="108"/>
        <v>NA</v>
      </c>
      <c r="AC28" t="str">
        <f t="shared" si="108"/>
        <v>NA</v>
      </c>
      <c r="AD28" t="str">
        <f t="shared" si="108"/>
        <v>False</v>
      </c>
      <c r="AE28">
        <f t="shared" si="108"/>
        <v>2.7455961848723877E-3</v>
      </c>
      <c r="AF28">
        <f t="shared" si="108"/>
        <v>8.8213162748220658E-4</v>
      </c>
      <c r="AG28">
        <f t="shared" ref="AG28" si="125">AG10</f>
        <v>0</v>
      </c>
      <c r="AH28">
        <f t="shared" si="108"/>
        <v>8.8213162748220653E-3</v>
      </c>
      <c r="AI28">
        <f t="shared" si="108"/>
        <v>4.6675135142830591E-7</v>
      </c>
      <c r="AJ28">
        <f t="shared" si="108"/>
        <v>0</v>
      </c>
      <c r="AK28">
        <f t="shared" si="108"/>
        <v>4.6675135142830591E-7</v>
      </c>
      <c r="AL28">
        <f t="shared" si="108"/>
        <v>2.3337567571415298E-9</v>
      </c>
      <c r="AM28">
        <f t="shared" si="108"/>
        <v>0</v>
      </c>
      <c r="AN28">
        <f t="shared" si="108"/>
        <v>2.3337567571415298E-9</v>
      </c>
      <c r="AO28">
        <f t="shared" ref="AO28" si="126">AO21</f>
        <v>2100</v>
      </c>
      <c r="AP28" t="str">
        <f t="shared" si="24"/>
        <v>NA</v>
      </c>
      <c r="AQ28" s="70">
        <f t="shared" si="14"/>
        <v>1.4545476567305404E-6</v>
      </c>
      <c r="AR28" s="102">
        <f t="shared" si="15"/>
        <v>67.910893172283792</v>
      </c>
      <c r="AS28" s="70">
        <f t="shared" ref="AS28:AU28" si="127">AS10</f>
        <v>9.5</v>
      </c>
      <c r="AT28" s="70">
        <f t="shared" ref="AT28" si="128">AT10</f>
        <v>1889.9390966577716</v>
      </c>
      <c r="AU28" s="70">
        <f t="shared" si="127"/>
        <v>18899.390966577714</v>
      </c>
      <c r="AV28" s="70">
        <f t="shared" ref="AV28" si="129">AV10</f>
        <v>0</v>
      </c>
      <c r="AW28" s="84">
        <f t="shared" si="6"/>
        <v>0</v>
      </c>
      <c r="AX28" s="84">
        <f t="shared" si="123"/>
        <v>68</v>
      </c>
      <c r="AY28" s="9"/>
      <c r="AZ28" s="10"/>
      <c r="BA28" s="9"/>
      <c r="BB28" s="10"/>
      <c r="BC28" s="10"/>
      <c r="BD28" s="9"/>
      <c r="BE28" s="9"/>
    </row>
    <row r="29" spans="1:57" x14ac:dyDescent="0.25">
      <c r="A29" s="111"/>
      <c r="B29">
        <f t="shared" si="74"/>
        <v>1</v>
      </c>
      <c r="C29" t="s">
        <v>143</v>
      </c>
      <c r="D29">
        <f t="shared" si="115"/>
        <v>4</v>
      </c>
      <c r="E29">
        <f t="shared" si="116"/>
        <v>547920</v>
      </c>
      <c r="F29">
        <f t="shared" si="108"/>
        <v>0</v>
      </c>
      <c r="G29">
        <f t="shared" si="108"/>
        <v>0</v>
      </c>
      <c r="H29" t="str">
        <f t="shared" si="108"/>
        <v>True</v>
      </c>
      <c r="I29" t="str">
        <f t="shared" si="108"/>
        <v>False</v>
      </c>
      <c r="J29">
        <f t="shared" si="108"/>
        <v>2.894E-2</v>
      </c>
      <c r="K29">
        <f t="shared" si="108"/>
        <v>2.894E-2</v>
      </c>
      <c r="L29">
        <f t="shared" si="108"/>
        <v>6.9999999999999994E-5</v>
      </c>
      <c r="M29">
        <f t="shared" si="108"/>
        <v>0</v>
      </c>
      <c r="N29">
        <f t="shared" si="108"/>
        <v>0</v>
      </c>
      <c r="O29">
        <f t="shared" si="108"/>
        <v>0</v>
      </c>
      <c r="P29">
        <f t="shared" si="108"/>
        <v>0</v>
      </c>
      <c r="Q29">
        <f t="shared" si="108"/>
        <v>0</v>
      </c>
      <c r="R29">
        <f t="shared" si="108"/>
        <v>0</v>
      </c>
      <c r="S29">
        <f t="shared" si="108"/>
        <v>0</v>
      </c>
      <c r="T29" t="str">
        <f t="shared" si="108"/>
        <v>NA</v>
      </c>
      <c r="U29" t="str">
        <f t="shared" si="108"/>
        <v>NA</v>
      </c>
      <c r="V29" t="str">
        <f t="shared" si="108"/>
        <v>NA</v>
      </c>
      <c r="W29" s="1">
        <f t="shared" ref="W29" si="130">W11</f>
        <v>3.8709515855680863E-7</v>
      </c>
      <c r="X29" t="str">
        <f t="shared" si="108"/>
        <v>NA</v>
      </c>
      <c r="Y29" t="str">
        <f t="shared" si="108"/>
        <v>NA</v>
      </c>
      <c r="Z29" t="str">
        <f t="shared" si="108"/>
        <v>NA</v>
      </c>
      <c r="AA29" t="str">
        <f t="shared" si="108"/>
        <v>False</v>
      </c>
      <c r="AB29" t="str">
        <f t="shared" si="108"/>
        <v>NA</v>
      </c>
      <c r="AC29" t="str">
        <f t="shared" si="108"/>
        <v>NA</v>
      </c>
      <c r="AD29" t="str">
        <f t="shared" si="108"/>
        <v>False</v>
      </c>
      <c r="AE29">
        <f t="shared" si="108"/>
        <v>1.0547664351198613E-3</v>
      </c>
      <c r="AF29">
        <f t="shared" si="108"/>
        <v>3.3888553500781266E-4</v>
      </c>
      <c r="AG29">
        <f t="shared" ref="AG29" si="131">AG11</f>
        <v>0</v>
      </c>
      <c r="AH29">
        <f t="shared" si="108"/>
        <v>3.3888553500781263E-3</v>
      </c>
      <c r="AI29">
        <f t="shared" si="108"/>
        <v>1.7931029397037642E-7</v>
      </c>
      <c r="AJ29">
        <f t="shared" si="108"/>
        <v>0</v>
      </c>
      <c r="AK29">
        <f t="shared" si="108"/>
        <v>1.7931029397037642E-7</v>
      </c>
      <c r="AL29">
        <f t="shared" si="108"/>
        <v>8.9655146985188215E-10</v>
      </c>
      <c r="AM29">
        <f t="shared" si="108"/>
        <v>0</v>
      </c>
      <c r="AN29">
        <f t="shared" si="108"/>
        <v>8.9655146985188215E-10</v>
      </c>
      <c r="AO29">
        <f t="shared" ref="AO29" si="132">AO22</f>
        <v>2100</v>
      </c>
      <c r="AP29" t="str">
        <f t="shared" si="24"/>
        <v>NA</v>
      </c>
      <c r="AQ29" s="70">
        <f t="shared" si="14"/>
        <v>5.5878867222163193E-7</v>
      </c>
      <c r="AR29" s="102">
        <f t="shared" si="15"/>
        <v>67.910893172283792</v>
      </c>
      <c r="AS29" s="70">
        <f t="shared" ref="AS29:AU29" si="133">AS11</f>
        <v>9.5</v>
      </c>
      <c r="AT29" s="70">
        <f t="shared" ref="AT29" si="134">AT11</f>
        <v>1889.9390966577716</v>
      </c>
      <c r="AU29" s="70">
        <f t="shared" si="133"/>
        <v>18899.390966577714</v>
      </c>
      <c r="AV29" s="70">
        <f t="shared" ref="AV29" si="135">AV11</f>
        <v>0</v>
      </c>
      <c r="AW29" s="84">
        <f t="shared" si="6"/>
        <v>0</v>
      </c>
      <c r="AX29" s="84">
        <f t="shared" si="123"/>
        <v>68</v>
      </c>
      <c r="AY29" s="9"/>
      <c r="AZ29" s="10"/>
      <c r="BA29" s="9"/>
      <c r="BB29" s="10"/>
      <c r="BC29" s="10"/>
      <c r="BD29" s="9"/>
      <c r="BE29" s="9"/>
    </row>
    <row r="30" spans="1:57" x14ac:dyDescent="0.25">
      <c r="A30" s="111"/>
      <c r="B30">
        <f t="shared" si="74"/>
        <v>1</v>
      </c>
      <c r="C30" t="s">
        <v>143</v>
      </c>
      <c r="D30">
        <f t="shared" si="115"/>
        <v>5</v>
      </c>
      <c r="E30">
        <f t="shared" si="116"/>
        <v>0</v>
      </c>
      <c r="F30">
        <f t="shared" si="108"/>
        <v>0</v>
      </c>
      <c r="G30">
        <f t="shared" si="108"/>
        <v>0</v>
      </c>
      <c r="H30" t="str">
        <f t="shared" si="108"/>
        <v>True</v>
      </c>
      <c r="I30" t="str">
        <f t="shared" si="108"/>
        <v>False</v>
      </c>
      <c r="J30">
        <f t="shared" si="108"/>
        <v>2.894E-2</v>
      </c>
      <c r="K30">
        <f t="shared" si="108"/>
        <v>2.894E-2</v>
      </c>
      <c r="L30">
        <f t="shared" si="108"/>
        <v>5.0000000000000002E-5</v>
      </c>
      <c r="M30">
        <f t="shared" si="108"/>
        <v>0</v>
      </c>
      <c r="N30">
        <f t="shared" si="108"/>
        <v>0</v>
      </c>
      <c r="O30">
        <f t="shared" si="108"/>
        <v>0</v>
      </c>
      <c r="P30">
        <f t="shared" si="108"/>
        <v>0</v>
      </c>
      <c r="Q30">
        <f t="shared" si="108"/>
        <v>0</v>
      </c>
      <c r="R30">
        <f t="shared" si="108"/>
        <v>0</v>
      </c>
      <c r="S30">
        <f t="shared" si="108"/>
        <v>0</v>
      </c>
      <c r="T30" t="str">
        <f t="shared" si="108"/>
        <v>NA</v>
      </c>
      <c r="U30" t="str">
        <f t="shared" si="108"/>
        <v>NA</v>
      </c>
      <c r="V30" t="str">
        <f t="shared" si="108"/>
        <v>NA</v>
      </c>
      <c r="W30" s="1">
        <f t="shared" ref="W30" si="136">W12</f>
        <v>1.9999999999999999E-7</v>
      </c>
      <c r="X30" t="str">
        <f t="shared" si="108"/>
        <v>NA</v>
      </c>
      <c r="Y30" t="str">
        <f t="shared" si="108"/>
        <v>NA</v>
      </c>
      <c r="Z30" t="str">
        <f t="shared" si="108"/>
        <v>NA</v>
      </c>
      <c r="AA30" t="str">
        <f t="shared" si="108"/>
        <v>False</v>
      </c>
      <c r="AB30" t="str">
        <f t="shared" si="108"/>
        <v>NA</v>
      </c>
      <c r="AC30" t="str">
        <f t="shared" si="108"/>
        <v>NA</v>
      </c>
      <c r="AD30" t="str">
        <f t="shared" si="108"/>
        <v>False</v>
      </c>
      <c r="AE30">
        <f t="shared" si="108"/>
        <v>7.4021453290852969E-4</v>
      </c>
      <c r="AF30">
        <f t="shared" si="108"/>
        <v>2.3782326556187717E-4</v>
      </c>
      <c r="AG30">
        <f t="shared" ref="AG30" si="137">AG12</f>
        <v>0</v>
      </c>
      <c r="AH30">
        <f t="shared" si="108"/>
        <v>2.3782326556187716E-3</v>
      </c>
      <c r="AI30">
        <f t="shared" si="108"/>
        <v>1.2583647059445005E-7</v>
      </c>
      <c r="AJ30">
        <f t="shared" si="108"/>
        <v>0</v>
      </c>
      <c r="AK30">
        <f t="shared" si="108"/>
        <v>1.2583647059445005E-7</v>
      </c>
      <c r="AL30">
        <f t="shared" si="108"/>
        <v>6.2918235297225031E-10</v>
      </c>
      <c r="AM30">
        <f t="shared" si="108"/>
        <v>0</v>
      </c>
      <c r="AN30">
        <f t="shared" si="108"/>
        <v>6.2918235297225031E-10</v>
      </c>
      <c r="AO30">
        <f t="shared" ref="AO30" si="138">AO23</f>
        <v>2100</v>
      </c>
      <c r="AP30" t="str">
        <f t="shared" si="24"/>
        <v>NA</v>
      </c>
      <c r="AQ30" s="70">
        <f t="shared" si="14"/>
        <v>3.9214700262632978E-7</v>
      </c>
      <c r="AR30" s="102">
        <f t="shared" si="15"/>
        <v>67.910893172283792</v>
      </c>
      <c r="AS30" s="70">
        <f t="shared" ref="AS30:AU30" si="139">AS12</f>
        <v>9.5</v>
      </c>
      <c r="AT30" s="70">
        <f t="shared" ref="AT30" si="140">AT12</f>
        <v>1889.9390966577716</v>
      </c>
      <c r="AU30" s="70">
        <f t="shared" si="139"/>
        <v>18899.390966577714</v>
      </c>
      <c r="AV30" s="70">
        <f t="shared" ref="AV30" si="141">AV12</f>
        <v>0</v>
      </c>
      <c r="AW30" s="84">
        <f t="shared" si="6"/>
        <v>0</v>
      </c>
      <c r="AX30" s="84">
        <f t="shared" si="123"/>
        <v>68</v>
      </c>
      <c r="AY30" s="9"/>
      <c r="AZ30" s="10"/>
      <c r="BA30" s="9"/>
      <c r="BB30" s="10"/>
      <c r="BC30" s="10"/>
      <c r="BD30" s="9"/>
      <c r="BE30" s="9"/>
    </row>
    <row r="31" spans="1:57" x14ac:dyDescent="0.25">
      <c r="A31" s="111"/>
      <c r="B31">
        <f t="shared" si="74"/>
        <v>1</v>
      </c>
      <c r="C31" t="s">
        <v>144</v>
      </c>
      <c r="D31">
        <f>D9-6</f>
        <v>1</v>
      </c>
      <c r="E31">
        <f>E9</f>
        <v>1643760</v>
      </c>
      <c r="F31">
        <f t="shared" ref="F31:AN34" si="142">F9</f>
        <v>0</v>
      </c>
      <c r="G31">
        <f t="shared" si="142"/>
        <v>0</v>
      </c>
      <c r="H31" t="str">
        <f t="shared" si="142"/>
        <v>True</v>
      </c>
      <c r="I31" t="str">
        <f t="shared" si="142"/>
        <v>False</v>
      </c>
      <c r="J31">
        <f t="shared" si="142"/>
        <v>2.894E-2</v>
      </c>
      <c r="K31">
        <f t="shared" si="142"/>
        <v>2.894E-2</v>
      </c>
      <c r="L31">
        <f t="shared" si="142"/>
        <v>3.1E-4</v>
      </c>
      <c r="M31">
        <f t="shared" si="142"/>
        <v>0</v>
      </c>
      <c r="N31">
        <f t="shared" si="142"/>
        <v>0</v>
      </c>
      <c r="O31">
        <f t="shared" si="142"/>
        <v>0</v>
      </c>
      <c r="P31">
        <f t="shared" si="142"/>
        <v>0</v>
      </c>
      <c r="Q31">
        <f t="shared" si="142"/>
        <v>0</v>
      </c>
      <c r="R31">
        <f t="shared" si="142"/>
        <v>0</v>
      </c>
      <c r="S31">
        <f t="shared" si="142"/>
        <v>0</v>
      </c>
      <c r="T31" t="str">
        <f t="shared" si="142"/>
        <v>NA</v>
      </c>
      <c r="U31" t="str">
        <f t="shared" si="142"/>
        <v>NA</v>
      </c>
      <c r="V31" t="str">
        <f t="shared" si="142"/>
        <v>NA</v>
      </c>
      <c r="W31" s="1">
        <f t="shared" ref="W31" si="143">W9</f>
        <v>2.3349332116543619E-6</v>
      </c>
      <c r="X31" t="str">
        <f t="shared" si="142"/>
        <v>NA</v>
      </c>
      <c r="Y31" t="str">
        <f t="shared" si="142"/>
        <v>NA</v>
      </c>
      <c r="Z31" t="str">
        <f t="shared" si="142"/>
        <v>NA</v>
      </c>
      <c r="AA31" t="str">
        <f t="shared" si="142"/>
        <v>False</v>
      </c>
      <c r="AB31" t="str">
        <f t="shared" si="142"/>
        <v>NA</v>
      </c>
      <c r="AC31" t="str">
        <f t="shared" si="142"/>
        <v>NA</v>
      </c>
      <c r="AD31" t="str">
        <f t="shared" si="142"/>
        <v>False</v>
      </c>
      <c r="AE31">
        <f t="shared" si="142"/>
        <v>6.1942724565379036E-3</v>
      </c>
      <c r="AF31">
        <f t="shared" si="142"/>
        <v>1.9901556074634315E-3</v>
      </c>
      <c r="AG31">
        <f t="shared" ref="AG31" si="144">AG9</f>
        <v>0</v>
      </c>
      <c r="AH31">
        <f t="shared" si="142"/>
        <v>1.9901556074634313E-2</v>
      </c>
      <c r="AI31">
        <f t="shared" si="142"/>
        <v>1.0530263176114436E-6</v>
      </c>
      <c r="AJ31">
        <f t="shared" si="142"/>
        <v>0</v>
      </c>
      <c r="AK31">
        <f t="shared" si="142"/>
        <v>1.0530263176114436E-6</v>
      </c>
      <c r="AL31">
        <f t="shared" si="142"/>
        <v>5.2651315880572185E-9</v>
      </c>
      <c r="AM31">
        <f t="shared" si="142"/>
        <v>0</v>
      </c>
      <c r="AN31">
        <f t="shared" si="142"/>
        <v>5.2651315880572185E-9</v>
      </c>
      <c r="AO31">
        <f t="shared" ref="AO31" si="145">AO24</f>
        <v>2100</v>
      </c>
      <c r="AP31" t="str">
        <f t="shared" si="24"/>
        <v>NA</v>
      </c>
      <c r="AQ31" s="70">
        <f t="shared" si="14"/>
        <v>3.281569422499217E-6</v>
      </c>
      <c r="AR31" s="102">
        <f t="shared" si="15"/>
        <v>67.910893172283792</v>
      </c>
      <c r="AS31" s="70">
        <f t="shared" ref="AS31:AU31" si="146">AS9</f>
        <v>9.5</v>
      </c>
      <c r="AT31" s="70">
        <f t="shared" ref="AT31" si="147">AT9</f>
        <v>1889.9390966577716</v>
      </c>
      <c r="AU31" s="70">
        <f t="shared" si="146"/>
        <v>18899.390966577714</v>
      </c>
      <c r="AV31" s="70">
        <f t="shared" ref="AV31" si="148">AV9</f>
        <v>0</v>
      </c>
      <c r="AW31" s="84">
        <f t="shared" si="6"/>
        <v>0</v>
      </c>
      <c r="AX31" s="84">
        <f>AX16</f>
        <v>68</v>
      </c>
      <c r="AY31" s="9"/>
      <c r="AZ31" s="10"/>
      <c r="BA31" s="9"/>
      <c r="BB31" s="10"/>
      <c r="BC31" s="10"/>
      <c r="BD31" s="9"/>
      <c r="BE31" s="9"/>
    </row>
    <row r="32" spans="1:57" x14ac:dyDescent="0.25">
      <c r="A32" s="111"/>
      <c r="B32">
        <f t="shared" si="74"/>
        <v>1</v>
      </c>
      <c r="C32" t="s">
        <v>144</v>
      </c>
      <c r="D32">
        <f t="shared" ref="D32:D34" si="149">D10-6</f>
        <v>2</v>
      </c>
      <c r="E32">
        <f t="shared" ref="E32:T34" si="150">E10</f>
        <v>1095840</v>
      </c>
      <c r="F32">
        <f t="shared" si="150"/>
        <v>0</v>
      </c>
      <c r="G32">
        <f t="shared" si="150"/>
        <v>0</v>
      </c>
      <c r="H32" t="str">
        <f t="shared" si="150"/>
        <v>True</v>
      </c>
      <c r="I32" t="str">
        <f t="shared" si="150"/>
        <v>False</v>
      </c>
      <c r="J32">
        <f t="shared" si="150"/>
        <v>2.894E-2</v>
      </c>
      <c r="K32">
        <f t="shared" si="150"/>
        <v>2.894E-2</v>
      </c>
      <c r="L32">
        <f t="shared" si="150"/>
        <v>1.6000000000000001E-4</v>
      </c>
      <c r="M32">
        <f t="shared" si="150"/>
        <v>0</v>
      </c>
      <c r="N32">
        <f t="shared" si="150"/>
        <v>0</v>
      </c>
      <c r="O32">
        <f t="shared" si="150"/>
        <v>0</v>
      </c>
      <c r="P32">
        <f t="shared" si="150"/>
        <v>0</v>
      </c>
      <c r="Q32">
        <f t="shared" si="150"/>
        <v>0</v>
      </c>
      <c r="R32">
        <f t="shared" si="150"/>
        <v>0</v>
      </c>
      <c r="S32">
        <f t="shared" si="150"/>
        <v>0</v>
      </c>
      <c r="T32" t="str">
        <f t="shared" si="150"/>
        <v>NA</v>
      </c>
      <c r="U32" t="str">
        <f t="shared" si="142"/>
        <v>NA</v>
      </c>
      <c r="V32" t="str">
        <f t="shared" si="142"/>
        <v>NA</v>
      </c>
      <c r="W32" s="1">
        <f t="shared" ref="W32" si="151">W10</f>
        <v>9.1658819653476345E-7</v>
      </c>
      <c r="X32" t="str">
        <f t="shared" si="142"/>
        <v>NA</v>
      </c>
      <c r="Y32" t="str">
        <f t="shared" si="142"/>
        <v>NA</v>
      </c>
      <c r="Z32" t="str">
        <f t="shared" si="142"/>
        <v>NA</v>
      </c>
      <c r="AA32" t="str">
        <f t="shared" si="142"/>
        <v>False</v>
      </c>
      <c r="AB32" t="str">
        <f t="shared" si="142"/>
        <v>NA</v>
      </c>
      <c r="AC32" t="str">
        <f t="shared" si="142"/>
        <v>NA</v>
      </c>
      <c r="AD32" t="str">
        <f t="shared" si="142"/>
        <v>False</v>
      </c>
      <c r="AE32">
        <f t="shared" si="142"/>
        <v>2.7455961848723877E-3</v>
      </c>
      <c r="AF32">
        <f t="shared" si="142"/>
        <v>8.8213162748220658E-4</v>
      </c>
      <c r="AG32">
        <f t="shared" ref="AG32" si="152">AG10</f>
        <v>0</v>
      </c>
      <c r="AH32">
        <f t="shared" si="142"/>
        <v>8.8213162748220653E-3</v>
      </c>
      <c r="AI32">
        <f t="shared" si="142"/>
        <v>4.6675135142830591E-7</v>
      </c>
      <c r="AJ32">
        <f t="shared" si="142"/>
        <v>0</v>
      </c>
      <c r="AK32">
        <f t="shared" si="142"/>
        <v>4.6675135142830591E-7</v>
      </c>
      <c r="AL32">
        <f t="shared" si="142"/>
        <v>2.3337567571415298E-9</v>
      </c>
      <c r="AM32">
        <f t="shared" si="142"/>
        <v>0</v>
      </c>
      <c r="AN32">
        <f t="shared" si="142"/>
        <v>2.3337567571415298E-9</v>
      </c>
      <c r="AO32">
        <f t="shared" ref="AO32" si="153">AO25</f>
        <v>2100</v>
      </c>
      <c r="AP32" t="str">
        <f t="shared" si="24"/>
        <v>NA</v>
      </c>
      <c r="AQ32" s="70">
        <f t="shared" si="14"/>
        <v>1.4545476567305404E-6</v>
      </c>
      <c r="AR32" s="102">
        <f t="shared" si="15"/>
        <v>67.910893172283792</v>
      </c>
      <c r="AS32" s="70">
        <f t="shared" ref="AS32:AU32" si="154">AS10</f>
        <v>9.5</v>
      </c>
      <c r="AT32" s="70">
        <f t="shared" ref="AT32" si="155">AT10</f>
        <v>1889.9390966577716</v>
      </c>
      <c r="AU32" s="70">
        <f t="shared" si="154"/>
        <v>18899.390966577714</v>
      </c>
      <c r="AV32" s="70">
        <f t="shared" ref="AV32" si="156">AV10</f>
        <v>0</v>
      </c>
      <c r="AW32" s="84">
        <f t="shared" si="6"/>
        <v>0</v>
      </c>
      <c r="AX32" s="84">
        <f t="shared" ref="AX32:AX34" si="157">AX17</f>
        <v>68</v>
      </c>
      <c r="AY32" s="9"/>
      <c r="AZ32" s="10"/>
      <c r="BA32" s="9"/>
      <c r="BB32" s="10"/>
      <c r="BC32" s="10"/>
      <c r="BD32" s="9"/>
      <c r="BE32" s="9"/>
    </row>
    <row r="33" spans="1:57" x14ac:dyDescent="0.25">
      <c r="A33" s="111"/>
      <c r="B33">
        <f t="shared" si="74"/>
        <v>1</v>
      </c>
      <c r="C33" t="s">
        <v>144</v>
      </c>
      <c r="D33">
        <f t="shared" si="149"/>
        <v>3</v>
      </c>
      <c r="E33">
        <f t="shared" si="150"/>
        <v>547920</v>
      </c>
      <c r="F33">
        <f t="shared" si="142"/>
        <v>0</v>
      </c>
      <c r="G33">
        <f t="shared" si="142"/>
        <v>0</v>
      </c>
      <c r="H33" t="str">
        <f t="shared" si="142"/>
        <v>True</v>
      </c>
      <c r="I33" t="str">
        <f t="shared" si="142"/>
        <v>False</v>
      </c>
      <c r="J33">
        <f t="shared" si="142"/>
        <v>2.894E-2</v>
      </c>
      <c r="K33">
        <f t="shared" si="142"/>
        <v>2.894E-2</v>
      </c>
      <c r="L33">
        <f t="shared" si="142"/>
        <v>6.9999999999999994E-5</v>
      </c>
      <c r="M33">
        <f t="shared" si="142"/>
        <v>0</v>
      </c>
      <c r="N33">
        <f t="shared" si="142"/>
        <v>0</v>
      </c>
      <c r="O33">
        <f t="shared" si="142"/>
        <v>0</v>
      </c>
      <c r="P33">
        <f t="shared" si="142"/>
        <v>0</v>
      </c>
      <c r="Q33">
        <f t="shared" si="142"/>
        <v>0</v>
      </c>
      <c r="R33">
        <f t="shared" si="142"/>
        <v>0</v>
      </c>
      <c r="S33">
        <f t="shared" si="142"/>
        <v>0</v>
      </c>
      <c r="T33" t="str">
        <f t="shared" si="142"/>
        <v>NA</v>
      </c>
      <c r="U33" t="str">
        <f t="shared" si="142"/>
        <v>NA</v>
      </c>
      <c r="V33" t="str">
        <f t="shared" si="142"/>
        <v>NA</v>
      </c>
      <c r="W33" s="1">
        <f t="shared" ref="W33" si="158">W11</f>
        <v>3.8709515855680863E-7</v>
      </c>
      <c r="X33" t="str">
        <f t="shared" si="142"/>
        <v>NA</v>
      </c>
      <c r="Y33" t="str">
        <f t="shared" si="142"/>
        <v>NA</v>
      </c>
      <c r="Z33" t="str">
        <f t="shared" si="142"/>
        <v>NA</v>
      </c>
      <c r="AA33" t="str">
        <f t="shared" si="142"/>
        <v>False</v>
      </c>
      <c r="AB33" t="str">
        <f t="shared" si="142"/>
        <v>NA</v>
      </c>
      <c r="AC33" t="str">
        <f t="shared" si="142"/>
        <v>NA</v>
      </c>
      <c r="AD33" t="str">
        <f t="shared" si="142"/>
        <v>False</v>
      </c>
      <c r="AE33">
        <f t="shared" si="142"/>
        <v>1.0547664351198613E-3</v>
      </c>
      <c r="AF33">
        <f t="shared" si="142"/>
        <v>3.3888553500781266E-4</v>
      </c>
      <c r="AG33">
        <f t="shared" ref="AG33" si="159">AG11</f>
        <v>0</v>
      </c>
      <c r="AH33">
        <f t="shared" si="142"/>
        <v>3.3888553500781263E-3</v>
      </c>
      <c r="AI33">
        <f t="shared" si="142"/>
        <v>1.7931029397037642E-7</v>
      </c>
      <c r="AJ33">
        <f t="shared" si="142"/>
        <v>0</v>
      </c>
      <c r="AK33">
        <f t="shared" si="142"/>
        <v>1.7931029397037642E-7</v>
      </c>
      <c r="AL33">
        <f t="shared" si="142"/>
        <v>8.9655146985188215E-10</v>
      </c>
      <c r="AM33">
        <f t="shared" si="142"/>
        <v>0</v>
      </c>
      <c r="AN33">
        <f t="shared" si="142"/>
        <v>8.9655146985188215E-10</v>
      </c>
      <c r="AO33">
        <f t="shared" ref="AO33" si="160">AO26</f>
        <v>2100</v>
      </c>
      <c r="AP33" t="str">
        <f t="shared" si="24"/>
        <v>NA</v>
      </c>
      <c r="AQ33" s="70">
        <f t="shared" si="14"/>
        <v>5.5878867222163193E-7</v>
      </c>
      <c r="AR33" s="102">
        <f t="shared" si="15"/>
        <v>67.910893172283792</v>
      </c>
      <c r="AS33" s="70">
        <f t="shared" ref="AS33:AU33" si="161">AS11</f>
        <v>9.5</v>
      </c>
      <c r="AT33" s="70">
        <f t="shared" ref="AT33" si="162">AT11</f>
        <v>1889.9390966577716</v>
      </c>
      <c r="AU33" s="70">
        <f t="shared" si="161"/>
        <v>18899.390966577714</v>
      </c>
      <c r="AV33" s="70">
        <f t="shared" ref="AV33" si="163">AV11</f>
        <v>0</v>
      </c>
      <c r="AW33" s="84">
        <f t="shared" si="6"/>
        <v>0</v>
      </c>
      <c r="AX33" s="84">
        <f t="shared" si="157"/>
        <v>68</v>
      </c>
      <c r="AY33" s="9"/>
      <c r="AZ33" s="10"/>
      <c r="BA33" s="9"/>
      <c r="BB33" s="10"/>
      <c r="BC33" s="10"/>
      <c r="BD33" s="9"/>
      <c r="BE33" s="9"/>
    </row>
    <row r="34" spans="1:57" x14ac:dyDescent="0.25">
      <c r="A34" s="111"/>
      <c r="B34">
        <f t="shared" si="74"/>
        <v>1</v>
      </c>
      <c r="C34" t="s">
        <v>144</v>
      </c>
      <c r="D34">
        <f t="shared" si="149"/>
        <v>4</v>
      </c>
      <c r="E34">
        <f t="shared" si="150"/>
        <v>0</v>
      </c>
      <c r="F34">
        <f t="shared" si="142"/>
        <v>0</v>
      </c>
      <c r="G34">
        <f t="shared" si="142"/>
        <v>0</v>
      </c>
      <c r="H34" t="str">
        <f t="shared" si="142"/>
        <v>True</v>
      </c>
      <c r="I34" t="str">
        <f t="shared" si="142"/>
        <v>False</v>
      </c>
      <c r="J34">
        <f t="shared" si="142"/>
        <v>2.894E-2</v>
      </c>
      <c r="K34">
        <f t="shared" si="142"/>
        <v>2.894E-2</v>
      </c>
      <c r="L34">
        <f t="shared" si="142"/>
        <v>5.0000000000000002E-5</v>
      </c>
      <c r="M34">
        <f t="shared" si="142"/>
        <v>0</v>
      </c>
      <c r="N34">
        <f t="shared" si="142"/>
        <v>0</v>
      </c>
      <c r="O34">
        <f t="shared" si="142"/>
        <v>0</v>
      </c>
      <c r="P34">
        <f t="shared" si="142"/>
        <v>0</v>
      </c>
      <c r="Q34">
        <f t="shared" si="142"/>
        <v>0</v>
      </c>
      <c r="R34">
        <f t="shared" si="142"/>
        <v>0</v>
      </c>
      <c r="S34">
        <f t="shared" si="142"/>
        <v>0</v>
      </c>
      <c r="T34" t="str">
        <f t="shared" si="142"/>
        <v>NA</v>
      </c>
      <c r="U34" t="str">
        <f t="shared" si="142"/>
        <v>NA</v>
      </c>
      <c r="V34" t="str">
        <f t="shared" si="142"/>
        <v>NA</v>
      </c>
      <c r="W34" s="1">
        <f t="shared" ref="W34" si="164">W12</f>
        <v>1.9999999999999999E-7</v>
      </c>
      <c r="X34" t="str">
        <f t="shared" si="142"/>
        <v>NA</v>
      </c>
      <c r="Y34" t="str">
        <f t="shared" si="142"/>
        <v>NA</v>
      </c>
      <c r="Z34" t="str">
        <f t="shared" si="142"/>
        <v>NA</v>
      </c>
      <c r="AA34" t="str">
        <f t="shared" si="142"/>
        <v>False</v>
      </c>
      <c r="AB34" t="str">
        <f t="shared" si="142"/>
        <v>NA</v>
      </c>
      <c r="AC34" t="str">
        <f t="shared" si="142"/>
        <v>NA</v>
      </c>
      <c r="AD34" t="str">
        <f t="shared" si="142"/>
        <v>False</v>
      </c>
      <c r="AE34">
        <f t="shared" si="142"/>
        <v>7.4021453290852969E-4</v>
      </c>
      <c r="AF34">
        <f t="shared" si="142"/>
        <v>2.3782326556187717E-4</v>
      </c>
      <c r="AG34">
        <f t="shared" ref="AG34" si="165">AG12</f>
        <v>0</v>
      </c>
      <c r="AH34">
        <f t="shared" si="142"/>
        <v>2.3782326556187716E-3</v>
      </c>
      <c r="AI34">
        <f t="shared" si="142"/>
        <v>1.2583647059445005E-7</v>
      </c>
      <c r="AJ34">
        <f t="shared" si="142"/>
        <v>0</v>
      </c>
      <c r="AK34">
        <f t="shared" si="142"/>
        <v>1.2583647059445005E-7</v>
      </c>
      <c r="AL34">
        <f t="shared" si="142"/>
        <v>6.2918235297225031E-10</v>
      </c>
      <c r="AM34">
        <f t="shared" si="142"/>
        <v>0</v>
      </c>
      <c r="AN34">
        <f t="shared" si="142"/>
        <v>6.2918235297225031E-10</v>
      </c>
      <c r="AO34">
        <f t="shared" ref="AO34" si="166">AO27</f>
        <v>2100</v>
      </c>
      <c r="AP34">
        <f t="shared" si="24"/>
        <v>2100</v>
      </c>
      <c r="AQ34" s="73">
        <f t="shared" si="14"/>
        <v>3.9214700262632978E-7</v>
      </c>
      <c r="AR34" s="103">
        <f t="shared" si="15"/>
        <v>67.910893172283792</v>
      </c>
      <c r="AS34" s="73">
        <f t="shared" ref="AS34:AU34" si="167">AS12</f>
        <v>9.5</v>
      </c>
      <c r="AT34" s="73">
        <f t="shared" ref="AT34" si="168">AT12</f>
        <v>1889.9390966577716</v>
      </c>
      <c r="AU34" s="73">
        <f t="shared" si="167"/>
        <v>18899.390966577714</v>
      </c>
      <c r="AV34" s="73">
        <f t="shared" ref="AV34" si="169">AV12</f>
        <v>0</v>
      </c>
      <c r="AW34" s="84">
        <f t="shared" si="6"/>
        <v>0</v>
      </c>
      <c r="AX34" s="84">
        <f t="shared" si="157"/>
        <v>68</v>
      </c>
      <c r="AY34" s="9"/>
      <c r="AZ34" s="10"/>
      <c r="BA34" s="9"/>
      <c r="BB34" s="10"/>
      <c r="BC34" s="10"/>
      <c r="BD34" s="9"/>
      <c r="BE34" s="9"/>
    </row>
    <row r="35" spans="1:57" x14ac:dyDescent="0.25">
      <c r="A35" s="6"/>
      <c r="X35" s="1"/>
      <c r="Y35" s="1"/>
      <c r="Z35" s="1"/>
      <c r="AA35" s="1"/>
      <c r="AB35" s="1"/>
      <c r="AC35" s="1"/>
      <c r="AD35" s="1"/>
      <c r="AE35" s="1"/>
      <c r="AF35" s="1"/>
    </row>
    <row r="36" spans="1:57" s="4" customFormat="1" x14ac:dyDescent="0.25">
      <c r="A36" s="111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Q36" s="25"/>
      <c r="AR36" s="80" t="s">
        <v>21</v>
      </c>
      <c r="AS36" s="80" t="s">
        <v>139</v>
      </c>
      <c r="AT36" s="81" t="s">
        <v>116</v>
      </c>
      <c r="AU36" s="51"/>
      <c r="AV36" s="51"/>
      <c r="AW36" s="51"/>
    </row>
    <row r="37" spans="1:57" x14ac:dyDescent="0.25">
      <c r="A37" s="111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4.3023282082452321E-3</v>
      </c>
      <c r="K37">
        <f>J37*0.005</f>
        <v>2.1511641041226162E-5</v>
      </c>
      <c r="L37">
        <f>J37*$W37</f>
        <v>1.7741886232211572</v>
      </c>
      <c r="M37">
        <f t="shared" ref="M37:M42" si="170">J37*$X37</f>
        <v>17.74188623221157</v>
      </c>
      <c r="N37">
        <f t="shared" ref="N37:N42" si="171">AA37*$J37</f>
        <v>0</v>
      </c>
      <c r="O37" s="1">
        <f t="shared" ref="O37:O42" si="172">J37*$AB$38</f>
        <v>25.307812989677835</v>
      </c>
      <c r="P37">
        <v>1.9556037310205601E-4</v>
      </c>
      <c r="Q37" s="1">
        <f t="shared" ref="Q37:Q42" si="173">J37*$AC37</f>
        <v>0.36569789770084471</v>
      </c>
      <c r="R37">
        <v>4400</v>
      </c>
      <c r="S37">
        <v>0</v>
      </c>
      <c r="T37">
        <v>0</v>
      </c>
      <c r="U37" s="15">
        <f>INPUTS!U15</f>
        <v>22</v>
      </c>
      <c r="V37" s="15">
        <f>INPUTS!V15</f>
        <v>4.3</v>
      </c>
      <c r="W37" s="15">
        <f t="shared" ref="W37:W42" si="174">(($V37/100)*(1+$AB$38*$E$53)-$Y$38)/(((1+1/$X$45)*(14*10^(-6)))-(($J$53/$X$45+$F$53)*$V37/100))</f>
        <v>412.37872550518085</v>
      </c>
      <c r="X37" s="15">
        <f>$W37/$X$45</f>
        <v>4123.7872550518086</v>
      </c>
      <c r="Y37" s="80" t="s">
        <v>43</v>
      </c>
      <c r="Z37" s="80" t="s">
        <v>27</v>
      </c>
      <c r="AA37" s="89">
        <f t="shared" ref="AA37:AA42" si="175">IF(F37="HiddenElement",$AA$44/100/(1-$X$55)*$X$54*10^6/$X$52,0)</f>
        <v>0</v>
      </c>
      <c r="AB37" s="88" t="s">
        <v>21</v>
      </c>
      <c r="AC37" s="15">
        <f>ROUND(X37/$AU$6*$AC$45,0)</f>
        <v>85</v>
      </c>
      <c r="AD37" s="15">
        <f>J37+L37*$F$53+M37*$J$53+O37*$E$53</f>
        <v>6.8543416050531256E-3</v>
      </c>
      <c r="AE37" s="71">
        <f>(1-J37/AD37)*100</f>
        <v>37.232071931263391</v>
      </c>
      <c r="AF37" s="1"/>
      <c r="AQ37" s="82"/>
      <c r="AR37" s="84">
        <f>$AR$38/100/(1-$X$55)*$X$54*10^6/$X$52</f>
        <v>5882.3529411764703</v>
      </c>
      <c r="AS37" s="84">
        <f>$AS$38/100/(1-$X$55)*$X$54*10^6/$X$52</f>
        <v>5882.3529411764703</v>
      </c>
      <c r="AT37" s="85">
        <f>AS37+AR37</f>
        <v>11764.705882352941</v>
      </c>
      <c r="AU37" s="97"/>
      <c r="AV37" s="97"/>
      <c r="AW37" s="97"/>
    </row>
    <row r="38" spans="1:57" x14ac:dyDescent="0.25">
      <c r="A38" s="111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176">J38*0.005</f>
        <v>8.5499999999999995E-6</v>
      </c>
      <c r="L38">
        <f>J38*$W38</f>
        <v>0.20231970075485131</v>
      </c>
      <c r="M38">
        <f t="shared" si="170"/>
        <v>2.0231970075485135</v>
      </c>
      <c r="N38">
        <f t="shared" si="171"/>
        <v>0</v>
      </c>
      <c r="O38" s="1">
        <f t="shared" si="172"/>
        <v>10.058823529411764</v>
      </c>
      <c r="P38">
        <v>2.6899999999999998E-4</v>
      </c>
      <c r="Q38" s="1">
        <f t="shared" si="173"/>
        <v>4.104E-2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74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9">
        <f t="shared" si="175"/>
        <v>0</v>
      </c>
      <c r="AB38" s="56">
        <f>$AB$39/100/(1-$X$55)*$X$54*10^6/$X$52</f>
        <v>5882.3529411764703</v>
      </c>
      <c r="AC38" s="15">
        <f t="shared" ref="AC38:AC42" si="177">ROUND(X38/$AU$6*$AC$45,0)</f>
        <v>24</v>
      </c>
      <c r="AD38" s="15">
        <f t="shared" ref="AD38:AD42" si="178">J38+L38*$F$53+M38*$J$53+O38*$E$53</f>
        <v>2.2059574397915059E-3</v>
      </c>
      <c r="AE38" s="71">
        <f t="shared" ref="AE38:AE42" si="179">(1-J38/AD38)*100</f>
        <v>22.482638642311294</v>
      </c>
      <c r="AF38" s="1"/>
      <c r="AQ38" s="83" t="s">
        <v>140</v>
      </c>
      <c r="AR38" s="86">
        <v>10</v>
      </c>
      <c r="AS38" s="86">
        <v>10</v>
      </c>
      <c r="AT38" s="87">
        <f>AS38+AR38</f>
        <v>20</v>
      </c>
      <c r="AU38" s="98"/>
      <c r="AV38" s="98"/>
      <c r="AW38" s="98"/>
    </row>
    <row r="39" spans="1:57" x14ac:dyDescent="0.25">
      <c r="A39" s="111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5.0680069287428898E-3</v>
      </c>
      <c r="K39">
        <f t="shared" si="176"/>
        <v>2.5340034643714449E-5</v>
      </c>
      <c r="L39">
        <f t="shared" ref="L39:L42" si="180">J39*$W39</f>
        <v>2.4761936124967816</v>
      </c>
      <c r="M39">
        <f t="shared" si="170"/>
        <v>24.761936124967814</v>
      </c>
      <c r="N39">
        <f t="shared" si="171"/>
        <v>0</v>
      </c>
      <c r="O39" s="1">
        <f t="shared" si="172"/>
        <v>29.811805463193469</v>
      </c>
      <c r="P39">
        <v>2.3036395130649501E-4</v>
      </c>
      <c r="Q39" s="1">
        <f t="shared" si="173"/>
        <v>0.51186869980303185</v>
      </c>
      <c r="R39">
        <v>4400</v>
      </c>
      <c r="S39">
        <v>0</v>
      </c>
      <c r="T39">
        <v>0</v>
      </c>
      <c r="U39" s="15">
        <f>INPUTS!U17</f>
        <v>22</v>
      </c>
      <c r="V39" s="15">
        <f>INPUTS!V17</f>
        <v>4.8</v>
      </c>
      <c r="W39" s="15">
        <f t="shared" si="174"/>
        <v>488.59317820841994</v>
      </c>
      <c r="X39" s="15">
        <f t="shared" ref="X39:X42" si="181">$W39/$X$45</f>
        <v>4885.9317820841989</v>
      </c>
      <c r="Z39" s="28"/>
      <c r="AA39" s="89">
        <f t="shared" si="175"/>
        <v>0</v>
      </c>
      <c r="AB39" s="53">
        <v>10</v>
      </c>
      <c r="AC39" s="15">
        <f t="shared" si="177"/>
        <v>101</v>
      </c>
      <c r="AD39" s="15">
        <f t="shared" si="178"/>
        <v>8.4723718951712264E-3</v>
      </c>
      <c r="AE39" s="71">
        <f t="shared" si="179"/>
        <v>40.181958589053821</v>
      </c>
      <c r="AF39" s="1"/>
      <c r="AG39" s="1"/>
    </row>
    <row r="40" spans="1:57" x14ac:dyDescent="0.25">
      <c r="A40" s="111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176"/>
        <v>1.1400000000000003E-5</v>
      </c>
      <c r="L40">
        <f t="shared" si="180"/>
        <v>0.38263355734467192</v>
      </c>
      <c r="M40">
        <f t="shared" si="170"/>
        <v>3.8263355734467188</v>
      </c>
      <c r="N40">
        <f t="shared" si="171"/>
        <v>6.7058823529411775</v>
      </c>
      <c r="O40" s="1">
        <f t="shared" si="172"/>
        <v>13.411764705882355</v>
      </c>
      <c r="P40">
        <v>2.4800000000000001E-4</v>
      </c>
      <c r="Q40" s="1">
        <f t="shared" si="173"/>
        <v>7.980000000000001E-2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74"/>
        <v>167.82173567748765</v>
      </c>
      <c r="X40" s="15">
        <f t="shared" si="181"/>
        <v>1678.2173567748764</v>
      </c>
      <c r="AA40" s="89">
        <f>IF(F40="HiddenElement",$AA$44/100/(1-$X$55)*$X$54*10^6/$X$52,0)</f>
        <v>2941.1764705882351</v>
      </c>
      <c r="AB40" s="54" t="s">
        <v>121</v>
      </c>
      <c r="AC40" s="15">
        <f t="shared" si="177"/>
        <v>35</v>
      </c>
      <c r="AD40" s="15">
        <f t="shared" si="178"/>
        <v>3.0576333839599777E-3</v>
      </c>
      <c r="AE40" s="71">
        <f t="shared" si="179"/>
        <v>25.432525300101705</v>
      </c>
      <c r="AF40" s="1"/>
      <c r="AG40" s="1"/>
    </row>
    <row r="41" spans="1:57" x14ac:dyDescent="0.25">
      <c r="A41" s="111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176"/>
        <v>2.0000000000000002E-7</v>
      </c>
      <c r="L41">
        <f t="shared" si="180"/>
        <v>6.7128694270995066E-3</v>
      </c>
      <c r="M41">
        <f t="shared" si="170"/>
        <v>6.7128694270995062E-2</v>
      </c>
      <c r="N41">
        <f t="shared" si="171"/>
        <v>0</v>
      </c>
      <c r="O41" s="1">
        <f t="shared" si="172"/>
        <v>0.23529411764705882</v>
      </c>
      <c r="P41">
        <v>5.0000000000000004E-6</v>
      </c>
      <c r="Q41" s="1">
        <f t="shared" si="173"/>
        <v>1.4000000000000002E-3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74"/>
        <v>167.82173567748765</v>
      </c>
      <c r="X41" s="15">
        <f t="shared" si="181"/>
        <v>1678.2173567748764</v>
      </c>
      <c r="AA41" s="89">
        <f t="shared" si="175"/>
        <v>0</v>
      </c>
      <c r="AB41" s="1"/>
      <c r="AC41" s="15">
        <f t="shared" si="177"/>
        <v>35</v>
      </c>
      <c r="AD41" s="15">
        <f t="shared" si="178"/>
        <v>5.3642690946666268E-5</v>
      </c>
      <c r="AE41" s="71">
        <f t="shared" si="179"/>
        <v>25.432525300101705</v>
      </c>
      <c r="AX41" s="91" t="s">
        <v>57</v>
      </c>
      <c r="AY41" s="9" t="s">
        <v>47</v>
      </c>
      <c r="AZ41" s="10">
        <v>0</v>
      </c>
    </row>
    <row r="42" spans="1:57" x14ac:dyDescent="0.25">
      <c r="A42" s="111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4.3694199999999997E-3</v>
      </c>
      <c r="K42">
        <f t="shared" si="176"/>
        <v>2.18471E-5</v>
      </c>
      <c r="L42">
        <f t="shared" si="180"/>
        <v>2.3509226953550577</v>
      </c>
      <c r="M42">
        <f t="shared" si="170"/>
        <v>23.509226953550574</v>
      </c>
      <c r="N42">
        <f t="shared" si="171"/>
        <v>0</v>
      </c>
      <c r="O42" s="1">
        <f t="shared" si="172"/>
        <v>25.70247058823529</v>
      </c>
      <c r="P42">
        <v>1.9861E-4</v>
      </c>
      <c r="Q42" s="1">
        <f t="shared" si="173"/>
        <v>0.48500561999999997</v>
      </c>
      <c r="R42">
        <f>INPUTS!R20</f>
        <v>0</v>
      </c>
      <c r="S42">
        <v>0</v>
      </c>
      <c r="T42">
        <v>0</v>
      </c>
      <c r="U42" s="16">
        <f>INPUTS!U20</f>
        <v>22</v>
      </c>
      <c r="V42" s="16">
        <f>INPUTS!V20</f>
        <v>5.0999999999999996</v>
      </c>
      <c r="W42" s="16">
        <f t="shared" si="174"/>
        <v>538.03999051477263</v>
      </c>
      <c r="X42" s="16">
        <f t="shared" si="181"/>
        <v>5380.3999051477258</v>
      </c>
      <c r="AA42" s="90">
        <f t="shared" si="175"/>
        <v>0</v>
      </c>
      <c r="AC42" s="16">
        <f t="shared" si="177"/>
        <v>111</v>
      </c>
      <c r="AD42" s="16">
        <f t="shared" si="178"/>
        <v>7.5272391193074283E-3</v>
      </c>
      <c r="AE42" s="72">
        <f t="shared" si="179"/>
        <v>41.951890583728066</v>
      </c>
      <c r="AX42" s="91"/>
      <c r="AY42" s="9" t="s">
        <v>48</v>
      </c>
      <c r="AZ42" s="9">
        <v>0.106</v>
      </c>
    </row>
    <row r="43" spans="1:57" x14ac:dyDescent="0.25">
      <c r="A43" s="4"/>
      <c r="W43" s="17"/>
      <c r="X43" s="17"/>
      <c r="Z43" s="1"/>
      <c r="AN43" s="91"/>
      <c r="AO43" s="109"/>
      <c r="AP43" s="109"/>
      <c r="AQ43" s="91"/>
      <c r="AR43" s="91"/>
      <c r="AS43" s="91"/>
      <c r="AT43" s="91"/>
      <c r="AU43" s="96"/>
      <c r="AV43" s="96"/>
      <c r="AW43" s="105"/>
      <c r="AX43" s="9" t="s">
        <v>49</v>
      </c>
      <c r="AY43" s="9">
        <v>1.28</v>
      </c>
    </row>
    <row r="44" spans="1:57" x14ac:dyDescent="0.25">
      <c r="A44" s="4"/>
      <c r="V44" s="34"/>
      <c r="W44" s="93"/>
      <c r="X44" s="20" t="s">
        <v>80</v>
      </c>
      <c r="Y44" s="40" t="s">
        <v>81</v>
      </c>
      <c r="AA44" s="53">
        <v>5</v>
      </c>
      <c r="AC44" s="100" t="s">
        <v>167</v>
      </c>
      <c r="AN44" s="91"/>
      <c r="AO44" s="109"/>
      <c r="AP44" s="109"/>
      <c r="AQ44" s="91"/>
      <c r="AR44" s="91"/>
      <c r="AS44" s="91"/>
      <c r="AT44" s="91"/>
      <c r="AU44" s="96"/>
      <c r="AV44" s="96"/>
      <c r="AW44" s="105"/>
      <c r="AX44" s="9" t="s">
        <v>50</v>
      </c>
      <c r="AY44" s="9">
        <v>0.8</v>
      </c>
    </row>
    <row r="45" spans="1:57" x14ac:dyDescent="0.25">
      <c r="A45" s="4"/>
      <c r="X45" s="16">
        <f>INPUTS!X23</f>
        <v>0.1</v>
      </c>
      <c r="Y45" s="74">
        <f>(SUMPRODUCT(V37:V42,AD37:AD42)+SUMPRODUCT(AS5:AS12,AQ5:AQ12))/SUM(AD37:AD42,AQ5:AQ12)</f>
        <v>4.3740904222538166</v>
      </c>
      <c r="AA45" s="54" t="s">
        <v>121</v>
      </c>
      <c r="AC45" s="101">
        <v>200</v>
      </c>
      <c r="AN45" s="91"/>
      <c r="AO45" s="109"/>
      <c r="AP45" s="109"/>
      <c r="AQ45" s="91"/>
      <c r="AR45" s="91"/>
      <c r="AS45" s="91"/>
      <c r="AT45" s="91"/>
      <c r="AU45" s="96"/>
      <c r="AV45" s="96"/>
      <c r="AW45" s="105"/>
      <c r="AX45" s="9" t="s">
        <v>60</v>
      </c>
      <c r="AY45" s="9">
        <f>210*3600*24/12</f>
        <v>1512000</v>
      </c>
    </row>
    <row r="46" spans="1:57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 t="s">
        <v>58</v>
      </c>
      <c r="AY46" s="9">
        <v>5</v>
      </c>
    </row>
    <row r="47" spans="1:57" x14ac:dyDescent="0.25">
      <c r="A47" s="111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11"/>
      <c r="AS47" s="11"/>
      <c r="AT47" s="9" t="s">
        <v>59</v>
      </c>
      <c r="AU47" s="9"/>
      <c r="AV47" s="9"/>
      <c r="AW47" s="9"/>
      <c r="AX47" s="9">
        <f>1/59</f>
        <v>1.6949152542372881E-2</v>
      </c>
    </row>
    <row r="48" spans="1:57" x14ac:dyDescent="0.25">
      <c r="A48" s="111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12"/>
      <c r="AS48" s="12"/>
      <c r="AT48" s="9"/>
      <c r="AU48" s="9"/>
      <c r="AV48" s="9"/>
      <c r="AW48" s="9"/>
      <c r="AX48" s="9"/>
    </row>
    <row r="49" spans="1:50" x14ac:dyDescent="0.25">
      <c r="A49" s="111"/>
      <c r="B49">
        <v>1</v>
      </c>
      <c r="C49" t="s">
        <v>30</v>
      </c>
      <c r="D49" t="s">
        <v>68</v>
      </c>
      <c r="E49" s="28">
        <f>E50*$K$49</f>
        <v>208.87616791028256</v>
      </c>
      <c r="F49" s="28">
        <f>F50*$K$49</f>
        <v>2.2585619087657482</v>
      </c>
      <c r="G49" s="28">
        <f>G50*$K$49</f>
        <v>22.585619087657477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3.5508948544748037E-2</v>
      </c>
      <c r="L49" s="28">
        <f>K49*$Y$38</f>
        <v>1.775447427237402E-4</v>
      </c>
      <c r="M49" s="28">
        <f>M50*$K$49</f>
        <v>5.3263422817122059</v>
      </c>
      <c r="N49" s="76" t="s">
        <v>134</v>
      </c>
      <c r="O49" s="20" t="s">
        <v>69</v>
      </c>
      <c r="P49" s="20" t="s">
        <v>83</v>
      </c>
      <c r="Q49" s="20" t="s">
        <v>82</v>
      </c>
      <c r="R49" s="112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12"/>
      <c r="AS49" s="12"/>
      <c r="AT49" s="9"/>
      <c r="AU49" s="9"/>
      <c r="AV49" s="9"/>
      <c r="AW49" s="9"/>
      <c r="AX49" s="9"/>
    </row>
    <row r="50" spans="1:50" x14ac:dyDescent="0.25">
      <c r="E50" s="57">
        <f>AB38</f>
        <v>5882.3529411764703</v>
      </c>
      <c r="F50" s="58">
        <f>(($Q$50/100)*(1+$E$50*$E$53)-$Y$38)/((1+1/$P$50)*(14*10^-6-$J$53*$Q$50/100))</f>
        <v>63.605429091191759</v>
      </c>
      <c r="G50" s="58">
        <f>F50/$P$50</f>
        <v>636.05429091191752</v>
      </c>
      <c r="H50" s="21"/>
      <c r="I50" s="21"/>
      <c r="J50" s="21"/>
      <c r="K50" s="21"/>
      <c r="L50" s="21"/>
      <c r="M50" s="22">
        <v>150</v>
      </c>
      <c r="N50" s="77">
        <f>SUM(AK5:AK34,J37:J42)/K49</f>
        <v>0.58762591446592305</v>
      </c>
      <c r="O50" s="16">
        <f>INPUTS!O28</f>
        <v>0.8</v>
      </c>
      <c r="P50" s="16">
        <f>INPUTS!P28</f>
        <v>0.1</v>
      </c>
      <c r="Q50" s="16">
        <f>INPUTS!Q28</f>
        <v>1.2</v>
      </c>
      <c r="R50" s="112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12"/>
      <c r="AS50" s="12"/>
      <c r="AT50" s="9"/>
      <c r="AU50" s="9"/>
      <c r="AV50" s="9"/>
      <c r="AW50" s="9"/>
      <c r="AX50" s="9"/>
    </row>
    <row r="51" spans="1:50" x14ac:dyDescent="0.25">
      <c r="F51" s="1"/>
      <c r="R51" s="112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13"/>
      <c r="AS51" s="13"/>
      <c r="AT51" s="9"/>
      <c r="AU51" s="9"/>
      <c r="AV51" s="9"/>
      <c r="AW51" s="9"/>
      <c r="AX51" s="9"/>
    </row>
    <row r="52" spans="1:50" x14ac:dyDescent="0.25">
      <c r="D52" s="27" t="s">
        <v>78</v>
      </c>
      <c r="F52" s="1"/>
      <c r="O52" s="35" t="s">
        <v>138</v>
      </c>
      <c r="P52" s="36">
        <f>K49+SUM(J37:J42)+SUM(AK5:AK34)</f>
        <v>5.6374926905079017E-2</v>
      </c>
      <c r="R52" s="112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13"/>
      <c r="AS52" s="13"/>
      <c r="AT52" s="9"/>
      <c r="AU52" s="9"/>
      <c r="AV52" s="9"/>
      <c r="AW52" s="9"/>
      <c r="AX52" s="9"/>
    </row>
    <row r="53" spans="1:50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12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12"/>
      <c r="AS53" s="12"/>
      <c r="AT53" s="9"/>
      <c r="AU53" s="9"/>
      <c r="AV53" s="9"/>
      <c r="AW53" s="9"/>
      <c r="AX53" s="9"/>
    </row>
    <row r="54" spans="1:50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12"/>
      <c r="S54" s="11" t="s">
        <v>52</v>
      </c>
      <c r="T54" s="9">
        <v>1.557936E-2</v>
      </c>
      <c r="W54" s="35" t="s">
        <v>119</v>
      </c>
      <c r="X54" s="37">
        <v>12</v>
      </c>
    </row>
    <row r="55" spans="1:50" x14ac:dyDescent="0.25">
      <c r="O55" s="35" t="s">
        <v>109</v>
      </c>
      <c r="P55" s="36">
        <f t="array" ref="P55">SUM(J37:J42,AK5:AK34)+SUM(AF5:AF34*F53,L37:L42*F53)+SUM(AH5:AH34*J53,M37:M42*J53)+SUM(AE5:AE34*E53,O37:O42*E53)+SUM(N37:N42*E53,AG5:AG34*E53)</f>
        <v>3.4489094939910626E-2</v>
      </c>
      <c r="W55" s="35" t="s">
        <v>122</v>
      </c>
      <c r="X55" s="55">
        <v>0.4</v>
      </c>
    </row>
    <row r="56" spans="1:50" x14ac:dyDescent="0.25">
      <c r="O56" s="35" t="s">
        <v>110</v>
      </c>
      <c r="P56" s="36">
        <f>K49+E49*E53+F49*F53+G49*G53</f>
        <v>4.3111368674888281E-2</v>
      </c>
    </row>
    <row r="57" spans="1:50" ht="15" customHeight="1" x14ac:dyDescent="0.25">
      <c r="A57" s="114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7.7600463614798915E-2</v>
      </c>
      <c r="Q57" s="32"/>
    </row>
    <row r="58" spans="1:50" x14ac:dyDescent="0.25">
      <c r="A58" s="114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50" x14ac:dyDescent="0.25">
      <c r="A59" s="114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82">G58</f>
        <v>0</v>
      </c>
      <c r="H59">
        <v>4</v>
      </c>
      <c r="I59">
        <f t="shared" si="182"/>
        <v>20</v>
      </c>
      <c r="J59">
        <f t="shared" si="182"/>
        <v>3600</v>
      </c>
      <c r="K59">
        <f t="shared" si="182"/>
        <v>3600</v>
      </c>
      <c r="L59">
        <f t="shared" si="182"/>
        <v>0</v>
      </c>
      <c r="M59">
        <f t="shared" si="182"/>
        <v>0</v>
      </c>
      <c r="O59" s="35" t="s">
        <v>136</v>
      </c>
      <c r="P59" s="39">
        <f>1-SUM($AK$5:$AK$12,$J$37:$J$42)/$P$55</f>
        <v>0.41050884740986027</v>
      </c>
    </row>
    <row r="60" spans="1:50" x14ac:dyDescent="0.25">
      <c r="A60" s="114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83">G58</f>
        <v>0</v>
      </c>
      <c r="H60">
        <v>5</v>
      </c>
      <c r="I60">
        <f t="shared" si="183"/>
        <v>20</v>
      </c>
      <c r="J60">
        <f t="shared" si="183"/>
        <v>3600</v>
      </c>
      <c r="K60">
        <f t="shared" si="183"/>
        <v>3600</v>
      </c>
      <c r="L60">
        <f t="shared" si="183"/>
        <v>0</v>
      </c>
      <c r="M60">
        <f t="shared" si="183"/>
        <v>0</v>
      </c>
      <c r="O60" s="35" t="s">
        <v>137</v>
      </c>
      <c r="P60" s="39">
        <f>1-$K$49/$P$56</f>
        <v>0.17634374328200209</v>
      </c>
    </row>
    <row r="61" spans="1:50" x14ac:dyDescent="0.25">
      <c r="A61" s="114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84">G58</f>
        <v>0</v>
      </c>
      <c r="H61">
        <v>6</v>
      </c>
      <c r="I61">
        <f t="shared" si="184"/>
        <v>20</v>
      </c>
      <c r="J61">
        <f t="shared" si="184"/>
        <v>3600</v>
      </c>
      <c r="K61">
        <f t="shared" si="184"/>
        <v>3600</v>
      </c>
      <c r="L61">
        <f t="shared" si="184"/>
        <v>0</v>
      </c>
      <c r="M61">
        <f t="shared" si="184"/>
        <v>0</v>
      </c>
      <c r="O61" s="35" t="s">
        <v>111</v>
      </c>
      <c r="P61" s="39">
        <f>1-SUM($AK$5:$AK$12,$J$37:$J$42)/($P$55+N50/(1+N50)*P54)</f>
        <v>0.41050884740986027</v>
      </c>
    </row>
    <row r="62" spans="1:50" x14ac:dyDescent="0.25">
      <c r="A62" s="114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85">G58</f>
        <v>0</v>
      </c>
      <c r="H62">
        <v>7</v>
      </c>
      <c r="I62">
        <f t="shared" si="185"/>
        <v>20</v>
      </c>
      <c r="J62">
        <f t="shared" si="185"/>
        <v>3600</v>
      </c>
      <c r="K62">
        <f t="shared" si="185"/>
        <v>3600</v>
      </c>
      <c r="L62">
        <f t="shared" si="185"/>
        <v>0</v>
      </c>
      <c r="M62">
        <f t="shared" si="185"/>
        <v>0</v>
      </c>
      <c r="O62" s="35" t="s">
        <v>112</v>
      </c>
      <c r="P62" s="39">
        <f>1-$K$49/($P$56+1/(1+N50)*P54)</f>
        <v>0.17634374328200209</v>
      </c>
    </row>
    <row r="64" spans="1:50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2.6107068543350294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11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11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11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11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11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11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11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11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11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11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D2" sqref="D2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4" t="s">
        <v>159</v>
      </c>
      <c r="C1" s="104" t="s">
        <v>160</v>
      </c>
      <c r="D1" s="104" t="s">
        <v>162</v>
      </c>
      <c r="E1" s="104" t="s">
        <v>163</v>
      </c>
      <c r="F1" s="104" t="s">
        <v>164</v>
      </c>
      <c r="I1" t="s">
        <v>169</v>
      </c>
    </row>
    <row r="2" spans="1:9" x14ac:dyDescent="0.25">
      <c r="A2" t="s">
        <v>158</v>
      </c>
      <c r="B2">
        <v>10</v>
      </c>
      <c r="C2">
        <f>B2*10^3/10000</f>
        <v>1</v>
      </c>
      <c r="D2" s="94">
        <f>C2*10^6/14</f>
        <v>71428.571428571435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  <row r="5" spans="1:9" x14ac:dyDescent="0.25">
      <c r="E5" s="9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2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8" spans="1:9" x14ac:dyDescent="0.25">
      <c r="B18" t="s">
        <v>179</v>
      </c>
      <c r="D18">
        <v>58</v>
      </c>
      <c r="F18" s="28"/>
      <c r="I18" s="28"/>
    </row>
    <row r="19" spans="1:9" x14ac:dyDescent="0.25">
      <c r="B19" t="s">
        <v>180</v>
      </c>
      <c r="D19">
        <v>106</v>
      </c>
    </row>
    <row r="20" spans="1:9" x14ac:dyDescent="0.25">
      <c r="B20" t="s">
        <v>157</v>
      </c>
      <c r="C20">
        <v>15</v>
      </c>
      <c r="D20">
        <v>210</v>
      </c>
      <c r="E20">
        <v>1.01</v>
      </c>
      <c r="G20">
        <v>15</v>
      </c>
      <c r="I20" s="28">
        <f t="shared" si="1"/>
        <v>71.428571428571431</v>
      </c>
    </row>
    <row r="21" spans="1:9" x14ac:dyDescent="0.25">
      <c r="B21" t="s">
        <v>178</v>
      </c>
      <c r="D21">
        <v>75</v>
      </c>
      <c r="I21" s="28"/>
    </row>
    <row r="22" spans="1:9" x14ac:dyDescent="0.25">
      <c r="B22" t="s">
        <v>107</v>
      </c>
      <c r="D22">
        <f>0.5*1000</f>
        <v>500</v>
      </c>
      <c r="E22">
        <f>0.01*1000</f>
        <v>10</v>
      </c>
      <c r="G22">
        <v>2.5</v>
      </c>
      <c r="I22" s="28">
        <f t="shared" si="1"/>
        <v>5</v>
      </c>
    </row>
    <row r="25" spans="1:9" x14ac:dyDescent="0.25">
      <c r="D25" t="s">
        <v>134</v>
      </c>
      <c r="E25">
        <f>SUM(D5:D21)/D22</f>
        <v>3.29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181</v>
      </c>
      <c r="C1" t="s">
        <v>168</v>
      </c>
      <c r="D1">
        <f>1/0.15</f>
        <v>6.666666666666667</v>
      </c>
    </row>
    <row r="2" spans="1:4" x14ac:dyDescent="0.25">
      <c r="A2" s="3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INPUTS</vt:lpstr>
      <vt:lpstr>INPUTS_save</vt:lpstr>
      <vt:lpstr>INPUTS_tillering</vt:lpstr>
      <vt:lpstr>INPUTS_save2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2019-04-09T13:48:41Z</dcterms:modified>
</cp:coreProperties>
</file>