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gauthier\Documents\Marion_These\Modeles\fspm-wheat\trunk\fspmwheat\inputs\"/>
    </mc:Choice>
  </mc:AlternateContent>
  <bookViews>
    <workbookView xWindow="0" yWindow="0" windowWidth="28800" windowHeight="14100" activeTab="2"/>
  </bookViews>
  <sheets>
    <sheet name="INPUTS" sheetId="1" r:id="rId1"/>
    <sheet name="N content" sheetId="2" r:id="rId2"/>
    <sheet name="shootroots" sheetId="7" r:id="rId3"/>
    <sheet name="Conc Shoot" sheetId="3" r:id="rId4"/>
    <sheet name="N crit" sheetId="4" r:id="rId5"/>
    <sheet name="Barillot2016b_input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D4" i="7"/>
  <c r="B4" i="7"/>
  <c r="M40" i="7" l="1"/>
  <c r="M39" i="7"/>
  <c r="M38" i="7"/>
  <c r="M37" i="7"/>
  <c r="M36" i="7"/>
  <c r="M35" i="7"/>
  <c r="J40" i="7"/>
  <c r="J39" i="7"/>
  <c r="J38" i="7"/>
  <c r="J37" i="7"/>
  <c r="J36" i="7"/>
  <c r="J35" i="7"/>
  <c r="G35" i="7"/>
  <c r="G40" i="7"/>
  <c r="G39" i="7"/>
  <c r="G38" i="7"/>
  <c r="G37" i="7"/>
  <c r="G36" i="7"/>
  <c r="D36" i="7"/>
  <c r="D37" i="7"/>
  <c r="D38" i="7"/>
  <c r="D39" i="7"/>
  <c r="D40" i="7"/>
  <c r="D35" i="7"/>
  <c r="R27" i="7"/>
  <c r="G27" i="7"/>
  <c r="G26" i="7"/>
  <c r="G25" i="7"/>
  <c r="G24" i="7"/>
  <c r="G23" i="7"/>
  <c r="R24" i="7"/>
  <c r="R25" i="7"/>
  <c r="R26" i="7"/>
  <c r="R23" i="7"/>
  <c r="E29" i="2"/>
  <c r="E19" i="6" l="1"/>
  <c r="D19" i="6"/>
  <c r="I19" i="6" s="1"/>
  <c r="I17" i="6"/>
  <c r="F17" i="6"/>
  <c r="I16" i="6"/>
  <c r="F16" i="6"/>
  <c r="I15" i="6"/>
  <c r="F15" i="6"/>
  <c r="I14" i="6"/>
  <c r="F14" i="6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F5" i="6"/>
  <c r="B5" i="4" l="1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3" i="4"/>
  <c r="B4" i="4"/>
  <c r="B2" i="4"/>
  <c r="C3" i="4"/>
  <c r="C4" i="4"/>
  <c r="C2" i="4"/>
  <c r="D56" i="2" l="1"/>
  <c r="D55" i="2"/>
  <c r="F56" i="2"/>
  <c r="F49" i="2"/>
  <c r="F3" i="1" l="1"/>
  <c r="AQ21" i="1"/>
  <c r="T29" i="1"/>
  <c r="D13" i="3" l="1"/>
  <c r="E12" i="3"/>
  <c r="E13" i="3"/>
  <c r="K11" i="3"/>
  <c r="K10" i="3"/>
  <c r="D15" i="3" l="1"/>
  <c r="D12" i="3"/>
  <c r="E29" i="1" l="1"/>
  <c r="J29" i="1"/>
  <c r="F29" i="1"/>
  <c r="V13" i="1" l="1"/>
  <c r="W13" i="1" s="1"/>
  <c r="F26" i="1"/>
  <c r="AN3" i="1"/>
  <c r="AO3" i="1" s="1"/>
  <c r="AN4" i="1"/>
  <c r="AN5" i="1"/>
  <c r="AO5" i="1" s="1"/>
  <c r="V14" i="1"/>
  <c r="W14" i="1" s="1"/>
  <c r="AN6" i="1"/>
  <c r="AO6" i="1" s="1"/>
  <c r="V15" i="1"/>
  <c r="AN7" i="1"/>
  <c r="AO7" i="1" s="1"/>
  <c r="AN8" i="1"/>
  <c r="AO8" i="1" s="1"/>
  <c r="V17" i="1"/>
  <c r="AN9" i="1"/>
  <c r="AO9" i="1" s="1"/>
  <c r="V18" i="1"/>
  <c r="AN10" i="1"/>
  <c r="AO10" i="1" s="1"/>
  <c r="V16" i="1"/>
  <c r="G26" i="1"/>
  <c r="E38" i="2"/>
  <c r="J19" i="2"/>
  <c r="J20" i="2" s="1"/>
  <c r="W18" i="1" l="1"/>
  <c r="W15" i="1"/>
  <c r="W16" i="1"/>
  <c r="AB14" i="1"/>
  <c r="AO4" i="1"/>
  <c r="W17" i="1"/>
  <c r="AB13" i="1"/>
  <c r="I13" i="1"/>
  <c r="P13" i="1" l="1"/>
  <c r="L13" i="1"/>
  <c r="K13" i="1"/>
  <c r="AB16" i="1"/>
  <c r="AB17" i="1"/>
  <c r="AB15" i="1"/>
  <c r="AB18" i="1"/>
  <c r="AV3" i="1"/>
  <c r="AH3" i="1" s="1"/>
  <c r="AT3" i="1" l="1"/>
  <c r="I18" i="1" l="1"/>
  <c r="I17" i="1"/>
  <c r="I16" i="1"/>
  <c r="I15" i="1"/>
  <c r="I14" i="1"/>
  <c r="P14" i="1" l="1"/>
  <c r="K14" i="1"/>
  <c r="L14" i="1"/>
  <c r="P15" i="1"/>
  <c r="K15" i="1"/>
  <c r="L15" i="1"/>
  <c r="P16" i="1"/>
  <c r="K16" i="1"/>
  <c r="L16" i="1"/>
  <c r="P17" i="1"/>
  <c r="K17" i="1"/>
  <c r="L17" i="1"/>
  <c r="P18" i="1"/>
  <c r="K18" i="1"/>
  <c r="L18" i="1"/>
  <c r="AT4" i="1"/>
  <c r="AG4" i="1" s="1"/>
  <c r="AT5" i="1"/>
  <c r="AG5" i="1" s="1"/>
  <c r="AT6" i="1"/>
  <c r="AT7" i="1"/>
  <c r="AT8" i="1"/>
  <c r="AT9" i="1"/>
  <c r="AT10" i="1"/>
  <c r="I3" i="1" l="1"/>
  <c r="I4" i="1" s="1"/>
  <c r="AV4" i="1"/>
  <c r="AH4" i="1" s="1"/>
  <c r="AV5" i="1"/>
  <c r="AV6" i="1"/>
  <c r="AV7" i="1"/>
  <c r="AV8" i="1"/>
  <c r="AV9" i="1"/>
  <c r="AV10" i="1"/>
  <c r="AQ23" i="1"/>
  <c r="AG6" i="1"/>
  <c r="AG7" i="1"/>
  <c r="AG8" i="1"/>
  <c r="AG9" i="1"/>
  <c r="AG10" i="1"/>
  <c r="AQ5" i="1"/>
  <c r="AQ6" i="1"/>
  <c r="AQ7" i="1"/>
  <c r="AQ8" i="1"/>
  <c r="AQ9" i="1"/>
  <c r="AQ10" i="1"/>
  <c r="J3" i="1" l="1"/>
  <c r="AQ4" i="1"/>
  <c r="J4" i="1"/>
  <c r="I5" i="1"/>
  <c r="AR4" i="1"/>
  <c r="AS4" i="1" s="1"/>
  <c r="AR3" i="1"/>
  <c r="AQ3" i="1"/>
  <c r="AK3" i="1"/>
  <c r="AK4" i="1"/>
  <c r="AK5" i="1"/>
  <c r="AK6" i="1"/>
  <c r="AK7" i="1"/>
  <c r="AK8" i="1"/>
  <c r="AK9" i="1"/>
  <c r="AK10" i="1"/>
  <c r="AJ4" i="1"/>
  <c r="AJ5" i="1"/>
  <c r="AJ6" i="1"/>
  <c r="AJ7" i="1"/>
  <c r="AJ8" i="1"/>
  <c r="AJ9" i="1"/>
  <c r="AJ10" i="1"/>
  <c r="AI4" i="1"/>
  <c r="AI5" i="1"/>
  <c r="AI6" i="1"/>
  <c r="AI7" i="1"/>
  <c r="AI8" i="1"/>
  <c r="AI9" i="1"/>
  <c r="AI10" i="1"/>
  <c r="N13" i="1"/>
  <c r="J18" i="1"/>
  <c r="J13" i="1"/>
  <c r="J15" i="1"/>
  <c r="J17" i="1"/>
  <c r="J14" i="1"/>
  <c r="AF4" i="1" l="1"/>
  <c r="AD4" i="1"/>
  <c r="AC10" i="1"/>
  <c r="AD10" i="1"/>
  <c r="AF10" i="1"/>
  <c r="AC9" i="1"/>
  <c r="AF9" i="1"/>
  <c r="AD9" i="1"/>
  <c r="AD8" i="1"/>
  <c r="AF8" i="1"/>
  <c r="AD7" i="1"/>
  <c r="AF7" i="1"/>
  <c r="AC6" i="1"/>
  <c r="AD6" i="1"/>
  <c r="AF6" i="1"/>
  <c r="AF5" i="1"/>
  <c r="AD5" i="1"/>
  <c r="AS3" i="1"/>
  <c r="AR5" i="1"/>
  <c r="AS5" i="1" s="1"/>
  <c r="I6" i="1"/>
  <c r="J5" i="1"/>
  <c r="N17" i="1"/>
  <c r="N16" i="1"/>
  <c r="J16" i="1"/>
  <c r="AL4" i="1"/>
  <c r="AL8" i="1"/>
  <c r="N14" i="1"/>
  <c r="N15" i="1"/>
  <c r="AL5" i="1"/>
  <c r="AL10" i="1"/>
  <c r="AL9" i="1"/>
  <c r="AL7" i="1"/>
  <c r="AL6" i="1"/>
  <c r="AC5" i="1"/>
  <c r="AC4" i="1"/>
  <c r="AC8" i="1"/>
  <c r="AC7" i="1"/>
  <c r="N18" i="1"/>
  <c r="AG3" i="1" l="1"/>
  <c r="AI3" i="1" s="1"/>
  <c r="I7" i="1"/>
  <c r="J6" i="1"/>
  <c r="AR6" i="1"/>
  <c r="AS6" i="1" s="1"/>
  <c r="AF3" i="1" l="1"/>
  <c r="AD3" i="1"/>
  <c r="AJ3" i="1"/>
  <c r="AL3" i="1" s="1"/>
  <c r="K25" i="1"/>
  <c r="AC3" i="1"/>
  <c r="J7" i="1"/>
  <c r="I8" i="1"/>
  <c r="AR7" i="1"/>
  <c r="AS7" i="1" s="1"/>
  <c r="G25" i="1" l="1"/>
  <c r="F25" i="1"/>
  <c r="F24" i="1" s="1"/>
  <c r="E25" i="1"/>
  <c r="E24" i="1"/>
  <c r="E30" i="1" s="1"/>
  <c r="F30" i="1"/>
  <c r="J8" i="1"/>
  <c r="AR8" i="1"/>
  <c r="AS8" i="1" s="1"/>
  <c r="I9" i="1"/>
  <c r="M25" i="1"/>
  <c r="L25" i="1"/>
  <c r="J9" i="1" l="1"/>
  <c r="I10" i="1"/>
  <c r="AR9" i="1"/>
  <c r="AS9" i="1" s="1"/>
  <c r="AR10" i="1" l="1"/>
  <c r="AS10" i="1" s="1"/>
  <c r="J10" i="1"/>
</calcChain>
</file>

<file path=xl/sharedStrings.xml><?xml version="1.0" encoding="utf-8"?>
<sst xmlns="http://schemas.openxmlformats.org/spreadsheetml/2006/main" count="606" uniqueCount="228">
  <si>
    <t>plant</t>
  </si>
  <si>
    <t>axis</t>
  </si>
  <si>
    <t>metamer</t>
  </si>
  <si>
    <t>leaf_pseudo_age</t>
  </si>
  <si>
    <t>internode_pseudo_age</t>
  </si>
  <si>
    <t>leaf_is_growing</t>
  </si>
  <si>
    <t>internode_is_growing</t>
  </si>
  <si>
    <t>leaf_pseudostem_length</t>
  </si>
  <si>
    <t>internode_distance_to_emerge</t>
  </si>
  <si>
    <t>leaf_L</t>
  </si>
  <si>
    <t>internode_L</t>
  </si>
  <si>
    <t>leaf_Lmax</t>
  </si>
  <si>
    <t>lamina_Lmax</t>
  </si>
  <si>
    <t>sheath_Lmax</t>
  </si>
  <si>
    <t>leaf_Wmax</t>
  </si>
  <si>
    <t>SSLW</t>
  </si>
  <si>
    <t>LSSW</t>
  </si>
  <si>
    <t>leaf_is_emerged</t>
  </si>
  <si>
    <t>internode_Lmax</t>
  </si>
  <si>
    <t>LSIW</t>
  </si>
  <si>
    <t>internode_is_visible</t>
  </si>
  <si>
    <t>sucrose</t>
  </si>
  <si>
    <t>amino_acids</t>
  </si>
  <si>
    <t>fructan</t>
  </si>
  <si>
    <t>proteins</t>
  </si>
  <si>
    <t>leaf_enclosed_mstruct</t>
  </si>
  <si>
    <t>internode_enclosed_mstruct</t>
  </si>
  <si>
    <t>mstruct</t>
  </si>
  <si>
    <t>leaf_enclosed_Nstruct</t>
  </si>
  <si>
    <t>internode_enclosed_Nstruct</t>
  </si>
  <si>
    <t>MS</t>
  </si>
  <si>
    <t>True</t>
  </si>
  <si>
    <t>NA</t>
  </si>
  <si>
    <t>False</t>
  </si>
  <si>
    <t>organ</t>
  </si>
  <si>
    <t>element</t>
  </si>
  <si>
    <t>length</t>
  </si>
  <si>
    <t>is_growing</t>
  </si>
  <si>
    <t>blade</t>
  </si>
  <si>
    <t>LeafElement1</t>
  </si>
  <si>
    <t>sheath</t>
  </si>
  <si>
    <t>StemElement</t>
  </si>
  <si>
    <t>HiddenElement</t>
  </si>
  <si>
    <t>Nstruct</t>
  </si>
  <si>
    <t>green_area</t>
  </si>
  <si>
    <t>cytokinins</t>
  </si>
  <si>
    <t>leaf</t>
  </si>
  <si>
    <t>mstruct init</t>
  </si>
  <si>
    <t>alpha</t>
  </si>
  <si>
    <t>beta</t>
  </si>
  <si>
    <t>ratio mstruct dm</t>
  </si>
  <si>
    <t>te</t>
  </si>
  <si>
    <t>FITTED_L0</t>
  </si>
  <si>
    <t>enclosed_mstruct0</t>
  </si>
  <si>
    <t>enclosed_mstruct_max</t>
  </si>
  <si>
    <t>leaf_enclosed_mstruct_postE</t>
  </si>
  <si>
    <t>leaf_enclosed_mstruct_prE</t>
  </si>
  <si>
    <t>internodes</t>
  </si>
  <si>
    <t>RATIO_ENCLOSED_LEAF_INTERNODE</t>
  </si>
  <si>
    <t>fitted_L0_IN</t>
  </si>
  <si>
    <t>te_IN</t>
  </si>
  <si>
    <t>enclosed_IN_mstruct0</t>
  </si>
  <si>
    <t>SSLW/LSSW</t>
  </si>
  <si>
    <t>t_emergence</t>
  </si>
  <si>
    <t>nitrates</t>
  </si>
  <si>
    <t>structure</t>
  </si>
  <si>
    <t>starch</t>
  </si>
  <si>
    <t>phloem</t>
  </si>
  <si>
    <t>roots</t>
  </si>
  <si>
    <t>Shoot:Root</t>
  </si>
  <si>
    <t>Hiddenzone</t>
  </si>
  <si>
    <t>Elements</t>
  </si>
  <si>
    <t>Organs</t>
  </si>
  <si>
    <r>
      <t>enclosed_mstruct_max = min(</t>
    </r>
    <r>
      <rPr>
        <i/>
        <sz val="10"/>
        <color theme="0" tint="-0.499984740745262"/>
        <rFont val="Courier New"/>
        <family val="3"/>
      </rPr>
      <t>internode_pseudostem_L</t>
    </r>
    <r>
      <rPr>
        <sz val="10"/>
        <color theme="0" tint="-0.499984740745262"/>
        <rFont val="Courier New"/>
        <family val="3"/>
      </rPr>
      <t xml:space="preserve">, </t>
    </r>
    <r>
      <rPr>
        <i/>
        <sz val="10"/>
        <color theme="0" tint="-0.499984740745262"/>
        <rFont val="Courier New"/>
        <family val="3"/>
      </rPr>
      <t>internode_Lmax</t>
    </r>
    <r>
      <rPr>
        <sz val="10"/>
        <color theme="0" tint="-0.499984740745262"/>
        <rFont val="Courier New"/>
        <family val="3"/>
      </rPr>
      <t xml:space="preserve">) * </t>
    </r>
    <r>
      <rPr>
        <i/>
        <sz val="10"/>
        <color theme="0" tint="-0.499984740745262"/>
        <rFont val="Courier New"/>
        <family val="3"/>
      </rPr>
      <t>LSIW</t>
    </r>
  </si>
  <si>
    <r>
      <t xml:space="preserve">if </t>
    </r>
    <r>
      <rPr>
        <i/>
        <sz val="10"/>
        <color theme="0" tint="-0.499984740745262"/>
        <rFont val="Courier New"/>
        <family val="3"/>
      </rPr>
      <t xml:space="preserve">internode_pseudo_age </t>
    </r>
    <r>
      <rPr>
        <sz val="10"/>
        <color theme="0" tint="-0.499984740745262"/>
        <rFont val="Courier New"/>
        <family val="3"/>
      </rPr>
      <t>&lt; parameters.te_IN:</t>
    </r>
  </si>
  <si>
    <r>
      <t xml:space="preserve">    delta_enclosed_mstruct = </t>
    </r>
    <r>
      <rPr>
        <i/>
        <sz val="10"/>
        <color theme="0" tint="-0.499984740745262"/>
        <rFont val="Courier New"/>
        <family val="3"/>
      </rPr>
      <t xml:space="preserve">mstruct </t>
    </r>
    <r>
      <rPr>
        <sz val="10"/>
        <color theme="0" tint="-0.499984740745262"/>
        <rFont val="Courier New"/>
        <family val="3"/>
      </rPr>
      <t xml:space="preserve">- (enclosed_mstruct_max - enclosed_mstruct0)/parameters.te_IN * </t>
    </r>
    <r>
      <rPr>
        <i/>
        <sz val="10"/>
        <color theme="0" tint="-0.499984740745262"/>
        <rFont val="Courier New"/>
        <family val="3"/>
      </rPr>
      <t xml:space="preserve">internode_pseudo_age </t>
    </r>
    <r>
      <rPr>
        <sz val="10"/>
        <color theme="0" tint="-0.499984740745262"/>
        <rFont val="Courier New"/>
        <family val="3"/>
      </rPr>
      <t>- enclosed_mstruct0</t>
    </r>
  </si>
  <si>
    <t>Mass (g)</t>
  </si>
  <si>
    <t>semaine</t>
  </si>
  <si>
    <t>date</t>
  </si>
  <si>
    <t>SumTemp</t>
  </si>
  <si>
    <t>Manip</t>
  </si>
  <si>
    <t>Variete</t>
  </si>
  <si>
    <t>Fertilisation</t>
  </si>
  <si>
    <t>Train</t>
  </si>
  <si>
    <t>Brin</t>
  </si>
  <si>
    <t>Phytomere</t>
  </si>
  <si>
    <t>Masse limbes</t>
  </si>
  <si>
    <t>Masse gaines</t>
  </si>
  <si>
    <t>Masse entrenoeuds</t>
  </si>
  <si>
    <t>Surface limbes</t>
  </si>
  <si>
    <t>Surface gaines</t>
  </si>
  <si>
    <t>Surface entrenoeuds</t>
  </si>
  <si>
    <t>%N limbes</t>
  </si>
  <si>
    <t>%N gaines</t>
  </si>
  <si>
    <t>%N entrenoeuds</t>
  </si>
  <si>
    <t>SLN limbes</t>
  </si>
  <si>
    <t>SLN gaines</t>
  </si>
  <si>
    <t>SLN entrenoeuds</t>
  </si>
  <si>
    <t>DistribN</t>
  </si>
  <si>
    <t>Soissons</t>
  </si>
  <si>
    <t>N+</t>
  </si>
  <si>
    <t>BM</t>
  </si>
  <si>
    <t/>
  </si>
  <si>
    <t>MS Shoot</t>
  </si>
  <si>
    <t>MS Shoot g</t>
  </si>
  <si>
    <t>N Shoot %</t>
  </si>
  <si>
    <t>Données Jessica Bertheloot</t>
  </si>
  <si>
    <t>Devienne 1994</t>
  </si>
  <si>
    <t>Blé 500°CJ après repiquage.</t>
  </si>
  <si>
    <t>=&gt; +/- 5 feuilles ligulées</t>
  </si>
  <si>
    <t>Cultivé en hydroponie avec différentes concentrations en NO3-</t>
  </si>
  <si>
    <t>Résultats ici pour NO3- max (plateau)</t>
  </si>
  <si>
    <t>N Roots %</t>
  </si>
  <si>
    <t>MS Roots g</t>
  </si>
  <si>
    <t>Justes 1994 INN</t>
  </si>
  <si>
    <t xml:space="preserve">Sortie hiver, plein tallage </t>
  </si>
  <si>
    <t>t/ha</t>
  </si>
  <si>
    <t>Proposé pour les faibles shoot DM</t>
  </si>
  <si>
    <t>Mais Fig 8 montre avec autres donées que N% peut être de l'ordre de 5.2 % pour les fabiles DM</t>
  </si>
  <si>
    <t>g</t>
  </si>
  <si>
    <t>Shoot</t>
  </si>
  <si>
    <t>Lawlor 1988</t>
  </si>
  <si>
    <t>valeurs pour les triangles pleins : Température fraiches et N+ à 250 °C J après semis</t>
  </si>
  <si>
    <t>(peu précis)</t>
  </si>
  <si>
    <t>Facteurs de conversions µmol C ou µmol N en g</t>
  </si>
  <si>
    <t>Coeff (g/µmol C ou N)</t>
  </si>
  <si>
    <t>Ratio AA/Prot</t>
  </si>
  <si>
    <t>%N Shoot</t>
  </si>
  <si>
    <t>%N Roots</t>
  </si>
  <si>
    <t>Ratio AA/Nitrates</t>
  </si>
  <si>
    <t>Sucres</t>
  </si>
  <si>
    <t>Allwood 2015</t>
  </si>
  <si>
    <t>concentrations par g de FW dans cellules matures de limbes de blé</t>
  </si>
  <si>
    <t>AA</t>
  </si>
  <si>
    <t>Solubles Prot</t>
  </si>
  <si>
    <t>mg</t>
  </si>
  <si>
    <t>µmol</t>
  </si>
  <si>
    <t>En µmol N</t>
  </si>
  <si>
    <t>MW moyenne des AA du phloème</t>
  </si>
  <si>
    <t>g/mol</t>
  </si>
  <si>
    <t>Nb moyen de mole de N par mole de AA</t>
  </si>
  <si>
    <t>Penning De Vries</t>
  </si>
  <si>
    <t>Proteines (specifically in enzymes and membranes) : 0.151 g N.g-1</t>
  </si>
  <si>
    <t>MW N</t>
  </si>
  <si>
    <t>FW</t>
  </si>
  <si>
    <t>DM</t>
  </si>
  <si>
    <t>µmol N / g mstruct</t>
  </si>
  <si>
    <t>Attention teneur en N totale très élevée si on la recalcule…</t>
  </si>
  <si>
    <t>max_proteins</t>
  </si>
  <si>
    <t>delta_internode_distance_to_emerge</t>
  </si>
  <si>
    <t>delta_internode_L</t>
  </si>
  <si>
    <t>delta_leaf_L</t>
  </si>
  <si>
    <t>delta_leaf_pseudostem_length</t>
  </si>
  <si>
    <t>delta_leaf_pseudo_age</t>
  </si>
  <si>
    <t>delta_internode_pseudo_age</t>
  </si>
  <si>
    <t>A 500 °Cj après semis</t>
  </si>
  <si>
    <t>shoot/root</t>
  </si>
  <si>
    <t>Manip en chambre de culture, blé de printemps</t>
  </si>
  <si>
    <t>Wilhelm 2002 : %N par phytomère et par organe, pour tous les axes</t>
  </si>
  <si>
    <t>Pas de gradient net pour les limbes matures à HS 5</t>
  </si>
  <si>
    <t>Limbes non matures ont %N plus élevé. Mais je ne sais pas quel est leur stade de développement, ni les parties du limbes qui sont considérées.</t>
  </si>
  <si>
    <t>DM (t/ha)</t>
  </si>
  <si>
    <t>DM (mg/pl)</t>
  </si>
  <si>
    <t>N crit</t>
  </si>
  <si>
    <t>Input Barillot 2016b</t>
  </si>
  <si>
    <t>cm2</t>
  </si>
  <si>
    <t>g m-2</t>
  </si>
  <si>
    <t>AU</t>
  </si>
  <si>
    <t>AU.g-1</t>
  </si>
  <si>
    <t>Phyto</t>
  </si>
  <si>
    <t>Organ</t>
  </si>
  <si>
    <t>area</t>
  </si>
  <si>
    <t>SSW</t>
  </si>
  <si>
    <t>cyto</t>
  </si>
  <si>
    <t>conc_cyto</t>
  </si>
  <si>
    <t>IN_exp</t>
  </si>
  <si>
    <t>IN_enc</t>
  </si>
  <si>
    <t>IN</t>
  </si>
  <si>
    <t>Roots</t>
  </si>
  <si>
    <t>Manip PostDoc Romain : dosage N précoce</t>
  </si>
  <si>
    <t>Date</t>
  </si>
  <si>
    <t>HS</t>
  </si>
  <si>
    <t>2 feuilles ligulees + 2 en croissance</t>
  </si>
  <si>
    <t>Étiquettes de lignes</t>
  </si>
  <si>
    <t>Moyenne de N [%]</t>
  </si>
  <si>
    <t>Écartype de N [%]</t>
  </si>
  <si>
    <t>Gaine</t>
  </si>
  <si>
    <t>Graines</t>
  </si>
  <si>
    <t>Limbe</t>
  </si>
  <si>
    <t>ENC</t>
  </si>
  <si>
    <t>EXP</t>
  </si>
  <si>
    <t>Densité semis</t>
  </si>
  <si>
    <t>170 pl.m-2</t>
  </si>
  <si>
    <t>%N</t>
  </si>
  <si>
    <t>shoot/roots</t>
  </si>
  <si>
    <t>Katterer 1993</t>
  </si>
  <si>
    <t>I</t>
  </si>
  <si>
    <t>IF</t>
  </si>
  <si>
    <t>C</t>
  </si>
  <si>
    <t>D</t>
  </si>
  <si>
    <t>Sh</t>
  </si>
  <si>
    <t>S</t>
  </si>
  <si>
    <t>R</t>
  </si>
  <si>
    <t>T</t>
  </si>
  <si>
    <t>R/T</t>
  </si>
  <si>
    <t>April</t>
  </si>
  <si>
    <t>May</t>
  </si>
  <si>
    <t>-</t>
  </si>
  <si>
    <t>June</t>
  </si>
  <si>
    <t>Aug</t>
  </si>
  <si>
    <t>Shoot/roots</t>
  </si>
  <si>
    <t>Biomass g.m-2</t>
  </si>
  <si>
    <t>Variety</t>
  </si>
  <si>
    <t>Anthesis</t>
  </si>
  <si>
    <t>Root</t>
  </si>
  <si>
    <t>Gamenya</t>
  </si>
  <si>
    <t>Kulin</t>
  </si>
  <si>
    <t>KCD0</t>
  </si>
  <si>
    <t>KCD1</t>
  </si>
  <si>
    <t>O'Connor</t>
  </si>
  <si>
    <t>Siddique 1990</t>
  </si>
  <si>
    <t>Purple Straw</t>
  </si>
  <si>
    <t>Days after sowing</t>
  </si>
  <si>
    <t>S/R</t>
  </si>
  <si>
    <t>DM in g/m2</t>
  </si>
  <si>
    <t>blé de printemps (?)</t>
  </si>
  <si>
    <t>Allard 2012</t>
  </si>
  <si>
    <t xml:space="preserve">R/S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</si>
</sst>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0.000E+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333333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ourier New"/>
      <family val="3"/>
    </font>
    <font>
      <i/>
      <sz val="10"/>
      <color theme="0" tint="-0.499984740745262"/>
      <name val="Courier New"/>
      <family val="3"/>
    </font>
    <font>
      <b/>
      <sz val="10"/>
      <color theme="0" tint="-0.499984740745262"/>
      <name val="Courier New"/>
      <family val="3"/>
    </font>
    <font>
      <sz val="11"/>
      <color theme="2" tint="-0.249977111117893"/>
      <name val="Calibri"/>
      <family val="2"/>
      <scheme val="minor"/>
    </font>
    <font>
      <sz val="10"/>
      <name val="Arial"/>
      <family val="2"/>
    </font>
    <font>
      <b/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11" fontId="0" fillId="0" borderId="0" xfId="0" applyNumberFormat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/>
    <xf numFmtId="11" fontId="2" fillId="0" borderId="0" xfId="0" applyNumberFormat="1" applyFont="1"/>
    <xf numFmtId="0" fontId="2" fillId="0" borderId="0" xfId="0" applyFont="1" applyAlignment="1">
      <alignment vertical="center" textRotation="90" wrapText="1"/>
    </xf>
    <xf numFmtId="0" fontId="2" fillId="0" borderId="1" xfId="0" applyFont="1" applyBorder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5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11" fontId="1" fillId="0" borderId="6" xfId="0" applyNumberFormat="1" applyFont="1" applyBorder="1"/>
    <xf numFmtId="0" fontId="1" fillId="0" borderId="1" xfId="0" applyFont="1" applyBorder="1"/>
    <xf numFmtId="11" fontId="1" fillId="0" borderId="1" xfId="0" applyNumberFormat="1" applyFont="1" applyBorder="1"/>
    <xf numFmtId="0" fontId="1" fillId="0" borderId="2" xfId="0" applyFont="1" applyBorder="1"/>
    <xf numFmtId="0" fontId="1" fillId="0" borderId="10" xfId="0" applyFont="1" applyBorder="1"/>
    <xf numFmtId="0" fontId="0" fillId="0" borderId="11" xfId="0" applyBorder="1"/>
    <xf numFmtId="0" fontId="1" fillId="0" borderId="12" xfId="0" applyFont="1" applyBorder="1"/>
    <xf numFmtId="0" fontId="11" fillId="0" borderId="0" xfId="0" applyFont="1"/>
    <xf numFmtId="11" fontId="11" fillId="0" borderId="0" xfId="0" applyNumberFormat="1" applyFont="1"/>
    <xf numFmtId="2" fontId="1" fillId="0" borderId="11" xfId="0" applyNumberFormat="1" applyFont="1" applyBorder="1"/>
    <xf numFmtId="14" fontId="0" fillId="0" borderId="0" xfId="0" applyNumberFormat="1"/>
    <xf numFmtId="164" fontId="12" fillId="3" borderId="0" xfId="0" applyNumberFormat="1" applyFont="1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" xfId="0" applyBorder="1"/>
    <xf numFmtId="0" fontId="13" fillId="0" borderId="0" xfId="0" applyFont="1"/>
    <xf numFmtId="2" fontId="0" fillId="0" borderId="0" xfId="0" applyNumberFormat="1"/>
    <xf numFmtId="0" fontId="0" fillId="0" borderId="13" xfId="0" applyBorder="1"/>
    <xf numFmtId="0" fontId="2" fillId="4" borderId="0" xfId="0" applyFont="1" applyFill="1"/>
    <xf numFmtId="0" fontId="0" fillId="4" borderId="0" xfId="0" applyFill="1"/>
    <xf numFmtId="0" fontId="0" fillId="0" borderId="0" xfId="0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14" fillId="0" borderId="0" xfId="0" applyFont="1"/>
    <xf numFmtId="0" fontId="6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68</xdr:row>
      <xdr:rowOff>180975</xdr:rowOff>
    </xdr:from>
    <xdr:to>
      <xdr:col>11</xdr:col>
      <xdr:colOff>674483</xdr:colOff>
      <xdr:row>87</xdr:row>
      <xdr:rowOff>109655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13134975"/>
          <a:ext cx="5694158" cy="3548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0</xdr:row>
      <xdr:rowOff>142875</xdr:rowOff>
    </xdr:from>
    <xdr:to>
      <xdr:col>12</xdr:col>
      <xdr:colOff>561205</xdr:colOff>
      <xdr:row>17</xdr:row>
      <xdr:rowOff>180565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3300" y="142875"/>
          <a:ext cx="6161905" cy="3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30"/>
  <sheetViews>
    <sheetView workbookViewId="0"/>
  </sheetViews>
  <sheetFormatPr baseColWidth="10" defaultRowHeight="15" x14ac:dyDescent="0.25"/>
  <cols>
    <col min="5" max="5" width="12" bestFit="1" customWidth="1"/>
    <col min="35" max="35" width="17.85546875" bestFit="1" customWidth="1"/>
    <col min="36" max="36" width="21.7109375" bestFit="1" customWidth="1"/>
    <col min="42" max="42" width="12" bestFit="1" customWidth="1"/>
  </cols>
  <sheetData>
    <row r="2" spans="1:48" s="4" customFormat="1" ht="15" customHeight="1" x14ac:dyDescent="0.25">
      <c r="A2" s="49" t="s">
        <v>70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153</v>
      </c>
      <c r="N2" s="7" t="s">
        <v>154</v>
      </c>
      <c r="O2" s="7" t="s">
        <v>149</v>
      </c>
      <c r="P2" s="7" t="s">
        <v>150</v>
      </c>
      <c r="Q2" s="7" t="s">
        <v>151</v>
      </c>
      <c r="R2" s="7" t="s">
        <v>152</v>
      </c>
      <c r="S2" s="7" t="s">
        <v>11</v>
      </c>
      <c r="T2" s="7" t="s">
        <v>12</v>
      </c>
      <c r="U2" s="7" t="s">
        <v>13</v>
      </c>
      <c r="V2" s="7" t="s">
        <v>14</v>
      </c>
      <c r="W2" s="7" t="s">
        <v>15</v>
      </c>
      <c r="X2" s="7" t="s">
        <v>16</v>
      </c>
      <c r="Y2" s="7" t="s">
        <v>17</v>
      </c>
      <c r="Z2" s="7" t="s">
        <v>18</v>
      </c>
      <c r="AA2" s="7" t="s">
        <v>19</v>
      </c>
      <c r="AB2" s="7" t="s">
        <v>20</v>
      </c>
      <c r="AC2" s="7" t="s">
        <v>21</v>
      </c>
      <c r="AD2" s="7" t="s">
        <v>22</v>
      </c>
      <c r="AE2" s="7" t="s">
        <v>23</v>
      </c>
      <c r="AF2" s="7" t="s">
        <v>24</v>
      </c>
      <c r="AG2" s="7" t="s">
        <v>25</v>
      </c>
      <c r="AH2" s="7" t="s">
        <v>26</v>
      </c>
      <c r="AI2" s="7" t="s">
        <v>27</v>
      </c>
      <c r="AJ2" s="7" t="s">
        <v>28</v>
      </c>
      <c r="AK2" s="7" t="s">
        <v>29</v>
      </c>
      <c r="AL2" s="7" t="s">
        <v>43</v>
      </c>
      <c r="AM2" s="14" t="s">
        <v>193</v>
      </c>
      <c r="AN2" s="14" t="s">
        <v>22</v>
      </c>
      <c r="AO2" s="14" t="s">
        <v>24</v>
      </c>
      <c r="AP2" s="8" t="s">
        <v>63</v>
      </c>
      <c r="AQ2" s="8" t="s">
        <v>53</v>
      </c>
      <c r="AR2" s="8" t="s">
        <v>54</v>
      </c>
      <c r="AS2" s="8" t="s">
        <v>55</v>
      </c>
      <c r="AT2" s="8" t="s">
        <v>56</v>
      </c>
      <c r="AU2" s="8"/>
      <c r="AV2" s="8" t="s">
        <v>61</v>
      </c>
    </row>
    <row r="3" spans="1:48" x14ac:dyDescent="0.25">
      <c r="A3" s="49"/>
      <c r="B3">
        <v>1</v>
      </c>
      <c r="C3" t="s">
        <v>30</v>
      </c>
      <c r="D3">
        <v>3</v>
      </c>
      <c r="E3">
        <v>1589281</v>
      </c>
      <c r="F3">
        <f>432000*24/12</f>
        <v>864000</v>
      </c>
      <c r="G3" t="s">
        <v>31</v>
      </c>
      <c r="H3" t="s">
        <v>31</v>
      </c>
      <c r="I3">
        <f>G14+G17-L3</f>
        <v>2.895E-2</v>
      </c>
      <c r="J3">
        <f>I3-L3</f>
        <v>2.8899999999999999E-2</v>
      </c>
      <c r="K3">
        <v>9.2499999999999999E-2</v>
      </c>
      <c r="L3">
        <v>5.0000000000000002E-5</v>
      </c>
      <c r="M3">
        <v>3600</v>
      </c>
      <c r="N3">
        <v>3600</v>
      </c>
      <c r="O3">
        <v>0</v>
      </c>
      <c r="P3">
        <v>0</v>
      </c>
      <c r="Q3">
        <v>0</v>
      </c>
      <c r="R3">
        <v>0</v>
      </c>
      <c r="S3">
        <v>0.12280000000000001</v>
      </c>
      <c r="T3">
        <v>9.3426658551430383E-2</v>
      </c>
      <c r="U3">
        <v>2.9373341448569623E-2</v>
      </c>
      <c r="V3">
        <v>5.0000000000000001E-3</v>
      </c>
      <c r="W3">
        <v>27.6</v>
      </c>
      <c r="X3">
        <v>0.08</v>
      </c>
      <c r="Y3" t="s">
        <v>31</v>
      </c>
      <c r="Z3" t="s">
        <v>32</v>
      </c>
      <c r="AA3">
        <v>1</v>
      </c>
      <c r="AB3" t="s">
        <v>33</v>
      </c>
      <c r="AC3" s="1">
        <f t="shared" ref="AC3:AC10" si="0">AI3*$AA$14</f>
        <v>4.4515747404911092</v>
      </c>
      <c r="AD3" s="1">
        <f>AI3*$AN3</f>
        <v>0.56052414587208832</v>
      </c>
      <c r="AE3">
        <v>0</v>
      </c>
      <c r="AF3" s="48">
        <f>AI3*$AO3</f>
        <v>8.00748779817269</v>
      </c>
      <c r="AG3" s="1">
        <f>AS3</f>
        <v>1.8534983222633695E-3</v>
      </c>
      <c r="AH3" s="1">
        <f>AV3</f>
        <v>1.3244862745926676E-6</v>
      </c>
      <c r="AI3" s="1">
        <f>AG3+AH3</f>
        <v>1.8548228085379622E-3</v>
      </c>
      <c r="AJ3" s="1">
        <f>AG3*0.005</f>
        <v>9.267491611316847E-6</v>
      </c>
      <c r="AK3">
        <f>AH3*0.005</f>
        <v>6.6224313729633385E-9</v>
      </c>
      <c r="AL3">
        <f>AJ3+AK3</f>
        <v>9.2741140426898098E-6</v>
      </c>
      <c r="AM3" s="15">
        <v>4.5999999999999996</v>
      </c>
      <c r="AN3" s="15">
        <f>(($AM3/100)*(1+$AA$14*$E$29)-$X$14)/(((1+1/$W$21)*(14*10^(-6)))-(($J$29/$W$21+$F$29)*$AM3/100))</f>
        <v>302.19821715148822</v>
      </c>
      <c r="AO3" s="15">
        <f>$AN3/$W$21</f>
        <v>4317.117387878403</v>
      </c>
      <c r="AP3" s="9">
        <v>851425</v>
      </c>
      <c r="AQ3" s="10">
        <f>$T$25+$T$26*$T$28*(I3)^$T$27</f>
        <v>9.1058115591388438E-4</v>
      </c>
      <c r="AR3" s="9">
        <f t="shared" ref="AR3:AR10" si="1">I3*X3</f>
        <v>2.3159999999999999E-3</v>
      </c>
      <c r="AS3" s="10">
        <f>((AR3-AQ3)/($T$29-AP3))*(E3-$T$29)+AR3</f>
        <v>1.8534983222633695E-3</v>
      </c>
      <c r="AT3" s="10">
        <f t="shared" ref="AT3:AT10" si="2">$T$25+$T$26*$T$28*(K3)^$T$27</f>
        <v>4.0277279389003447E-3</v>
      </c>
      <c r="AU3" s="9"/>
      <c r="AV3" s="9">
        <f t="shared" ref="AV3:AV10" si="3">$AR$18*$AQ$20*$AQ$22*(L3)^$AQ$19</f>
        <v>1.3244862745926676E-6</v>
      </c>
    </row>
    <row r="4" spans="1:48" x14ac:dyDescent="0.25">
      <c r="A4" s="49"/>
      <c r="B4">
        <v>1</v>
      </c>
      <c r="C4" t="s">
        <v>30</v>
      </c>
      <c r="D4">
        <v>4</v>
      </c>
      <c r="E4">
        <v>776406</v>
      </c>
      <c r="F4">
        <v>0</v>
      </c>
      <c r="G4" t="s">
        <v>31</v>
      </c>
      <c r="H4" t="s">
        <v>31</v>
      </c>
      <c r="I4">
        <f>I3-L4</f>
        <v>2.894E-2</v>
      </c>
      <c r="J4">
        <f t="shared" ref="J4:J10" si="4">I4-L4</f>
        <v>2.8930000000000001E-2</v>
      </c>
      <c r="K4">
        <v>2.5999999999999999E-2</v>
      </c>
      <c r="L4">
        <v>1.0000000000000001E-5</v>
      </c>
      <c r="M4">
        <v>3600</v>
      </c>
      <c r="N4">
        <v>0</v>
      </c>
      <c r="O4">
        <v>0</v>
      </c>
      <c r="P4">
        <v>0</v>
      </c>
      <c r="Q4">
        <v>0</v>
      </c>
      <c r="R4">
        <v>0</v>
      </c>
      <c r="S4">
        <v>0.1331</v>
      </c>
      <c r="T4">
        <v>9.9106478034251738E-2</v>
      </c>
      <c r="U4">
        <v>3.3993521965748258E-2</v>
      </c>
      <c r="V4">
        <v>5.4999999999999997E-3</v>
      </c>
      <c r="W4">
        <v>27.6</v>
      </c>
      <c r="X4">
        <v>0.08</v>
      </c>
      <c r="Y4" t="s">
        <v>33</v>
      </c>
      <c r="Z4" t="s">
        <v>32</v>
      </c>
      <c r="AA4" t="s">
        <v>32</v>
      </c>
      <c r="AB4" t="s">
        <v>33</v>
      </c>
      <c r="AC4" s="1">
        <f t="shared" si="0"/>
        <v>1.9049336424038494</v>
      </c>
      <c r="AD4" s="1">
        <f t="shared" ref="AD4:AD10" si="5">AI4*$AN4</f>
        <v>0.35221208552901617</v>
      </c>
      <c r="AE4">
        <v>0</v>
      </c>
      <c r="AF4" s="48">
        <f>AI4*$AO4</f>
        <v>5.0316012218430881</v>
      </c>
      <c r="AG4" s="1">
        <f>AT4</f>
        <v>7.9355355356128927E-4</v>
      </c>
      <c r="AH4" s="1">
        <f>AV4</f>
        <v>1.6879744031468265E-7</v>
      </c>
      <c r="AI4">
        <f t="shared" ref="AI4:AI10" si="6">AG4+AH4</f>
        <v>7.9372235100160394E-4</v>
      </c>
      <c r="AJ4">
        <f t="shared" ref="AJ4:AK10" si="7">AG4*0.005</f>
        <v>3.9677677678064465E-6</v>
      </c>
      <c r="AK4">
        <f t="shared" si="7"/>
        <v>8.4398720157341326E-10</v>
      </c>
      <c r="AL4">
        <f t="shared" ref="AL4:AL10" si="8">AJ4+AK4</f>
        <v>3.9686117550080197E-6</v>
      </c>
      <c r="AM4" s="15">
        <v>5.8</v>
      </c>
      <c r="AN4" s="15">
        <f t="shared" ref="AN4:AN10" si="9">(($AM4/100)*(1+$AA$14*$E$29)-$X$14)/(((1+1/$W$21)*(14*10^(-6)))-(($J$29/$W$21+$F$29)*$AM4/100))</f>
        <v>443.74721851357367</v>
      </c>
      <c r="AO4" s="15">
        <f t="shared" ref="AO4:AO10" si="10">$AN4/$W$21</f>
        <v>6339.2459787653379</v>
      </c>
      <c r="AP4" s="9">
        <v>818263</v>
      </c>
      <c r="AQ4" s="10">
        <f>$T$25+$T$26*$T$28*(I4)^$T$27</f>
        <v>9.1017858127080242E-4</v>
      </c>
      <c r="AR4" s="9">
        <f t="shared" si="1"/>
        <v>2.3151999999999999E-3</v>
      </c>
      <c r="AS4" s="10">
        <f>((AR4-AQ4)/($T$29-AP4))*(E4-$T$29)+AR4</f>
        <v>8.5826926811062858E-4</v>
      </c>
      <c r="AT4" s="10">
        <f t="shared" si="2"/>
        <v>7.9355355356128927E-4</v>
      </c>
      <c r="AU4" s="9"/>
      <c r="AV4" s="9">
        <f t="shared" si="3"/>
        <v>1.6879744031468265E-7</v>
      </c>
    </row>
    <row r="5" spans="1:48" x14ac:dyDescent="0.25">
      <c r="A5" s="49"/>
      <c r="B5">
        <v>1</v>
      </c>
      <c r="C5" t="s">
        <v>30</v>
      </c>
      <c r="D5">
        <v>5</v>
      </c>
      <c r="E5">
        <v>0</v>
      </c>
      <c r="F5">
        <v>0</v>
      </c>
      <c r="G5" t="s">
        <v>31</v>
      </c>
      <c r="H5" t="s">
        <v>33</v>
      </c>
      <c r="I5">
        <f>I4-L5</f>
        <v>2.894E-2</v>
      </c>
      <c r="J5">
        <f t="shared" si="4"/>
        <v>2.894E-2</v>
      </c>
      <c r="K5">
        <v>2E-3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32</v>
      </c>
      <c r="T5" t="s">
        <v>32</v>
      </c>
      <c r="U5" t="s">
        <v>32</v>
      </c>
      <c r="V5" t="s">
        <v>32</v>
      </c>
      <c r="W5" t="s">
        <v>32</v>
      </c>
      <c r="X5" t="s">
        <v>32</v>
      </c>
      <c r="Y5" t="s">
        <v>33</v>
      </c>
      <c r="Z5" t="s">
        <v>32</v>
      </c>
      <c r="AA5" t="s">
        <v>32</v>
      </c>
      <c r="AB5" t="s">
        <v>33</v>
      </c>
      <c r="AC5" s="1">
        <f t="shared" si="0"/>
        <v>7.1500975098674133E-2</v>
      </c>
      <c r="AD5" s="1">
        <f t="shared" si="5"/>
        <v>1.3220149508768726E-2</v>
      </c>
      <c r="AE5">
        <v>0</v>
      </c>
      <c r="AF5" s="48">
        <f>AI5*$AO5</f>
        <v>0.18885927869669608</v>
      </c>
      <c r="AG5" s="1">
        <f>AT5</f>
        <v>2.9792072957780891E-5</v>
      </c>
      <c r="AH5" s="1">
        <v>0</v>
      </c>
      <c r="AI5">
        <f t="shared" si="6"/>
        <v>2.9792072957780891E-5</v>
      </c>
      <c r="AJ5">
        <f t="shared" si="7"/>
        <v>1.4896036478890447E-7</v>
      </c>
      <c r="AK5">
        <f t="shared" si="7"/>
        <v>0</v>
      </c>
      <c r="AL5">
        <f t="shared" si="8"/>
        <v>1.4896036478890447E-7</v>
      </c>
      <c r="AM5" s="15">
        <v>5.8</v>
      </c>
      <c r="AN5" s="15">
        <f t="shared" si="9"/>
        <v>443.74721851357367</v>
      </c>
      <c r="AO5" s="15">
        <f t="shared" si="10"/>
        <v>6339.2459787653379</v>
      </c>
      <c r="AP5" s="9"/>
      <c r="AQ5" s="10" t="e">
        <f t="shared" ref="AQ5:AQ10" si="11">$T$25+$T$26*$T$28*(S5*$T$30)^$T$27</f>
        <v>#VALUE!</v>
      </c>
      <c r="AR5" s="9" t="e">
        <f t="shared" si="1"/>
        <v>#VALUE!</v>
      </c>
      <c r="AS5" s="10" t="e">
        <f t="shared" ref="AS5:AS10" si="12">AQ5+((AR5-AQ5)/$T$29)*E5</f>
        <v>#VALUE!</v>
      </c>
      <c r="AT5" s="10">
        <f t="shared" si="2"/>
        <v>2.9792072957780891E-5</v>
      </c>
      <c r="AU5" s="9"/>
      <c r="AV5" s="9">
        <f t="shared" si="3"/>
        <v>0</v>
      </c>
    </row>
    <row r="6" spans="1:48" x14ac:dyDescent="0.25">
      <c r="A6" s="49"/>
      <c r="B6">
        <v>1</v>
      </c>
      <c r="C6" t="s">
        <v>30</v>
      </c>
      <c r="D6">
        <v>6</v>
      </c>
      <c r="E6">
        <v>0</v>
      </c>
      <c r="F6">
        <v>0</v>
      </c>
      <c r="G6" t="s">
        <v>31</v>
      </c>
      <c r="H6" t="s">
        <v>33</v>
      </c>
      <c r="I6">
        <f t="shared" ref="I6:I10" si="13">I5-L6</f>
        <v>2.894E-2</v>
      </c>
      <c r="J6">
        <f t="shared" si="4"/>
        <v>2.894E-2</v>
      </c>
      <c r="K6">
        <v>7.2000000000000005E-4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32</v>
      </c>
      <c r="T6" t="s">
        <v>32</v>
      </c>
      <c r="U6" t="s">
        <v>32</v>
      </c>
      <c r="V6" t="s">
        <v>32</v>
      </c>
      <c r="W6" t="s">
        <v>32</v>
      </c>
      <c r="X6" t="s">
        <v>32</v>
      </c>
      <c r="Y6" t="s">
        <v>33</v>
      </c>
      <c r="Z6" t="s">
        <v>32</v>
      </c>
      <c r="AA6" t="s">
        <v>32</v>
      </c>
      <c r="AB6" t="s">
        <v>33</v>
      </c>
      <c r="AC6" s="1">
        <f t="shared" si="0"/>
        <v>1.9382957959312792E-2</v>
      </c>
      <c r="AD6" s="1">
        <f t="shared" si="5"/>
        <v>3.5838057004210768E-3</v>
      </c>
      <c r="AE6">
        <v>0</v>
      </c>
      <c r="AF6" s="48">
        <f t="shared" ref="AF6:AF8" si="14">AI6*$AO6</f>
        <v>5.1197224291729668E-2</v>
      </c>
      <c r="AG6" s="1">
        <f t="shared" ref="AG6:AG10" si="15">AT6</f>
        <v>8.076232483046996E-6</v>
      </c>
      <c r="AH6" s="1">
        <v>0</v>
      </c>
      <c r="AI6">
        <f t="shared" si="6"/>
        <v>8.076232483046996E-6</v>
      </c>
      <c r="AJ6">
        <f t="shared" si="7"/>
        <v>4.0381162415234981E-8</v>
      </c>
      <c r="AK6">
        <f t="shared" si="7"/>
        <v>0</v>
      </c>
      <c r="AL6">
        <f t="shared" si="8"/>
        <v>4.0381162415234981E-8</v>
      </c>
      <c r="AM6" s="15">
        <v>5.8</v>
      </c>
      <c r="AN6" s="15">
        <f t="shared" si="9"/>
        <v>443.74721851357367</v>
      </c>
      <c r="AO6" s="15">
        <f t="shared" si="10"/>
        <v>6339.2459787653379</v>
      </c>
      <c r="AP6" s="9"/>
      <c r="AQ6" s="10" t="e">
        <f t="shared" si="11"/>
        <v>#VALUE!</v>
      </c>
      <c r="AR6" s="9" t="e">
        <f t="shared" si="1"/>
        <v>#VALUE!</v>
      </c>
      <c r="AS6" s="10" t="e">
        <f t="shared" si="12"/>
        <v>#VALUE!</v>
      </c>
      <c r="AT6" s="10">
        <f t="shared" si="2"/>
        <v>8.076232483046996E-6</v>
      </c>
      <c r="AU6" s="9"/>
      <c r="AV6" s="9">
        <f t="shared" si="3"/>
        <v>0</v>
      </c>
    </row>
    <row r="7" spans="1:48" x14ac:dyDescent="0.25">
      <c r="A7" s="49"/>
      <c r="B7">
        <v>1</v>
      </c>
      <c r="C7" t="s">
        <v>30</v>
      </c>
      <c r="D7">
        <v>7</v>
      </c>
      <c r="E7">
        <v>0</v>
      </c>
      <c r="F7">
        <v>0</v>
      </c>
      <c r="G7" t="s">
        <v>31</v>
      </c>
      <c r="H7" t="s">
        <v>33</v>
      </c>
      <c r="I7">
        <f t="shared" si="13"/>
        <v>2.894E-2</v>
      </c>
      <c r="J7">
        <f t="shared" si="4"/>
        <v>2.894E-2</v>
      </c>
      <c r="K7">
        <v>3.1E-4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32</v>
      </c>
      <c r="T7" t="s">
        <v>32</v>
      </c>
      <c r="U7" t="s">
        <v>32</v>
      </c>
      <c r="V7" t="s">
        <v>32</v>
      </c>
      <c r="W7" t="s">
        <v>32</v>
      </c>
      <c r="X7" t="s">
        <v>32</v>
      </c>
      <c r="Y7" t="s">
        <v>33</v>
      </c>
      <c r="Z7" t="s">
        <v>32</v>
      </c>
      <c r="AA7" t="s">
        <v>32</v>
      </c>
      <c r="AB7" t="s">
        <v>33</v>
      </c>
      <c r="AC7" s="1">
        <f t="shared" si="0"/>
        <v>6.6333684327132391E-3</v>
      </c>
      <c r="AD7" s="1">
        <f t="shared" si="5"/>
        <v>1.2264744964134348E-3</v>
      </c>
      <c r="AE7">
        <v>0</v>
      </c>
      <c r="AF7" s="48">
        <f t="shared" si="14"/>
        <v>1.7521064234477638E-2</v>
      </c>
      <c r="AG7" s="1">
        <f t="shared" si="15"/>
        <v>2.7639035136305163E-6</v>
      </c>
      <c r="AH7" s="1">
        <v>0</v>
      </c>
      <c r="AI7">
        <f t="shared" si="6"/>
        <v>2.7639035136305163E-6</v>
      </c>
      <c r="AJ7">
        <f t="shared" si="7"/>
        <v>1.3819517568152583E-8</v>
      </c>
      <c r="AK7">
        <f t="shared" si="7"/>
        <v>0</v>
      </c>
      <c r="AL7">
        <f t="shared" si="8"/>
        <v>1.3819517568152583E-8</v>
      </c>
      <c r="AM7" s="15">
        <v>5.8</v>
      </c>
      <c r="AN7" s="15">
        <f t="shared" si="9"/>
        <v>443.74721851357367</v>
      </c>
      <c r="AO7" s="15">
        <f t="shared" si="10"/>
        <v>6339.2459787653379</v>
      </c>
      <c r="AP7" s="9"/>
      <c r="AQ7" s="10" t="e">
        <f t="shared" si="11"/>
        <v>#VALUE!</v>
      </c>
      <c r="AR7" s="9" t="e">
        <f t="shared" si="1"/>
        <v>#VALUE!</v>
      </c>
      <c r="AS7" s="10" t="e">
        <f t="shared" si="12"/>
        <v>#VALUE!</v>
      </c>
      <c r="AT7" s="10">
        <f t="shared" si="2"/>
        <v>2.7639035136305163E-6</v>
      </c>
      <c r="AU7" s="9"/>
      <c r="AV7" s="9">
        <f t="shared" si="3"/>
        <v>0</v>
      </c>
    </row>
    <row r="8" spans="1:48" x14ac:dyDescent="0.25">
      <c r="A8" s="49"/>
      <c r="B8">
        <v>1</v>
      </c>
      <c r="C8" t="s">
        <v>30</v>
      </c>
      <c r="D8">
        <v>8</v>
      </c>
      <c r="E8">
        <v>0</v>
      </c>
      <c r="F8">
        <v>0</v>
      </c>
      <c r="G8" t="s">
        <v>31</v>
      </c>
      <c r="H8" t="s">
        <v>33</v>
      </c>
      <c r="I8">
        <f t="shared" si="13"/>
        <v>2.894E-2</v>
      </c>
      <c r="J8">
        <f t="shared" si="4"/>
        <v>2.894E-2</v>
      </c>
      <c r="K8">
        <v>1.6000000000000001E-4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32</v>
      </c>
      <c r="T8" t="s">
        <v>32</v>
      </c>
      <c r="U8" t="s">
        <v>32</v>
      </c>
      <c r="V8" t="s">
        <v>32</v>
      </c>
      <c r="W8" t="s">
        <v>32</v>
      </c>
      <c r="X8" t="s">
        <v>32</v>
      </c>
      <c r="Y8" t="s">
        <v>33</v>
      </c>
      <c r="Z8" t="s">
        <v>32</v>
      </c>
      <c r="AA8" t="s">
        <v>32</v>
      </c>
      <c r="AB8" t="s">
        <v>33</v>
      </c>
      <c r="AC8" s="1">
        <f t="shared" si="0"/>
        <v>2.8812086491411585E-3</v>
      </c>
      <c r="AD8" s="1">
        <f t="shared" si="5"/>
        <v>5.3272013500568337E-4</v>
      </c>
      <c r="AE8">
        <v>0</v>
      </c>
      <c r="AF8" s="48">
        <f t="shared" si="14"/>
        <v>7.610287642938334E-3</v>
      </c>
      <c r="AG8" s="1">
        <f t="shared" si="15"/>
        <v>1.2005036038088161E-6</v>
      </c>
      <c r="AH8" s="1">
        <v>0</v>
      </c>
      <c r="AI8">
        <f t="shared" si="6"/>
        <v>1.2005036038088161E-6</v>
      </c>
      <c r="AJ8">
        <f t="shared" si="7"/>
        <v>6.0025180190440811E-9</v>
      </c>
      <c r="AK8">
        <f t="shared" si="7"/>
        <v>0</v>
      </c>
      <c r="AL8">
        <f t="shared" si="8"/>
        <v>6.0025180190440811E-9</v>
      </c>
      <c r="AM8" s="15">
        <v>5.8</v>
      </c>
      <c r="AN8" s="15">
        <f t="shared" si="9"/>
        <v>443.74721851357367</v>
      </c>
      <c r="AO8" s="15">
        <f t="shared" si="10"/>
        <v>6339.2459787653379</v>
      </c>
      <c r="AP8" s="9"/>
      <c r="AQ8" s="10" t="e">
        <f t="shared" si="11"/>
        <v>#VALUE!</v>
      </c>
      <c r="AR8" s="9" t="e">
        <f t="shared" si="1"/>
        <v>#VALUE!</v>
      </c>
      <c r="AS8" s="10" t="e">
        <f t="shared" si="12"/>
        <v>#VALUE!</v>
      </c>
      <c r="AT8" s="10">
        <f t="shared" si="2"/>
        <v>1.2005036038088161E-6</v>
      </c>
      <c r="AU8" s="9"/>
      <c r="AV8" s="9">
        <f t="shared" si="3"/>
        <v>0</v>
      </c>
    </row>
    <row r="9" spans="1:48" x14ac:dyDescent="0.25">
      <c r="A9" s="49"/>
      <c r="B9">
        <v>1</v>
      </c>
      <c r="C9" t="s">
        <v>30</v>
      </c>
      <c r="D9">
        <v>9</v>
      </c>
      <c r="E9">
        <v>0</v>
      </c>
      <c r="F9">
        <v>0</v>
      </c>
      <c r="G9" t="s">
        <v>31</v>
      </c>
      <c r="H9" t="s">
        <v>33</v>
      </c>
      <c r="I9">
        <f t="shared" si="13"/>
        <v>2.894E-2</v>
      </c>
      <c r="J9">
        <f t="shared" si="4"/>
        <v>2.894E-2</v>
      </c>
      <c r="K9" s="1">
        <v>6.9999999999999994E-5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32</v>
      </c>
      <c r="T9" t="s">
        <v>32</v>
      </c>
      <c r="U9" t="s">
        <v>32</v>
      </c>
      <c r="V9" t="s">
        <v>32</v>
      </c>
      <c r="W9" t="s">
        <v>32</v>
      </c>
      <c r="X9" t="s">
        <v>32</v>
      </c>
      <c r="Y9" t="s">
        <v>33</v>
      </c>
      <c r="Z9" t="s">
        <v>32</v>
      </c>
      <c r="AA9" t="s">
        <v>32</v>
      </c>
      <c r="AB9" t="s">
        <v>33</v>
      </c>
      <c r="AC9" s="1">
        <f t="shared" si="0"/>
        <v>1.0415858814104091E-3</v>
      </c>
      <c r="AD9" s="1">
        <f t="shared" si="5"/>
        <v>1.9258368238286587E-4</v>
      </c>
      <c r="AE9">
        <v>0</v>
      </c>
      <c r="AF9" s="48">
        <f>AI9*$AO9</f>
        <v>2.7511954626123691E-3</v>
      </c>
      <c r="AG9" s="1">
        <f t="shared" si="15"/>
        <v>4.3399411725433714E-7</v>
      </c>
      <c r="AH9" s="1">
        <v>0</v>
      </c>
      <c r="AI9">
        <f t="shared" si="6"/>
        <v>4.3399411725433714E-7</v>
      </c>
      <c r="AJ9">
        <f t="shared" si="7"/>
        <v>2.1699705862716857E-9</v>
      </c>
      <c r="AK9">
        <f t="shared" si="7"/>
        <v>0</v>
      </c>
      <c r="AL9">
        <f t="shared" si="8"/>
        <v>2.1699705862716857E-9</v>
      </c>
      <c r="AM9" s="15">
        <v>5.8</v>
      </c>
      <c r="AN9" s="15">
        <f t="shared" si="9"/>
        <v>443.74721851357367</v>
      </c>
      <c r="AO9" s="15">
        <f t="shared" si="10"/>
        <v>6339.2459787653379</v>
      </c>
      <c r="AP9" s="9"/>
      <c r="AQ9" s="10" t="e">
        <f t="shared" si="11"/>
        <v>#VALUE!</v>
      </c>
      <c r="AR9" s="9" t="e">
        <f t="shared" si="1"/>
        <v>#VALUE!</v>
      </c>
      <c r="AS9" s="10" t="e">
        <f t="shared" si="12"/>
        <v>#VALUE!</v>
      </c>
      <c r="AT9" s="10">
        <f t="shared" si="2"/>
        <v>4.3399411725433714E-7</v>
      </c>
      <c r="AU9" s="9"/>
      <c r="AV9" s="9">
        <f t="shared" si="3"/>
        <v>0</v>
      </c>
    </row>
    <row r="10" spans="1:48" x14ac:dyDescent="0.25">
      <c r="A10" s="49"/>
      <c r="B10">
        <v>1</v>
      </c>
      <c r="C10" t="s">
        <v>30</v>
      </c>
      <c r="D10">
        <v>10</v>
      </c>
      <c r="E10">
        <v>0</v>
      </c>
      <c r="F10">
        <v>0</v>
      </c>
      <c r="G10" t="s">
        <v>31</v>
      </c>
      <c r="H10" t="s">
        <v>33</v>
      </c>
      <c r="I10">
        <f t="shared" si="13"/>
        <v>2.894E-2</v>
      </c>
      <c r="J10">
        <f t="shared" si="4"/>
        <v>2.894E-2</v>
      </c>
      <c r="K10" s="1">
        <v>5.0000000000000002E-5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32</v>
      </c>
      <c r="T10" t="s">
        <v>32</v>
      </c>
      <c r="U10" t="s">
        <v>32</v>
      </c>
      <c r="V10" t="s">
        <v>32</v>
      </c>
      <c r="W10" t="s">
        <v>32</v>
      </c>
      <c r="X10" t="s">
        <v>32</v>
      </c>
      <c r="Y10" t="s">
        <v>33</v>
      </c>
      <c r="Z10" t="s">
        <v>32</v>
      </c>
      <c r="AA10" t="s">
        <v>32</v>
      </c>
      <c r="AB10" t="s">
        <v>33</v>
      </c>
      <c r="AC10" s="1">
        <f t="shared" si="0"/>
        <v>6.9935341180448038E-4</v>
      </c>
      <c r="AD10" s="1">
        <f t="shared" si="5"/>
        <v>1.2930672135259003E-4</v>
      </c>
      <c r="AE10">
        <v>0</v>
      </c>
      <c r="AF10" s="48">
        <f>AI10*$AO10</f>
        <v>1.8472388764655715E-3</v>
      </c>
      <c r="AG10" s="1">
        <f t="shared" si="15"/>
        <v>2.9139725491853351E-7</v>
      </c>
      <c r="AH10" s="1">
        <v>0</v>
      </c>
      <c r="AI10">
        <f t="shared" si="6"/>
        <v>2.9139725491853351E-7</v>
      </c>
      <c r="AJ10">
        <f t="shared" si="7"/>
        <v>1.4569862745926675E-9</v>
      </c>
      <c r="AK10">
        <f t="shared" si="7"/>
        <v>0</v>
      </c>
      <c r="AL10">
        <f t="shared" si="8"/>
        <v>1.4569862745926675E-9</v>
      </c>
      <c r="AM10" s="16">
        <v>5.8</v>
      </c>
      <c r="AN10" s="16">
        <f t="shared" si="9"/>
        <v>443.74721851357367</v>
      </c>
      <c r="AO10" s="16">
        <f t="shared" si="10"/>
        <v>6339.2459787653379</v>
      </c>
      <c r="AP10" s="9"/>
      <c r="AQ10" s="10" t="e">
        <f t="shared" si="11"/>
        <v>#VALUE!</v>
      </c>
      <c r="AR10" s="9" t="e">
        <f t="shared" si="1"/>
        <v>#VALUE!</v>
      </c>
      <c r="AS10" s="10" t="e">
        <f t="shared" si="12"/>
        <v>#VALUE!</v>
      </c>
      <c r="AT10" s="10">
        <f t="shared" si="2"/>
        <v>2.9139725491853351E-7</v>
      </c>
      <c r="AU10" s="9"/>
      <c r="AV10" s="9">
        <f t="shared" si="3"/>
        <v>0</v>
      </c>
    </row>
    <row r="11" spans="1:48" x14ac:dyDescent="0.25">
      <c r="A11" s="6"/>
      <c r="W11" s="1"/>
      <c r="X11" s="1"/>
      <c r="Y11" s="1"/>
      <c r="Z11" s="1"/>
      <c r="AA11" s="1"/>
      <c r="AB11" s="1"/>
      <c r="AC11" s="1"/>
      <c r="AD11" s="1"/>
      <c r="AE11" s="1"/>
    </row>
    <row r="12" spans="1:48" s="4" customFormat="1" x14ac:dyDescent="0.25">
      <c r="A12" s="49" t="s">
        <v>71</v>
      </c>
      <c r="B12" s="7" t="s">
        <v>0</v>
      </c>
      <c r="C12" s="7" t="s">
        <v>1</v>
      </c>
      <c r="D12" s="7" t="s">
        <v>2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27</v>
      </c>
      <c r="J12" s="7" t="s">
        <v>43</v>
      </c>
      <c r="K12" s="7" t="s">
        <v>22</v>
      </c>
      <c r="L12" s="7" t="s">
        <v>24</v>
      </c>
      <c r="M12" s="7" t="s">
        <v>23</v>
      </c>
      <c r="N12" s="7" t="s">
        <v>21</v>
      </c>
      <c r="O12" s="7" t="s">
        <v>44</v>
      </c>
      <c r="P12" s="7" t="s">
        <v>45</v>
      </c>
      <c r="Q12" s="7" t="s">
        <v>148</v>
      </c>
      <c r="R12" s="7" t="s">
        <v>66</v>
      </c>
      <c r="S12" s="7" t="s">
        <v>64</v>
      </c>
      <c r="T12" s="14" t="s">
        <v>62</v>
      </c>
      <c r="U12" s="14" t="s">
        <v>193</v>
      </c>
      <c r="V12" s="14" t="s">
        <v>22</v>
      </c>
      <c r="W12" s="14" t="s">
        <v>24</v>
      </c>
      <c r="AA12" s="5"/>
      <c r="AB12" s="14" t="s">
        <v>45</v>
      </c>
      <c r="AC12" s="5"/>
      <c r="AD12" s="5"/>
      <c r="AE12" s="5"/>
      <c r="AF12" s="5"/>
    </row>
    <row r="13" spans="1:48" x14ac:dyDescent="0.25">
      <c r="A13" s="49"/>
      <c r="B13">
        <v>1</v>
      </c>
      <c r="C13" t="s">
        <v>30</v>
      </c>
      <c r="D13">
        <v>1</v>
      </c>
      <c r="E13" t="s">
        <v>38</v>
      </c>
      <c r="F13" t="s">
        <v>39</v>
      </c>
      <c r="G13">
        <v>8.2000000000000003E-2</v>
      </c>
      <c r="H13" t="s">
        <v>33</v>
      </c>
      <c r="I13">
        <f>O13*$T$13</f>
        <v>6.7200000000000003E-3</v>
      </c>
      <c r="J13">
        <f>I13*0.005</f>
        <v>3.3600000000000004E-5</v>
      </c>
      <c r="K13">
        <f>I13*$V13</f>
        <v>1.827940626717977</v>
      </c>
      <c r="L13">
        <f>I13*$W13</f>
        <v>26.113437524542526</v>
      </c>
      <c r="M13">
        <v>0</v>
      </c>
      <c r="N13" s="1">
        <f t="shared" ref="N13:N18" si="16">I13*$AA$14</f>
        <v>16.128</v>
      </c>
      <c r="O13">
        <v>2.4000000000000001E-4</v>
      </c>
      <c r="P13" s="1">
        <f>I13*$AB13</f>
        <v>0.49728</v>
      </c>
      <c r="Q13">
        <v>0.8</v>
      </c>
      <c r="R13">
        <v>0</v>
      </c>
      <c r="S13">
        <v>0</v>
      </c>
      <c r="T13" s="15">
        <v>28</v>
      </c>
      <c r="U13" s="15">
        <v>4.3</v>
      </c>
      <c r="V13" s="15">
        <f>(($U13/100)*(1+$AA$14*$E$29)-$X$14)/(((1+1/$W$21)*(14*10^(-6)))-(($J$29/$W$21+$F$29)*$U13/100))</f>
        <v>272.01497421398466</v>
      </c>
      <c r="W13" s="15">
        <f>$V13/$W$21</f>
        <v>3885.9282030569234</v>
      </c>
      <c r="X13" s="17" t="s">
        <v>43</v>
      </c>
      <c r="Y13" s="17" t="s">
        <v>27</v>
      </c>
      <c r="Z13" s="17" t="s">
        <v>23</v>
      </c>
      <c r="AA13" s="18" t="s">
        <v>21</v>
      </c>
      <c r="AB13" s="15">
        <f>ROUND(W13/$AO$4*120,0)</f>
        <v>74</v>
      </c>
      <c r="AC13" s="47"/>
      <c r="AD13" s="1"/>
      <c r="AE13" s="1"/>
    </row>
    <row r="14" spans="1:48" x14ac:dyDescent="0.25">
      <c r="A14" s="49"/>
      <c r="B14">
        <v>1</v>
      </c>
      <c r="C14" t="s">
        <v>30</v>
      </c>
      <c r="D14">
        <v>1</v>
      </c>
      <c r="E14" t="s">
        <v>40</v>
      </c>
      <c r="F14" t="s">
        <v>41</v>
      </c>
      <c r="G14">
        <v>2.8500000000000001E-2</v>
      </c>
      <c r="H14" t="s">
        <v>33</v>
      </c>
      <c r="I14">
        <f>G14*$T$14</f>
        <v>2.2800000000000003E-3</v>
      </c>
      <c r="J14">
        <f t="shared" ref="J14:J18" si="17">I14*0.005</f>
        <v>1.1400000000000003E-5</v>
      </c>
      <c r="K14">
        <f>I14*$V14</f>
        <v>0.17314941707052978</v>
      </c>
      <c r="L14">
        <f t="shared" ref="L14:L18" si="18">I14*$W14</f>
        <v>2.4735631010075676</v>
      </c>
      <c r="M14">
        <v>0</v>
      </c>
      <c r="N14" s="1">
        <f t="shared" si="16"/>
        <v>5.4720000000000004</v>
      </c>
      <c r="O14">
        <v>2.6899999999999998E-4</v>
      </c>
      <c r="P14" s="1">
        <f t="shared" ref="P14:P18" si="19">I14*$AB14</f>
        <v>4.7880000000000006E-2</v>
      </c>
      <c r="Q14">
        <v>0.4</v>
      </c>
      <c r="R14">
        <v>0</v>
      </c>
      <c r="S14">
        <v>0</v>
      </c>
      <c r="T14" s="15">
        <v>0.08</v>
      </c>
      <c r="U14" s="15">
        <v>1.8</v>
      </c>
      <c r="V14" s="15">
        <f t="shared" ref="V14:V18" si="20">(($U14/100)*(1+$AA$14*$E$29)-$X$14)/(((1+1/$W$21)*(14*10^(-6)))-(($J$29/$W$21+$F$29)*$U14/100))</f>
        <v>75.942726785320062</v>
      </c>
      <c r="W14" s="15">
        <f>$V14/$W$21</f>
        <v>1084.8960969331436</v>
      </c>
      <c r="X14" s="19">
        <v>5.0000000000000001E-3</v>
      </c>
      <c r="Y14" s="19">
        <v>1</v>
      </c>
      <c r="Z14" s="19">
        <v>0</v>
      </c>
      <c r="AA14" s="20">
        <v>2400</v>
      </c>
      <c r="AB14" s="15">
        <f t="shared" ref="AB14:AB18" si="21">ROUND(W14/$AO$4*120,0)</f>
        <v>21</v>
      </c>
      <c r="AC14" s="47"/>
      <c r="AD14" s="1"/>
      <c r="AE14" s="1"/>
    </row>
    <row r="15" spans="1:48" x14ac:dyDescent="0.25">
      <c r="A15" s="49"/>
      <c r="B15">
        <v>1</v>
      </c>
      <c r="C15" t="s">
        <v>30</v>
      </c>
      <c r="D15">
        <v>2</v>
      </c>
      <c r="E15" t="s">
        <v>38</v>
      </c>
      <c r="F15" t="s">
        <v>39</v>
      </c>
      <c r="G15">
        <v>9.1999999999999998E-2</v>
      </c>
      <c r="H15" t="s">
        <v>33</v>
      </c>
      <c r="I15">
        <f>O15*$T$15</f>
        <v>7.8399999999999997E-3</v>
      </c>
      <c r="J15">
        <f t="shared" si="17"/>
        <v>3.9199999999999997E-5</v>
      </c>
      <c r="K15">
        <f t="shared" ref="K15:K18" si="22">I15*$V15</f>
        <v>2.5351236149918108</v>
      </c>
      <c r="L15">
        <f t="shared" si="18"/>
        <v>36.216051642740148</v>
      </c>
      <c r="M15">
        <v>0</v>
      </c>
      <c r="N15" s="1">
        <f t="shared" si="16"/>
        <v>18.815999999999999</v>
      </c>
      <c r="O15">
        <v>2.7999999999999998E-4</v>
      </c>
      <c r="P15" s="1">
        <f t="shared" si="19"/>
        <v>0.68208000000000002</v>
      </c>
      <c r="Q15">
        <v>1</v>
      </c>
      <c r="R15">
        <v>0</v>
      </c>
      <c r="S15">
        <v>0</v>
      </c>
      <c r="T15" s="15">
        <v>28</v>
      </c>
      <c r="U15" s="15">
        <v>4.8</v>
      </c>
      <c r="V15" s="15">
        <f t="shared" si="20"/>
        <v>323.35760395303708</v>
      </c>
      <c r="W15" s="15">
        <f t="shared" ref="W15:W18" si="23">$V15/$W$21</f>
        <v>4619.3943421862432</v>
      </c>
      <c r="Y15" s="36"/>
      <c r="AA15" s="1"/>
      <c r="AB15" s="15">
        <f t="shared" si="21"/>
        <v>87</v>
      </c>
      <c r="AC15" s="47"/>
      <c r="AD15" s="1"/>
      <c r="AE15" s="1"/>
      <c r="AF15" s="1"/>
    </row>
    <row r="16" spans="1:48" x14ac:dyDescent="0.25">
      <c r="A16" s="49"/>
      <c r="B16">
        <v>1</v>
      </c>
      <c r="C16" t="s">
        <v>30</v>
      </c>
      <c r="D16">
        <v>2</v>
      </c>
      <c r="E16" t="s">
        <v>40</v>
      </c>
      <c r="F16" t="s">
        <v>42</v>
      </c>
      <c r="G16">
        <v>2.8500000000000001E-2</v>
      </c>
      <c r="H16" t="s">
        <v>33</v>
      </c>
      <c r="I16">
        <f>G16*$T$16</f>
        <v>2.2800000000000003E-3</v>
      </c>
      <c r="J16">
        <f t="shared" si="17"/>
        <v>1.1400000000000003E-5</v>
      </c>
      <c r="K16">
        <f t="shared" si="22"/>
        <v>0.24790115782792363</v>
      </c>
      <c r="L16">
        <f t="shared" si="18"/>
        <v>3.5414451118274801</v>
      </c>
      <c r="M16">
        <v>0</v>
      </c>
      <c r="N16" s="1">
        <f t="shared" si="16"/>
        <v>5.4720000000000004</v>
      </c>
      <c r="O16">
        <v>2.4800000000000001E-4</v>
      </c>
      <c r="P16" s="1">
        <f t="shared" si="19"/>
        <v>6.6120000000000012E-2</v>
      </c>
      <c r="Q16">
        <v>0.5</v>
      </c>
      <c r="R16">
        <v>0</v>
      </c>
      <c r="S16">
        <v>0</v>
      </c>
      <c r="T16" s="15">
        <v>0.08</v>
      </c>
      <c r="U16" s="15">
        <v>2.2999999999999998</v>
      </c>
      <c r="V16" s="15">
        <f t="shared" si="20"/>
        <v>108.72857799470333</v>
      </c>
      <c r="W16" s="15">
        <f t="shared" si="23"/>
        <v>1553.2653999243332</v>
      </c>
      <c r="AA16" s="1"/>
      <c r="AB16" s="15">
        <f t="shared" si="21"/>
        <v>29</v>
      </c>
      <c r="AC16" s="47"/>
      <c r="AD16" s="1"/>
      <c r="AE16" s="1"/>
      <c r="AF16" s="1"/>
    </row>
    <row r="17" spans="1:44" x14ac:dyDescent="0.25">
      <c r="A17" s="49"/>
      <c r="B17">
        <v>1</v>
      </c>
      <c r="C17" t="s">
        <v>30</v>
      </c>
      <c r="D17">
        <v>2</v>
      </c>
      <c r="E17" t="s">
        <v>40</v>
      </c>
      <c r="F17" t="s">
        <v>41</v>
      </c>
      <c r="G17">
        <v>5.0000000000000001E-4</v>
      </c>
      <c r="H17" t="s">
        <v>33</v>
      </c>
      <c r="I17">
        <f>G17*$T$17</f>
        <v>4.0000000000000003E-5</v>
      </c>
      <c r="J17">
        <f t="shared" si="17"/>
        <v>2.0000000000000002E-7</v>
      </c>
      <c r="K17">
        <f t="shared" si="22"/>
        <v>4.3491431197881332E-3</v>
      </c>
      <c r="L17">
        <f t="shared" si="18"/>
        <v>6.2130615996973337E-2</v>
      </c>
      <c r="M17">
        <v>0</v>
      </c>
      <c r="N17" s="1">
        <f t="shared" si="16"/>
        <v>9.6000000000000002E-2</v>
      </c>
      <c r="O17">
        <v>5.0000000000000004E-6</v>
      </c>
      <c r="P17" s="1">
        <f t="shared" si="19"/>
        <v>1.16E-3</v>
      </c>
      <c r="Q17">
        <v>0.5</v>
      </c>
      <c r="R17">
        <v>0</v>
      </c>
      <c r="S17">
        <v>0</v>
      </c>
      <c r="T17" s="15">
        <v>0.08</v>
      </c>
      <c r="U17" s="15">
        <v>2.2999999999999998</v>
      </c>
      <c r="V17" s="15">
        <f t="shared" si="20"/>
        <v>108.72857799470333</v>
      </c>
      <c r="W17" s="15">
        <f t="shared" si="23"/>
        <v>1553.2653999243332</v>
      </c>
      <c r="AB17" s="15">
        <f t="shared" si="21"/>
        <v>29</v>
      </c>
      <c r="AC17" s="47"/>
      <c r="AP17" s="44" t="s">
        <v>57</v>
      </c>
      <c r="AQ17" s="9" t="s">
        <v>47</v>
      </c>
      <c r="AR17" s="10">
        <v>0</v>
      </c>
    </row>
    <row r="18" spans="1:44" x14ac:dyDescent="0.25">
      <c r="A18" s="49"/>
      <c r="B18">
        <v>1</v>
      </c>
      <c r="C18" t="s">
        <v>30</v>
      </c>
      <c r="D18">
        <v>3</v>
      </c>
      <c r="E18" t="s">
        <v>38</v>
      </c>
      <c r="F18" t="s">
        <v>39</v>
      </c>
      <c r="G18">
        <v>6.0421565000000003E-2</v>
      </c>
      <c r="H18" t="s">
        <v>31</v>
      </c>
      <c r="I18">
        <f>O18*$T$18</f>
        <v>6.3840000000000008E-3</v>
      </c>
      <c r="J18">
        <f t="shared" si="17"/>
        <v>3.1920000000000006E-5</v>
      </c>
      <c r="K18">
        <f t="shared" si="22"/>
        <v>2.277715012925035</v>
      </c>
      <c r="L18">
        <f t="shared" si="18"/>
        <v>32.538785898929063</v>
      </c>
      <c r="M18">
        <v>0</v>
      </c>
      <c r="N18" s="1">
        <f t="shared" si="16"/>
        <v>15.321600000000002</v>
      </c>
      <c r="O18">
        <v>2.2800000000000001E-4</v>
      </c>
      <c r="P18" s="1">
        <f t="shared" si="19"/>
        <v>0.61286400000000008</v>
      </c>
      <c r="Q18">
        <v>1.2</v>
      </c>
      <c r="R18">
        <v>0</v>
      </c>
      <c r="S18">
        <v>0</v>
      </c>
      <c r="T18" s="16">
        <v>28</v>
      </c>
      <c r="U18" s="16">
        <v>5.0999999999999996</v>
      </c>
      <c r="V18" s="16">
        <f t="shared" si="20"/>
        <v>356.78493310229237</v>
      </c>
      <c r="W18" s="16">
        <f t="shared" si="23"/>
        <v>5096.9276157470331</v>
      </c>
      <c r="AB18" s="16">
        <f t="shared" si="21"/>
        <v>96</v>
      </c>
      <c r="AC18" s="47"/>
      <c r="AP18" s="44"/>
      <c r="AQ18" s="9" t="s">
        <v>48</v>
      </c>
      <c r="AR18" s="9">
        <v>0.106</v>
      </c>
    </row>
    <row r="19" spans="1:44" x14ac:dyDescent="0.25">
      <c r="A19" s="4"/>
      <c r="AM19" s="44"/>
      <c r="AN19" s="44"/>
      <c r="AO19" s="44"/>
      <c r="AP19" s="9" t="s">
        <v>49</v>
      </c>
      <c r="AQ19" s="9">
        <v>1.28</v>
      </c>
    </row>
    <row r="20" spans="1:44" x14ac:dyDescent="0.25">
      <c r="A20" s="4"/>
      <c r="W20" s="21" t="s">
        <v>126</v>
      </c>
      <c r="X20" s="21" t="s">
        <v>127</v>
      </c>
      <c r="AM20" s="44"/>
      <c r="AN20" s="44"/>
      <c r="AO20" s="44"/>
      <c r="AP20" s="9" t="s">
        <v>50</v>
      </c>
      <c r="AQ20" s="9">
        <v>0.8</v>
      </c>
    </row>
    <row r="21" spans="1:44" x14ac:dyDescent="0.25">
      <c r="A21" s="4"/>
      <c r="W21" s="16">
        <v>7.0000000000000007E-2</v>
      </c>
      <c r="X21" s="16"/>
      <c r="AM21" s="44"/>
      <c r="AN21" s="44"/>
      <c r="AO21" s="44"/>
      <c r="AP21" s="9" t="s">
        <v>60</v>
      </c>
      <c r="AQ21" s="9">
        <f>210*3600*24/12</f>
        <v>1512000</v>
      </c>
    </row>
    <row r="22" spans="1:44" x14ac:dyDescent="0.25">
      <c r="A22" s="4"/>
      <c r="F22" s="1"/>
      <c r="AM22" s="9"/>
      <c r="AN22" s="9"/>
      <c r="AO22" s="9"/>
      <c r="AP22" s="9" t="s">
        <v>58</v>
      </c>
      <c r="AQ22" s="9">
        <v>5</v>
      </c>
    </row>
    <row r="23" spans="1:44" x14ac:dyDescent="0.25">
      <c r="A23" s="49" t="s">
        <v>72</v>
      </c>
      <c r="B23" s="7" t="s">
        <v>0</v>
      </c>
      <c r="C23" s="7" t="s">
        <v>1</v>
      </c>
      <c r="D23" s="7" t="s">
        <v>34</v>
      </c>
      <c r="E23" s="7" t="s">
        <v>21</v>
      </c>
      <c r="F23" s="7" t="s">
        <v>22</v>
      </c>
      <c r="G23" s="7" t="s">
        <v>64</v>
      </c>
      <c r="H23" s="7" t="s">
        <v>65</v>
      </c>
      <c r="I23" s="7" t="s">
        <v>66</v>
      </c>
      <c r="J23" s="7" t="s">
        <v>24</v>
      </c>
      <c r="K23" s="7" t="s">
        <v>27</v>
      </c>
      <c r="L23" s="7" t="s">
        <v>43</v>
      </c>
      <c r="M23" s="7" t="s">
        <v>45</v>
      </c>
      <c r="R23" s="3"/>
      <c r="S23" s="2"/>
      <c r="AM23" s="11"/>
      <c r="AN23" s="11"/>
      <c r="AO23" s="11"/>
      <c r="AP23" s="9" t="s">
        <v>59</v>
      </c>
      <c r="AQ23" s="9">
        <f>1/59</f>
        <v>1.6949152542372881E-2</v>
      </c>
    </row>
    <row r="24" spans="1:44" x14ac:dyDescent="0.25">
      <c r="A24" s="49"/>
      <c r="B24">
        <v>1</v>
      </c>
      <c r="C24" t="s">
        <v>30</v>
      </c>
      <c r="D24" t="s">
        <v>67</v>
      </c>
      <c r="E24" s="36">
        <f>SUM($K$25,$I$13:$I$18,$AI$3:$AI$10)*AA14</f>
        <v>124.23445435926803</v>
      </c>
      <c r="F24" s="36">
        <f>SUM(K13:K18,F25,AD3:AD10)</f>
        <v>15.72617169108849</v>
      </c>
      <c r="G24" s="36" t="s">
        <v>32</v>
      </c>
      <c r="H24" s="36" t="s">
        <v>32</v>
      </c>
      <c r="I24" s="36" t="s">
        <v>32</v>
      </c>
      <c r="J24" s="36" t="s">
        <v>32</v>
      </c>
      <c r="K24" s="36" t="s">
        <v>32</v>
      </c>
      <c r="L24" s="36" t="s">
        <v>32</v>
      </c>
      <c r="M24" s="36" t="s">
        <v>32</v>
      </c>
      <c r="AM24" s="12"/>
      <c r="AN24" s="12"/>
      <c r="AO24" s="12"/>
      <c r="AP24" s="9"/>
      <c r="AQ24" s="9"/>
    </row>
    <row r="25" spans="1:44" x14ac:dyDescent="0.25">
      <c r="A25" s="49"/>
      <c r="B25">
        <v>1</v>
      </c>
      <c r="C25" t="s">
        <v>30</v>
      </c>
      <c r="D25" t="s">
        <v>68</v>
      </c>
      <c r="E25" s="36">
        <f>E26*$K$25</f>
        <v>56.470206526940018</v>
      </c>
      <c r="F25" s="36">
        <f>F26*$K$25</f>
        <v>7.7283714467899767</v>
      </c>
      <c r="G25" s="36">
        <f>G26*$K$25</f>
        <v>6.6054456810170743</v>
      </c>
      <c r="H25" s="36" t="s">
        <v>32</v>
      </c>
      <c r="I25" s="36" t="s">
        <v>32</v>
      </c>
      <c r="J25" s="36" t="s">
        <v>32</v>
      </c>
      <c r="K25" s="36">
        <f>SUM(AI3:AI10,I13:I18)/$O$26</f>
        <v>2.352925271955834E-2</v>
      </c>
      <c r="L25" s="36">
        <f>K25*$X$14</f>
        <v>1.1764626359779171E-4</v>
      </c>
      <c r="M25" s="36">
        <f>M26*$K$25</f>
        <v>0.11764626359779171</v>
      </c>
      <c r="O25" s="21" t="s">
        <v>69</v>
      </c>
      <c r="P25" s="21" t="s">
        <v>129</v>
      </c>
      <c r="Q25" s="21" t="s">
        <v>128</v>
      </c>
      <c r="R25" s="50" t="s">
        <v>46</v>
      </c>
      <c r="S25" s="9" t="s">
        <v>47</v>
      </c>
      <c r="T25" s="10">
        <v>2.6499999999999999E-8</v>
      </c>
      <c r="AM25" s="12"/>
      <c r="AN25" s="12"/>
      <c r="AO25" s="12"/>
      <c r="AP25" s="9"/>
      <c r="AQ25" s="9"/>
    </row>
    <row r="26" spans="1:44" x14ac:dyDescent="0.25">
      <c r="E26" s="22">
        <v>2400</v>
      </c>
      <c r="F26" s="27">
        <f>(($Q$26/100)*(1+$E$26*$E$29)-$X$14)/((1+1/$P$26)*(14*10^-6-$J$29*$Q$26/100))</f>
        <v>328.45800667378967</v>
      </c>
      <c r="G26" s="27">
        <f>F26/$P$26</f>
        <v>280.73333903742707</v>
      </c>
      <c r="H26" s="23"/>
      <c r="I26" s="23"/>
      <c r="J26" s="23"/>
      <c r="K26" s="23"/>
      <c r="L26" s="23"/>
      <c r="M26" s="24">
        <v>5</v>
      </c>
      <c r="O26" s="16">
        <v>1.2</v>
      </c>
      <c r="P26" s="16">
        <v>1.17</v>
      </c>
      <c r="Q26" s="16">
        <v>1.2</v>
      </c>
      <c r="R26" s="50"/>
      <c r="S26" s="9" t="s">
        <v>48</v>
      </c>
      <c r="T26" s="9">
        <v>0.106</v>
      </c>
      <c r="AM26" s="12" t="s">
        <v>73</v>
      </c>
      <c r="AN26" s="12"/>
      <c r="AO26" s="12"/>
      <c r="AP26" s="9"/>
      <c r="AQ26" s="9"/>
    </row>
    <row r="27" spans="1:44" x14ac:dyDescent="0.25">
      <c r="F27" s="1"/>
      <c r="R27" s="50"/>
      <c r="S27" s="9" t="s">
        <v>49</v>
      </c>
      <c r="T27" s="9">
        <v>1.28</v>
      </c>
      <c r="AM27" s="13" t="s">
        <v>74</v>
      </c>
      <c r="AN27" s="13"/>
      <c r="AO27" s="13"/>
      <c r="AP27" s="9"/>
      <c r="AQ27" s="9"/>
    </row>
    <row r="28" spans="1:44" x14ac:dyDescent="0.25">
      <c r="D28" s="35" t="s">
        <v>124</v>
      </c>
      <c r="F28" s="1"/>
      <c r="R28" s="50"/>
      <c r="S28" s="9" t="s">
        <v>50</v>
      </c>
      <c r="T28" s="9">
        <v>0.8</v>
      </c>
      <c r="AM28" s="13"/>
      <c r="AN28" s="13"/>
      <c r="AO28" s="13"/>
      <c r="AP28" s="9"/>
      <c r="AQ28" s="9"/>
    </row>
    <row r="29" spans="1:44" x14ac:dyDescent="0.25">
      <c r="D29" s="25" t="s">
        <v>125</v>
      </c>
      <c r="E29" s="25">
        <f xml:space="preserve"> (0.000001*12) / 0.42</f>
        <v>2.8571428571428574E-5</v>
      </c>
      <c r="F29" s="26">
        <f>( 0.000001*14) / 0.145</f>
        <v>9.6551724137931033E-5</v>
      </c>
      <c r="J29" s="26">
        <f>( 0.000001*14) / 0.145</f>
        <v>9.6551724137931033E-5</v>
      </c>
      <c r="R29" s="50"/>
      <c r="S29" s="9" t="s">
        <v>51</v>
      </c>
      <c r="T29" s="9">
        <f>271*3600 * 24 /12</f>
        <v>1951200</v>
      </c>
      <c r="AM29" s="12" t="s">
        <v>75</v>
      </c>
      <c r="AN29" s="12"/>
      <c r="AO29" s="12"/>
      <c r="AP29" s="9"/>
      <c r="AQ29" s="9"/>
    </row>
    <row r="30" spans="1:44" x14ac:dyDescent="0.25">
      <c r="D30" s="25" t="s">
        <v>76</v>
      </c>
      <c r="E30" s="25">
        <f>E24*E29</f>
        <v>3.5495558388362299E-3</v>
      </c>
      <c r="F30" s="26">
        <f>F24*F29</f>
        <v>1.5183889908637162E-3</v>
      </c>
      <c r="R30" s="13"/>
      <c r="S30" s="11" t="s">
        <v>52</v>
      </c>
      <c r="T30" s="9">
        <v>1.557936E-2</v>
      </c>
    </row>
  </sheetData>
  <mergeCells count="4">
    <mergeCell ref="A23:A25"/>
    <mergeCell ref="R25:R29"/>
    <mergeCell ref="A2:A10"/>
    <mergeCell ref="A12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opLeftCell="A41" workbookViewId="0">
      <selection activeCell="E63" sqref="E63"/>
    </sheetView>
  </sheetViews>
  <sheetFormatPr baseColWidth="10" defaultRowHeight="15" x14ac:dyDescent="0.25"/>
  <cols>
    <col min="18" max="18" width="15.85546875" bestFit="1" customWidth="1"/>
  </cols>
  <sheetData>
    <row r="1" spans="1:21" s="7" customFormat="1" x14ac:dyDescent="0.25">
      <c r="A1" s="7" t="s">
        <v>106</v>
      </c>
    </row>
    <row r="2" spans="1:21" x14ac:dyDescent="0.25">
      <c r="A2" t="s">
        <v>77</v>
      </c>
      <c r="B2" s="28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  <c r="Q2" t="s">
        <v>93</v>
      </c>
      <c r="R2" t="s">
        <v>94</v>
      </c>
      <c r="S2" t="s">
        <v>95</v>
      </c>
      <c r="T2" t="s">
        <v>96</v>
      </c>
      <c r="U2" t="s">
        <v>97</v>
      </c>
    </row>
    <row r="3" spans="1:21" x14ac:dyDescent="0.25">
      <c r="A3">
        <v>9</v>
      </c>
      <c r="B3" s="29">
        <v>38778</v>
      </c>
      <c r="C3">
        <v>560.5</v>
      </c>
      <c r="D3" t="s">
        <v>98</v>
      </c>
      <c r="E3" t="s">
        <v>99</v>
      </c>
      <c r="F3" t="s">
        <v>100</v>
      </c>
      <c r="G3">
        <v>13</v>
      </c>
      <c r="H3" t="s">
        <v>101</v>
      </c>
      <c r="I3">
        <v>0</v>
      </c>
      <c r="J3" t="s">
        <v>102</v>
      </c>
      <c r="K3">
        <v>0.1222</v>
      </c>
      <c r="L3" t="s">
        <v>102</v>
      </c>
      <c r="M3" t="s">
        <v>102</v>
      </c>
      <c r="N3">
        <v>1048.3494685029141</v>
      </c>
      <c r="O3" t="s">
        <v>102</v>
      </c>
      <c r="P3" t="s">
        <v>102</v>
      </c>
      <c r="Q3">
        <v>4.5149959061800562</v>
      </c>
      <c r="S3" t="s">
        <v>102</v>
      </c>
      <c r="T3">
        <v>5.2628681209053259</v>
      </c>
      <c r="U3" t="s">
        <v>102</v>
      </c>
    </row>
    <row r="4" spans="1:21" x14ac:dyDescent="0.25">
      <c r="A4">
        <v>9</v>
      </c>
      <c r="B4" s="29">
        <v>38778</v>
      </c>
      <c r="C4">
        <v>560.5</v>
      </c>
      <c r="D4" t="s">
        <v>98</v>
      </c>
      <c r="E4" t="s">
        <v>99</v>
      </c>
      <c r="F4" t="s">
        <v>100</v>
      </c>
      <c r="G4">
        <v>13</v>
      </c>
      <c r="H4" t="s">
        <v>101</v>
      </c>
      <c r="I4">
        <v>1</v>
      </c>
      <c r="J4">
        <v>2.9239999999999999E-2</v>
      </c>
      <c r="K4" t="s">
        <v>102</v>
      </c>
      <c r="L4" t="s">
        <v>102</v>
      </c>
      <c r="M4">
        <v>711.56859999999995</v>
      </c>
      <c r="O4" t="s">
        <v>102</v>
      </c>
      <c r="P4">
        <v>3.4486828505757954</v>
      </c>
      <c r="Q4" t="s">
        <v>102</v>
      </c>
      <c r="S4">
        <v>1.4171435691630612</v>
      </c>
      <c r="T4" t="s">
        <v>102</v>
      </c>
      <c r="U4" t="s">
        <v>102</v>
      </c>
    </row>
    <row r="5" spans="1:21" x14ac:dyDescent="0.25">
      <c r="A5">
        <v>9</v>
      </c>
      <c r="B5" s="29">
        <v>38778</v>
      </c>
      <c r="C5">
        <v>560.5</v>
      </c>
      <c r="D5" t="s">
        <v>98</v>
      </c>
      <c r="E5" t="s">
        <v>99</v>
      </c>
      <c r="F5" t="s">
        <v>100</v>
      </c>
      <c r="G5">
        <v>13</v>
      </c>
      <c r="H5" t="s">
        <v>101</v>
      </c>
      <c r="I5">
        <v>2</v>
      </c>
      <c r="J5">
        <v>4.7030000000000002E-2</v>
      </c>
      <c r="K5" t="s">
        <v>102</v>
      </c>
      <c r="L5" t="s">
        <v>102</v>
      </c>
      <c r="M5">
        <v>971.88424000000009</v>
      </c>
      <c r="O5" t="s">
        <v>102</v>
      </c>
      <c r="P5">
        <v>3.8437093539165703</v>
      </c>
      <c r="Q5" t="s">
        <v>102</v>
      </c>
      <c r="S5">
        <v>1.8599915861861933</v>
      </c>
      <c r="T5" t="s">
        <v>102</v>
      </c>
      <c r="U5" t="s">
        <v>102</v>
      </c>
    </row>
    <row r="6" spans="1:21" x14ac:dyDescent="0.25">
      <c r="A6">
        <v>9</v>
      </c>
      <c r="B6" s="29">
        <v>38778</v>
      </c>
      <c r="C6">
        <v>560.5</v>
      </c>
      <c r="D6" t="s">
        <v>98</v>
      </c>
      <c r="E6" t="s">
        <v>99</v>
      </c>
      <c r="F6" t="s">
        <v>100</v>
      </c>
      <c r="G6">
        <v>13</v>
      </c>
      <c r="H6" t="s">
        <v>101</v>
      </c>
      <c r="I6">
        <v>3</v>
      </c>
      <c r="J6">
        <v>6.4000000000000001E-2</v>
      </c>
      <c r="K6" t="s">
        <v>102</v>
      </c>
      <c r="L6" t="s">
        <v>102</v>
      </c>
      <c r="M6">
        <v>1284.3416999999999</v>
      </c>
      <c r="O6" t="s">
        <v>102</v>
      </c>
      <c r="Q6" t="s">
        <v>102</v>
      </c>
      <c r="S6" t="s">
        <v>102</v>
      </c>
      <c r="T6" t="s">
        <v>102</v>
      </c>
      <c r="U6" t="s">
        <v>102</v>
      </c>
    </row>
    <row r="7" spans="1:21" x14ac:dyDescent="0.25">
      <c r="A7">
        <v>9</v>
      </c>
      <c r="B7" s="29">
        <v>38778</v>
      </c>
      <c r="C7">
        <v>560.5</v>
      </c>
      <c r="D7" t="s">
        <v>98</v>
      </c>
      <c r="E7" t="s">
        <v>99</v>
      </c>
      <c r="F7" t="s">
        <v>100</v>
      </c>
      <c r="G7">
        <v>13</v>
      </c>
      <c r="H7" t="s">
        <v>101</v>
      </c>
      <c r="I7">
        <v>4</v>
      </c>
      <c r="J7">
        <v>7.2099999999999997E-2</v>
      </c>
      <c r="K7" t="s">
        <v>102</v>
      </c>
      <c r="L7" t="s">
        <v>102</v>
      </c>
      <c r="M7">
        <v>1413.0789</v>
      </c>
      <c r="O7" t="s">
        <v>102</v>
      </c>
      <c r="P7">
        <v>5.2033840646377376</v>
      </c>
      <c r="Q7" t="s">
        <v>102</v>
      </c>
      <c r="S7">
        <v>2.6549401527429275</v>
      </c>
      <c r="T7" t="s">
        <v>102</v>
      </c>
      <c r="U7" t="s">
        <v>102</v>
      </c>
    </row>
    <row r="8" spans="1:21" x14ac:dyDescent="0.25">
      <c r="A8">
        <v>9</v>
      </c>
      <c r="B8" s="29">
        <v>38778</v>
      </c>
      <c r="C8">
        <v>560.5</v>
      </c>
      <c r="D8" t="s">
        <v>98</v>
      </c>
      <c r="E8" t="s">
        <v>99</v>
      </c>
      <c r="F8" t="s">
        <v>100</v>
      </c>
      <c r="G8">
        <v>15</v>
      </c>
      <c r="H8" t="s">
        <v>101</v>
      </c>
      <c r="I8">
        <v>0</v>
      </c>
      <c r="J8" t="s">
        <v>102</v>
      </c>
      <c r="K8">
        <v>0.13350000000000001</v>
      </c>
      <c r="L8" t="s">
        <v>102</v>
      </c>
      <c r="M8" t="s">
        <v>102</v>
      </c>
      <c r="N8">
        <v>1048.3494685029141</v>
      </c>
      <c r="O8" t="s">
        <v>102</v>
      </c>
      <c r="P8" t="s">
        <v>102</v>
      </c>
      <c r="Q8">
        <v>3.8042527967534845</v>
      </c>
      <c r="S8" t="s">
        <v>102</v>
      </c>
      <c r="T8">
        <v>4.8444508594242537</v>
      </c>
      <c r="U8" t="s">
        <v>102</v>
      </c>
    </row>
    <row r="9" spans="1:21" x14ac:dyDescent="0.25">
      <c r="A9">
        <v>9</v>
      </c>
      <c r="B9" s="29">
        <v>38778</v>
      </c>
      <c r="C9">
        <v>560.5</v>
      </c>
      <c r="D9" t="s">
        <v>98</v>
      </c>
      <c r="E9" t="s">
        <v>99</v>
      </c>
      <c r="F9" t="s">
        <v>100</v>
      </c>
      <c r="G9">
        <v>15</v>
      </c>
      <c r="H9" t="s">
        <v>101</v>
      </c>
      <c r="I9">
        <v>1</v>
      </c>
      <c r="J9">
        <v>3.9489999999999997E-2</v>
      </c>
      <c r="K9" t="s">
        <v>102</v>
      </c>
      <c r="L9" t="s">
        <v>102</v>
      </c>
      <c r="M9">
        <v>886.39970000000005</v>
      </c>
      <c r="O9" t="s">
        <v>102</v>
      </c>
      <c r="P9">
        <v>3.2939067464694229</v>
      </c>
      <c r="Q9" t="s">
        <v>102</v>
      </c>
      <c r="S9">
        <v>1.4674686534537129</v>
      </c>
      <c r="T9" t="s">
        <v>102</v>
      </c>
      <c r="U9" t="s">
        <v>102</v>
      </c>
    </row>
    <row r="10" spans="1:21" x14ac:dyDescent="0.25">
      <c r="A10">
        <v>9</v>
      </c>
      <c r="B10" s="29">
        <v>38778</v>
      </c>
      <c r="C10">
        <v>560.5</v>
      </c>
      <c r="D10" t="s">
        <v>98</v>
      </c>
      <c r="E10" t="s">
        <v>99</v>
      </c>
      <c r="F10" t="s">
        <v>100</v>
      </c>
      <c r="G10">
        <v>15</v>
      </c>
      <c r="H10" t="s">
        <v>101</v>
      </c>
      <c r="I10">
        <v>2</v>
      </c>
      <c r="J10">
        <v>5.9129999999999995E-2</v>
      </c>
      <c r="K10" t="s">
        <v>102</v>
      </c>
      <c r="L10" t="s">
        <v>102</v>
      </c>
      <c r="M10">
        <v>1308.4568000000002</v>
      </c>
      <c r="O10" t="s">
        <v>102</v>
      </c>
      <c r="P10">
        <v>4.0880429117045445</v>
      </c>
      <c r="Q10" t="s">
        <v>102</v>
      </c>
      <c r="S10">
        <v>1.8474127488892995</v>
      </c>
      <c r="T10" t="s">
        <v>102</v>
      </c>
      <c r="U10" t="s">
        <v>102</v>
      </c>
    </row>
    <row r="11" spans="1:21" x14ac:dyDescent="0.25">
      <c r="A11">
        <v>9</v>
      </c>
      <c r="B11" s="29">
        <v>38778</v>
      </c>
      <c r="C11">
        <v>560.5</v>
      </c>
      <c r="D11" t="s">
        <v>98</v>
      </c>
      <c r="E11" t="s">
        <v>99</v>
      </c>
      <c r="F11" t="s">
        <v>100</v>
      </c>
      <c r="G11">
        <v>15</v>
      </c>
      <c r="H11" t="s">
        <v>101</v>
      </c>
      <c r="I11">
        <v>3</v>
      </c>
      <c r="J11">
        <v>7.2749999999999995E-2</v>
      </c>
      <c r="K11" t="s">
        <v>102</v>
      </c>
      <c r="L11" t="s">
        <v>102</v>
      </c>
      <c r="M11">
        <v>1424.8432700000001</v>
      </c>
      <c r="O11" t="s">
        <v>102</v>
      </c>
      <c r="Q11" t="s">
        <v>102</v>
      </c>
      <c r="S11" t="s">
        <v>102</v>
      </c>
      <c r="T11" t="s">
        <v>102</v>
      </c>
      <c r="U11" t="s">
        <v>102</v>
      </c>
    </row>
    <row r="12" spans="1:21" x14ac:dyDescent="0.25">
      <c r="A12">
        <v>9</v>
      </c>
      <c r="B12" s="29">
        <v>38778</v>
      </c>
      <c r="C12">
        <v>560.5</v>
      </c>
      <c r="D12" t="s">
        <v>98</v>
      </c>
      <c r="E12" t="s">
        <v>99</v>
      </c>
      <c r="F12" t="s">
        <v>100</v>
      </c>
      <c r="G12">
        <v>15</v>
      </c>
      <c r="H12" t="s">
        <v>101</v>
      </c>
      <c r="I12">
        <v>4</v>
      </c>
      <c r="J12">
        <v>6.9199999999999998E-2</v>
      </c>
      <c r="K12" t="s">
        <v>102</v>
      </c>
      <c r="L12" t="s">
        <v>102</v>
      </c>
      <c r="M12">
        <v>1375.0716999999997</v>
      </c>
      <c r="O12" t="s">
        <v>102</v>
      </c>
      <c r="P12">
        <v>5.4102365362519462</v>
      </c>
      <c r="Q12" t="s">
        <v>102</v>
      </c>
      <c r="S12">
        <v>2.7226825212724162</v>
      </c>
      <c r="T12" t="s">
        <v>102</v>
      </c>
      <c r="U12" t="s">
        <v>102</v>
      </c>
    </row>
    <row r="13" spans="1:21" x14ac:dyDescent="0.25">
      <c r="A13">
        <v>9</v>
      </c>
      <c r="B13" s="29">
        <v>38778</v>
      </c>
      <c r="C13">
        <v>560.5</v>
      </c>
      <c r="D13" t="s">
        <v>98</v>
      </c>
      <c r="E13" t="s">
        <v>99</v>
      </c>
      <c r="F13" t="s">
        <v>100</v>
      </c>
      <c r="G13">
        <v>18</v>
      </c>
      <c r="H13" t="s">
        <v>101</v>
      </c>
      <c r="I13">
        <v>0</v>
      </c>
      <c r="J13" t="s">
        <v>102</v>
      </c>
      <c r="K13">
        <v>0.1295</v>
      </c>
      <c r="L13" t="s">
        <v>102</v>
      </c>
      <c r="M13" t="s">
        <v>102</v>
      </c>
      <c r="N13">
        <v>1048.3494685029141</v>
      </c>
      <c r="O13" t="s">
        <v>102</v>
      </c>
      <c r="P13" t="s">
        <v>102</v>
      </c>
      <c r="Q13">
        <v>4.2281222780031662</v>
      </c>
      <c r="S13" t="s">
        <v>102</v>
      </c>
      <c r="T13">
        <v>5.222894191793908</v>
      </c>
      <c r="U13" t="s">
        <v>102</v>
      </c>
    </row>
    <row r="14" spans="1:21" x14ac:dyDescent="0.25">
      <c r="A14">
        <v>9</v>
      </c>
      <c r="B14" s="29">
        <v>38778</v>
      </c>
      <c r="C14">
        <v>560.5</v>
      </c>
      <c r="D14" t="s">
        <v>98</v>
      </c>
      <c r="E14" t="s">
        <v>99</v>
      </c>
      <c r="F14" t="s">
        <v>100</v>
      </c>
      <c r="G14">
        <v>18</v>
      </c>
      <c r="H14" t="s">
        <v>101</v>
      </c>
      <c r="I14">
        <v>1</v>
      </c>
      <c r="J14">
        <v>2.8170000000000001E-2</v>
      </c>
      <c r="K14" t="s">
        <v>102</v>
      </c>
      <c r="L14" t="s">
        <v>102</v>
      </c>
      <c r="M14">
        <v>707.21</v>
      </c>
      <c r="O14" t="s">
        <v>102</v>
      </c>
      <c r="P14">
        <v>3.5123305469386961</v>
      </c>
      <c r="Q14" t="s">
        <v>102</v>
      </c>
      <c r="S14">
        <v>1.3990519295154631</v>
      </c>
      <c r="T14" t="s">
        <v>102</v>
      </c>
      <c r="U14" t="s">
        <v>102</v>
      </c>
    </row>
    <row r="15" spans="1:21" x14ac:dyDescent="0.25">
      <c r="A15">
        <v>9</v>
      </c>
      <c r="B15" s="29">
        <v>38778</v>
      </c>
      <c r="C15">
        <v>560.5</v>
      </c>
      <c r="D15" t="s">
        <v>98</v>
      </c>
      <c r="E15" t="s">
        <v>99</v>
      </c>
      <c r="F15" t="s">
        <v>100</v>
      </c>
      <c r="G15">
        <v>18</v>
      </c>
      <c r="H15" t="s">
        <v>101</v>
      </c>
      <c r="I15">
        <v>2</v>
      </c>
      <c r="J15">
        <v>4.6429999999999992E-2</v>
      </c>
      <c r="K15" t="s">
        <v>102</v>
      </c>
      <c r="L15" t="s">
        <v>102</v>
      </c>
      <c r="M15">
        <v>1180.7425600000001</v>
      </c>
      <c r="O15" t="s">
        <v>102</v>
      </c>
      <c r="P15">
        <v>4.4818314971899937</v>
      </c>
      <c r="Q15" t="s">
        <v>102</v>
      </c>
      <c r="S15">
        <v>1.7623777058949357</v>
      </c>
      <c r="T15" t="s">
        <v>102</v>
      </c>
      <c r="U15" t="s">
        <v>102</v>
      </c>
    </row>
    <row r="16" spans="1:21" x14ac:dyDescent="0.25">
      <c r="A16">
        <v>9</v>
      </c>
      <c r="B16" s="29">
        <v>38778</v>
      </c>
      <c r="C16">
        <v>560.5</v>
      </c>
      <c r="D16" t="s">
        <v>98</v>
      </c>
      <c r="E16" t="s">
        <v>99</v>
      </c>
      <c r="F16" t="s">
        <v>100</v>
      </c>
      <c r="G16">
        <v>18</v>
      </c>
      <c r="H16" t="s">
        <v>101</v>
      </c>
      <c r="I16">
        <v>3</v>
      </c>
      <c r="J16">
        <v>6.2600000000000003E-2</v>
      </c>
      <c r="K16" t="s">
        <v>102</v>
      </c>
      <c r="L16" t="s">
        <v>102</v>
      </c>
      <c r="M16">
        <v>1391.5812000000001</v>
      </c>
      <c r="O16" t="s">
        <v>102</v>
      </c>
      <c r="P16">
        <v>5.254109400234233</v>
      </c>
      <c r="Q16" t="s">
        <v>102</v>
      </c>
      <c r="S16">
        <v>2.3635505312565521</v>
      </c>
      <c r="T16" t="s">
        <v>102</v>
      </c>
      <c r="U16" t="s">
        <v>102</v>
      </c>
    </row>
    <row r="17" spans="1:21" x14ac:dyDescent="0.25">
      <c r="A17">
        <v>9</v>
      </c>
      <c r="B17" s="29">
        <v>38778</v>
      </c>
      <c r="C17">
        <v>560.5</v>
      </c>
      <c r="D17" t="s">
        <v>98</v>
      </c>
      <c r="E17" t="s">
        <v>99</v>
      </c>
      <c r="F17" t="s">
        <v>100</v>
      </c>
      <c r="G17">
        <v>18</v>
      </c>
      <c r="H17" t="s">
        <v>101</v>
      </c>
      <c r="I17">
        <v>4</v>
      </c>
      <c r="J17">
        <v>7.1400000000000005E-2</v>
      </c>
      <c r="K17" t="s">
        <v>102</v>
      </c>
      <c r="L17" t="s">
        <v>102</v>
      </c>
      <c r="M17">
        <v>1523.9175999999998</v>
      </c>
      <c r="O17" t="s">
        <v>102</v>
      </c>
      <c r="P17">
        <v>5.7779741075223594</v>
      </c>
      <c r="Q17" t="s">
        <v>102</v>
      </c>
      <c r="S17">
        <v>2.707149988143037</v>
      </c>
      <c r="T17" t="s">
        <v>102</v>
      </c>
      <c r="U17" t="s">
        <v>102</v>
      </c>
    </row>
    <row r="19" spans="1:21" x14ac:dyDescent="0.25">
      <c r="I19" s="30" t="s">
        <v>104</v>
      </c>
      <c r="J19" s="31">
        <f>SUM(J3:K17)</f>
        <v>1.04674</v>
      </c>
    </row>
    <row r="20" spans="1:21" x14ac:dyDescent="0.25">
      <c r="I20" s="32" t="s">
        <v>105</v>
      </c>
      <c r="J20" s="33">
        <f>(SUMPRODUCT(P3:P17,J3:J17)+SUMPRODUCT(K3:K17,Q3:Q17))/J19</f>
        <v>3.8773662250209906</v>
      </c>
    </row>
    <row r="22" spans="1:21" s="34" customFormat="1" x14ac:dyDescent="0.25">
      <c r="A22" s="7" t="s">
        <v>107</v>
      </c>
    </row>
    <row r="24" spans="1:21" x14ac:dyDescent="0.25">
      <c r="A24" t="s">
        <v>108</v>
      </c>
      <c r="D24" t="s">
        <v>110</v>
      </c>
    </row>
    <row r="25" spans="1:21" x14ac:dyDescent="0.25">
      <c r="A25" t="s">
        <v>109</v>
      </c>
      <c r="D25" t="s">
        <v>111</v>
      </c>
    </row>
    <row r="28" spans="1:21" x14ac:dyDescent="0.25">
      <c r="B28" t="s">
        <v>104</v>
      </c>
      <c r="C28">
        <v>0.4</v>
      </c>
      <c r="E28" t="s">
        <v>194</v>
      </c>
    </row>
    <row r="29" spans="1:21" x14ac:dyDescent="0.25">
      <c r="B29" t="s">
        <v>113</v>
      </c>
      <c r="C29">
        <v>0.18</v>
      </c>
      <c r="E29">
        <f>C28/C29</f>
        <v>2.2222222222222223</v>
      </c>
    </row>
    <row r="30" spans="1:21" x14ac:dyDescent="0.25">
      <c r="B30" t="s">
        <v>105</v>
      </c>
      <c r="C30">
        <v>4</v>
      </c>
    </row>
    <row r="31" spans="1:21" x14ac:dyDescent="0.25">
      <c r="B31" t="s">
        <v>112</v>
      </c>
      <c r="C31">
        <v>3</v>
      </c>
    </row>
    <row r="34" spans="1:6" s="34" customFormat="1" x14ac:dyDescent="0.25">
      <c r="A34" s="7" t="s">
        <v>114</v>
      </c>
    </row>
    <row r="36" spans="1:6" x14ac:dyDescent="0.25">
      <c r="A36" t="s">
        <v>115</v>
      </c>
    </row>
    <row r="38" spans="1:6" x14ac:dyDescent="0.25">
      <c r="B38" t="s">
        <v>103</v>
      </c>
      <c r="C38">
        <v>1</v>
      </c>
      <c r="D38" t="s">
        <v>116</v>
      </c>
      <c r="E38">
        <f>C38*10^6/(250*10000)</f>
        <v>0.4</v>
      </c>
      <c r="F38" t="s">
        <v>119</v>
      </c>
    </row>
    <row r="39" spans="1:6" x14ac:dyDescent="0.25">
      <c r="B39" t="s">
        <v>105</v>
      </c>
      <c r="C39">
        <v>4.4000000000000004</v>
      </c>
      <c r="E39" t="s">
        <v>117</v>
      </c>
    </row>
    <row r="41" spans="1:6" x14ac:dyDescent="0.25">
      <c r="A41" t="s">
        <v>118</v>
      </c>
    </row>
    <row r="44" spans="1:6" s="34" customFormat="1" x14ac:dyDescent="0.25">
      <c r="A44" s="7" t="s">
        <v>121</v>
      </c>
    </row>
    <row r="45" spans="1:6" x14ac:dyDescent="0.25">
      <c r="A45" t="s">
        <v>157</v>
      </c>
    </row>
    <row r="46" spans="1:6" x14ac:dyDescent="0.25">
      <c r="A46" t="s">
        <v>122</v>
      </c>
    </row>
    <row r="48" spans="1:6" x14ac:dyDescent="0.25">
      <c r="B48" t="s">
        <v>104</v>
      </c>
      <c r="C48">
        <v>0.05</v>
      </c>
      <c r="D48" t="s">
        <v>123</v>
      </c>
    </row>
    <row r="49" spans="1:6" x14ac:dyDescent="0.25">
      <c r="B49" t="s">
        <v>113</v>
      </c>
      <c r="C49">
        <v>0.04</v>
      </c>
      <c r="E49" t="s">
        <v>156</v>
      </c>
      <c r="F49">
        <f>C48/C49</f>
        <v>1.25</v>
      </c>
    </row>
    <row r="50" spans="1:6" x14ac:dyDescent="0.25">
      <c r="B50" t="s">
        <v>105</v>
      </c>
      <c r="C50">
        <v>5</v>
      </c>
    </row>
    <row r="51" spans="1:6" x14ac:dyDescent="0.25">
      <c r="B51" t="s">
        <v>112</v>
      </c>
      <c r="C51">
        <v>2.8</v>
      </c>
    </row>
    <row r="53" spans="1:6" x14ac:dyDescent="0.25">
      <c r="A53" t="s">
        <v>155</v>
      </c>
    </row>
    <row r="55" spans="1:6" x14ac:dyDescent="0.25">
      <c r="B55" t="s">
        <v>104</v>
      </c>
      <c r="C55">
        <v>0.8</v>
      </c>
      <c r="D55">
        <f>C55/C48</f>
        <v>16</v>
      </c>
    </row>
    <row r="56" spans="1:6" x14ac:dyDescent="0.25">
      <c r="B56" t="s">
        <v>113</v>
      </c>
      <c r="C56">
        <v>0.25</v>
      </c>
      <c r="D56">
        <f>C56/C49</f>
        <v>6.25</v>
      </c>
      <c r="E56" t="s">
        <v>156</v>
      </c>
      <c r="F56">
        <f>C55/C56</f>
        <v>3.2</v>
      </c>
    </row>
    <row r="57" spans="1:6" x14ac:dyDescent="0.25">
      <c r="B57" t="s">
        <v>105</v>
      </c>
      <c r="C57">
        <v>3</v>
      </c>
    </row>
    <row r="58" spans="1:6" x14ac:dyDescent="0.25">
      <c r="B58" t="s">
        <v>112</v>
      </c>
      <c r="C58">
        <v>1.5</v>
      </c>
    </row>
    <row r="61" spans="1:6" s="34" customFormat="1" x14ac:dyDescent="0.25">
      <c r="A61" s="7" t="s">
        <v>158</v>
      </c>
    </row>
    <row r="62" spans="1:6" x14ac:dyDescent="0.25">
      <c r="A62" t="s">
        <v>159</v>
      </c>
    </row>
    <row r="63" spans="1:6" x14ac:dyDescent="0.25">
      <c r="A63" t="s">
        <v>160</v>
      </c>
    </row>
    <row r="66" spans="1:7" s="34" customFormat="1" x14ac:dyDescent="0.25">
      <c r="A66" s="7" t="s">
        <v>179</v>
      </c>
    </row>
    <row r="67" spans="1:7" x14ac:dyDescent="0.25">
      <c r="A67" t="s">
        <v>180</v>
      </c>
      <c r="B67" t="s">
        <v>181</v>
      </c>
      <c r="F67" t="s">
        <v>191</v>
      </c>
      <c r="G67" t="s">
        <v>81</v>
      </c>
    </row>
    <row r="68" spans="1:7" x14ac:dyDescent="0.25">
      <c r="A68" s="28">
        <v>41982</v>
      </c>
      <c r="B68">
        <v>2.9</v>
      </c>
      <c r="C68" t="s">
        <v>182</v>
      </c>
      <c r="F68" t="s">
        <v>192</v>
      </c>
      <c r="G68" t="s">
        <v>99</v>
      </c>
    </row>
    <row r="70" spans="1:7" x14ac:dyDescent="0.25">
      <c r="A70" t="s">
        <v>183</v>
      </c>
      <c r="B70" t="s">
        <v>184</v>
      </c>
      <c r="C70" t="s">
        <v>185</v>
      </c>
    </row>
    <row r="71" spans="1:7" x14ac:dyDescent="0.25">
      <c r="A71" t="s">
        <v>186</v>
      </c>
      <c r="B71">
        <v>2.2870125000000003</v>
      </c>
      <c r="C71">
        <v>0.7309330444956722</v>
      </c>
    </row>
    <row r="72" spans="1:7" x14ac:dyDescent="0.25">
      <c r="A72">
        <v>0</v>
      </c>
      <c r="B72">
        <v>2.2870125000000003</v>
      </c>
      <c r="C72">
        <v>0.7309330444956722</v>
      </c>
    </row>
    <row r="73" spans="1:7" x14ac:dyDescent="0.25">
      <c r="A73">
        <v>1</v>
      </c>
      <c r="B73">
        <v>1.75</v>
      </c>
      <c r="C73">
        <v>0.20952326839756921</v>
      </c>
    </row>
    <row r="74" spans="1:7" x14ac:dyDescent="0.25">
      <c r="A74">
        <v>2</v>
      </c>
      <c r="B74">
        <v>2.2815250000000002</v>
      </c>
      <c r="C74">
        <v>0.20010489540904686</v>
      </c>
    </row>
    <row r="75" spans="1:7" x14ac:dyDescent="0.25">
      <c r="A75">
        <v>3</v>
      </c>
      <c r="B75">
        <v>3.92</v>
      </c>
      <c r="C75" t="e">
        <v>#DIV/0!</v>
      </c>
    </row>
    <row r="76" spans="1:7" x14ac:dyDescent="0.25">
      <c r="A76" t="s">
        <v>187</v>
      </c>
      <c r="B76">
        <v>1.0091249999999998</v>
      </c>
      <c r="C76">
        <v>0.47786590430789283</v>
      </c>
    </row>
    <row r="77" spans="1:7" x14ac:dyDescent="0.25">
      <c r="A77">
        <v>0</v>
      </c>
      <c r="B77">
        <v>1.0091249999999998</v>
      </c>
      <c r="C77">
        <v>0.47786590430789283</v>
      </c>
    </row>
    <row r="78" spans="1:7" x14ac:dyDescent="0.25">
      <c r="A78">
        <v>0</v>
      </c>
      <c r="B78">
        <v>1.0091249999999998</v>
      </c>
      <c r="C78">
        <v>0.47786590430789283</v>
      </c>
    </row>
    <row r="79" spans="1:7" x14ac:dyDescent="0.25">
      <c r="A79" t="s">
        <v>188</v>
      </c>
      <c r="B79">
        <v>4.8106111111111112</v>
      </c>
      <c r="C79">
        <v>0.51639141548532097</v>
      </c>
    </row>
    <row r="80" spans="1:7" x14ac:dyDescent="0.25">
      <c r="A80" t="s">
        <v>189</v>
      </c>
      <c r="B80">
        <v>4.9147749999999997</v>
      </c>
      <c r="C80">
        <v>0.98298377868949161</v>
      </c>
    </row>
    <row r="81" spans="1:3" x14ac:dyDescent="0.25">
      <c r="A81">
        <v>3</v>
      </c>
      <c r="B81">
        <v>4.6097666666666663</v>
      </c>
      <c r="C81">
        <v>0.94403663241070213</v>
      </c>
    </row>
    <row r="82" spans="1:3" x14ac:dyDescent="0.25">
      <c r="A82">
        <v>4</v>
      </c>
      <c r="B82">
        <v>5.8297999999999996</v>
      </c>
      <c r="C82" t="e">
        <v>#DIV/0!</v>
      </c>
    </row>
    <row r="83" spans="1:3" x14ac:dyDescent="0.25">
      <c r="A83" t="s">
        <v>190</v>
      </c>
      <c r="B83">
        <v>4.78085</v>
      </c>
      <c r="C83">
        <v>0.34847466247149217</v>
      </c>
    </row>
    <row r="84" spans="1:3" x14ac:dyDescent="0.25">
      <c r="A84">
        <v>1</v>
      </c>
      <c r="B84">
        <v>4.3347250000000006</v>
      </c>
      <c r="C84">
        <v>9.8384801502363659E-2</v>
      </c>
    </row>
    <row r="85" spans="1:3" x14ac:dyDescent="0.25">
      <c r="A85">
        <v>2</v>
      </c>
      <c r="B85">
        <v>4.790375</v>
      </c>
      <c r="C85">
        <v>0.16446041823692564</v>
      </c>
    </row>
    <row r="86" spans="1:3" x14ac:dyDescent="0.25">
      <c r="A86">
        <v>3</v>
      </c>
      <c r="B86">
        <v>5.0953749999999998</v>
      </c>
      <c r="C86">
        <v>0.11109150507579962</v>
      </c>
    </row>
    <row r="87" spans="1:3" x14ac:dyDescent="0.25">
      <c r="A87">
        <v>4</v>
      </c>
      <c r="B87">
        <v>5.0250000000000004</v>
      </c>
      <c r="C87">
        <v>0.34648232278139673</v>
      </c>
    </row>
    <row r="89" spans="1:3" x14ac:dyDescent="0.25">
      <c r="A89" t="s">
        <v>178</v>
      </c>
      <c r="B89">
        <v>1.1827218811602722</v>
      </c>
      <c r="C89">
        <v>0.11366340365867296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>
      <selection activeCell="D8" sqref="D8"/>
    </sheetView>
  </sheetViews>
  <sheetFormatPr baseColWidth="10" defaultRowHeight="15" x14ac:dyDescent="0.25"/>
  <sheetData>
    <row r="1" spans="1:4" s="7" customFormat="1" x14ac:dyDescent="0.25">
      <c r="A1" s="7" t="s">
        <v>226</v>
      </c>
    </row>
    <row r="2" spans="1:4" s="51" customFormat="1" x14ac:dyDescent="0.25"/>
    <row r="3" spans="1:4" s="51" customFormat="1" x14ac:dyDescent="0.25">
      <c r="A3" s="51" t="s">
        <v>227</v>
      </c>
      <c r="B3" s="51">
        <v>0.25</v>
      </c>
      <c r="C3" s="51">
        <v>0.18</v>
      </c>
      <c r="D3" s="51">
        <v>0.3</v>
      </c>
    </row>
    <row r="4" spans="1:4" s="51" customFormat="1" x14ac:dyDescent="0.25">
      <c r="A4" s="51" t="s">
        <v>210</v>
      </c>
      <c r="B4" s="51">
        <f>1/B3</f>
        <v>4</v>
      </c>
      <c r="C4" s="51">
        <f t="shared" ref="C4:D4" si="0">1/C3</f>
        <v>5.5555555555555554</v>
      </c>
      <c r="D4" s="51">
        <f t="shared" si="0"/>
        <v>3.3333333333333335</v>
      </c>
    </row>
    <row r="5" spans="1:4" s="51" customFormat="1" x14ac:dyDescent="0.25"/>
    <row r="6" spans="1:4" s="51" customFormat="1" x14ac:dyDescent="0.25"/>
    <row r="7" spans="1:4" s="51" customFormat="1" x14ac:dyDescent="0.25"/>
    <row r="8" spans="1:4" s="51" customFormat="1" x14ac:dyDescent="0.25"/>
    <row r="9" spans="1:4" s="51" customFormat="1" x14ac:dyDescent="0.25"/>
    <row r="10" spans="1:4" s="51" customFormat="1" x14ac:dyDescent="0.25"/>
    <row r="11" spans="1:4" s="51" customFormat="1" x14ac:dyDescent="0.25"/>
    <row r="12" spans="1:4" s="51" customFormat="1" x14ac:dyDescent="0.25"/>
    <row r="13" spans="1:4" s="51" customFormat="1" x14ac:dyDescent="0.25"/>
    <row r="14" spans="1:4" s="51" customFormat="1" x14ac:dyDescent="0.25"/>
    <row r="15" spans="1:4" s="51" customFormat="1" x14ac:dyDescent="0.25"/>
    <row r="16" spans="1:4" s="51" customFormat="1" x14ac:dyDescent="0.25"/>
    <row r="18" spans="1:23" s="7" customFormat="1" x14ac:dyDescent="0.25">
      <c r="A18" s="7" t="s">
        <v>195</v>
      </c>
    </row>
    <row r="20" spans="1:23" x14ac:dyDescent="0.25">
      <c r="B20" t="s">
        <v>196</v>
      </c>
      <c r="H20" t="s">
        <v>197</v>
      </c>
      <c r="M20" t="s">
        <v>198</v>
      </c>
      <c r="S20" t="s">
        <v>199</v>
      </c>
    </row>
    <row r="21" spans="1:23" x14ac:dyDescent="0.25">
      <c r="B21" t="s">
        <v>200</v>
      </c>
      <c r="C21" t="s">
        <v>201</v>
      </c>
      <c r="D21" t="s">
        <v>202</v>
      </c>
      <c r="E21" t="s">
        <v>203</v>
      </c>
      <c r="F21" t="s">
        <v>204</v>
      </c>
      <c r="G21" t="s">
        <v>210</v>
      </c>
      <c r="H21" t="s">
        <v>200</v>
      </c>
      <c r="I21" t="s">
        <v>201</v>
      </c>
      <c r="J21" t="s">
        <v>202</v>
      </c>
      <c r="K21" t="s">
        <v>203</v>
      </c>
      <c r="L21" t="s">
        <v>204</v>
      </c>
      <c r="M21" t="s">
        <v>200</v>
      </c>
      <c r="N21" t="s">
        <v>201</v>
      </c>
      <c r="O21" t="s">
        <v>202</v>
      </c>
      <c r="P21" t="s">
        <v>203</v>
      </c>
      <c r="Q21" t="s">
        <v>204</v>
      </c>
      <c r="R21" t="s">
        <v>210</v>
      </c>
      <c r="S21" t="s">
        <v>200</v>
      </c>
      <c r="T21" t="s">
        <v>201</v>
      </c>
      <c r="U21" t="s">
        <v>202</v>
      </c>
      <c r="V21" t="s">
        <v>203</v>
      </c>
      <c r="W21" t="s">
        <v>204</v>
      </c>
    </row>
    <row r="22" spans="1:23" x14ac:dyDescent="0.25">
      <c r="A22" t="s">
        <v>211</v>
      </c>
    </row>
    <row r="23" spans="1:23" x14ac:dyDescent="0.25">
      <c r="A23" t="s">
        <v>205</v>
      </c>
      <c r="B23">
        <v>27</v>
      </c>
      <c r="C23">
        <v>8</v>
      </c>
      <c r="D23">
        <v>32</v>
      </c>
      <c r="E23">
        <v>67</v>
      </c>
      <c r="F23">
        <v>0.48</v>
      </c>
      <c r="G23">
        <f>B23/D23</f>
        <v>0.84375</v>
      </c>
      <c r="H23">
        <v>27</v>
      </c>
      <c r="I23">
        <v>8</v>
      </c>
      <c r="J23">
        <v>32</v>
      </c>
      <c r="K23">
        <v>67</v>
      </c>
      <c r="L23">
        <v>0.48</v>
      </c>
      <c r="M23">
        <v>27</v>
      </c>
      <c r="N23">
        <v>8</v>
      </c>
      <c r="O23">
        <v>32</v>
      </c>
      <c r="P23">
        <v>67</v>
      </c>
      <c r="Q23">
        <v>0.48</v>
      </c>
      <c r="R23">
        <f>M23/O23</f>
        <v>0.84375</v>
      </c>
      <c r="S23">
        <v>27</v>
      </c>
      <c r="T23">
        <v>8</v>
      </c>
      <c r="U23">
        <v>32</v>
      </c>
      <c r="V23">
        <v>67</v>
      </c>
      <c r="W23">
        <v>0.48</v>
      </c>
    </row>
    <row r="24" spans="1:23" x14ac:dyDescent="0.25">
      <c r="A24" t="s">
        <v>206</v>
      </c>
      <c r="B24">
        <v>175</v>
      </c>
      <c r="C24">
        <v>20</v>
      </c>
      <c r="D24">
        <v>66</v>
      </c>
      <c r="E24">
        <v>261</v>
      </c>
      <c r="F24">
        <v>0.25</v>
      </c>
      <c r="G24">
        <f t="shared" ref="G24:G27" si="1">B24/D24</f>
        <v>2.6515151515151514</v>
      </c>
      <c r="H24">
        <v>149</v>
      </c>
      <c r="I24">
        <v>20</v>
      </c>
      <c r="J24">
        <v>75</v>
      </c>
      <c r="K24">
        <v>244</v>
      </c>
      <c r="L24">
        <v>0.31</v>
      </c>
      <c r="M24">
        <v>186</v>
      </c>
      <c r="N24">
        <v>20</v>
      </c>
      <c r="O24">
        <v>65</v>
      </c>
      <c r="P24">
        <v>271</v>
      </c>
      <c r="Q24">
        <v>0.24</v>
      </c>
      <c r="R24">
        <f t="shared" ref="R24:R27" si="2">M24/O24</f>
        <v>2.8615384615384616</v>
      </c>
      <c r="S24" t="s">
        <v>207</v>
      </c>
      <c r="T24">
        <v>20</v>
      </c>
      <c r="U24">
        <v>60</v>
      </c>
      <c r="V24" t="s">
        <v>207</v>
      </c>
      <c r="W24" t="s">
        <v>207</v>
      </c>
    </row>
    <row r="25" spans="1:23" x14ac:dyDescent="0.25">
      <c r="A25" t="s">
        <v>208</v>
      </c>
      <c r="B25">
        <v>732</v>
      </c>
      <c r="C25">
        <v>48</v>
      </c>
      <c r="D25">
        <v>90</v>
      </c>
      <c r="E25">
        <v>870</v>
      </c>
      <c r="F25">
        <v>0.1</v>
      </c>
      <c r="G25">
        <f t="shared" si="1"/>
        <v>8.1333333333333329</v>
      </c>
      <c r="H25">
        <v>636</v>
      </c>
      <c r="I25">
        <v>48</v>
      </c>
      <c r="J25">
        <v>104</v>
      </c>
      <c r="K25">
        <v>788</v>
      </c>
      <c r="L25">
        <v>0.13</v>
      </c>
      <c r="M25">
        <v>670</v>
      </c>
      <c r="N25">
        <v>48</v>
      </c>
      <c r="O25">
        <v>83</v>
      </c>
      <c r="P25">
        <v>801</v>
      </c>
      <c r="Q25">
        <v>0.1</v>
      </c>
      <c r="R25">
        <f t="shared" si="2"/>
        <v>8.0722891566265051</v>
      </c>
      <c r="S25">
        <v>467</v>
      </c>
      <c r="T25">
        <v>48</v>
      </c>
      <c r="U25">
        <v>77</v>
      </c>
      <c r="V25">
        <v>592</v>
      </c>
      <c r="W25">
        <v>0.13</v>
      </c>
    </row>
    <row r="26" spans="1:23" x14ac:dyDescent="0.25">
      <c r="A26" t="s">
        <v>208</v>
      </c>
      <c r="B26">
        <v>1179</v>
      </c>
      <c r="C26">
        <v>72</v>
      </c>
      <c r="D26">
        <v>105</v>
      </c>
      <c r="E26">
        <v>1356</v>
      </c>
      <c r="F26">
        <v>0.08</v>
      </c>
      <c r="G26">
        <f t="shared" si="1"/>
        <v>11.228571428571428</v>
      </c>
      <c r="H26">
        <v>1026</v>
      </c>
      <c r="I26">
        <v>72</v>
      </c>
      <c r="J26">
        <v>102</v>
      </c>
      <c r="K26">
        <v>1200</v>
      </c>
      <c r="L26">
        <v>0.09</v>
      </c>
      <c r="M26">
        <v>899</v>
      </c>
      <c r="N26">
        <v>72</v>
      </c>
      <c r="O26">
        <v>92</v>
      </c>
      <c r="P26">
        <v>1063</v>
      </c>
      <c r="Q26">
        <v>0.09</v>
      </c>
      <c r="R26">
        <f t="shared" si="2"/>
        <v>9.7717391304347831</v>
      </c>
      <c r="S26" t="s">
        <v>207</v>
      </c>
      <c r="T26" t="s">
        <v>207</v>
      </c>
    </row>
    <row r="27" spans="1:23" x14ac:dyDescent="0.25">
      <c r="A27" t="s">
        <v>209</v>
      </c>
      <c r="B27">
        <v>1989</v>
      </c>
      <c r="C27">
        <v>54</v>
      </c>
      <c r="D27">
        <v>76</v>
      </c>
      <c r="E27">
        <v>2119</v>
      </c>
      <c r="F27">
        <v>0.04</v>
      </c>
      <c r="G27">
        <f t="shared" si="1"/>
        <v>26.171052631578949</v>
      </c>
      <c r="M27">
        <v>1577</v>
      </c>
      <c r="N27">
        <v>54</v>
      </c>
      <c r="O27">
        <v>71</v>
      </c>
      <c r="P27">
        <v>1702</v>
      </c>
      <c r="Q27">
        <v>0.04</v>
      </c>
      <c r="R27">
        <f t="shared" si="2"/>
        <v>22.211267605633804</v>
      </c>
    </row>
    <row r="30" spans="1:23" s="7" customFormat="1" x14ac:dyDescent="0.25">
      <c r="A30" s="7" t="s">
        <v>220</v>
      </c>
      <c r="C30" s="7" t="s">
        <v>225</v>
      </c>
    </row>
    <row r="32" spans="1:23" x14ac:dyDescent="0.25">
      <c r="A32" t="s">
        <v>212</v>
      </c>
      <c r="B32" t="s">
        <v>222</v>
      </c>
      <c r="D32" t="s">
        <v>224</v>
      </c>
    </row>
    <row r="33" spans="1:15" x14ac:dyDescent="0.25">
      <c r="B33">
        <v>34</v>
      </c>
      <c r="E33">
        <v>62</v>
      </c>
      <c r="H33">
        <v>90</v>
      </c>
      <c r="K33" t="s">
        <v>213</v>
      </c>
      <c r="N33">
        <v>132</v>
      </c>
    </row>
    <row r="34" spans="1:15" x14ac:dyDescent="0.25">
      <c r="B34" t="s">
        <v>214</v>
      </c>
      <c r="C34" t="s">
        <v>120</v>
      </c>
      <c r="D34" t="s">
        <v>223</v>
      </c>
      <c r="E34" t="s">
        <v>214</v>
      </c>
      <c r="F34" t="s">
        <v>120</v>
      </c>
      <c r="G34" t="s">
        <v>223</v>
      </c>
      <c r="H34" t="s">
        <v>214</v>
      </c>
      <c r="I34" t="s">
        <v>120</v>
      </c>
      <c r="J34" t="s">
        <v>223</v>
      </c>
      <c r="K34" t="s">
        <v>214</v>
      </c>
      <c r="L34" t="s">
        <v>120</v>
      </c>
      <c r="M34" t="s">
        <v>223</v>
      </c>
      <c r="N34" t="s">
        <v>214</v>
      </c>
      <c r="O34" t="s">
        <v>120</v>
      </c>
    </row>
    <row r="35" spans="1:15" x14ac:dyDescent="0.25">
      <c r="A35" t="s">
        <v>221</v>
      </c>
      <c r="B35">
        <v>26.6</v>
      </c>
      <c r="C35">
        <v>18.100000000000001</v>
      </c>
      <c r="D35">
        <f>C35/B35</f>
        <v>0.68045112781954886</v>
      </c>
      <c r="E35">
        <v>117.9</v>
      </c>
      <c r="F35">
        <v>78.2</v>
      </c>
      <c r="G35">
        <f>F35/E35</f>
        <v>0.66327396098388469</v>
      </c>
      <c r="H35">
        <v>317.8</v>
      </c>
      <c r="I35">
        <v>270.3</v>
      </c>
      <c r="J35">
        <f>I35/H35</f>
        <v>0.85053492762743865</v>
      </c>
      <c r="K35">
        <v>397.2</v>
      </c>
      <c r="L35">
        <v>622.4</v>
      </c>
      <c r="M35">
        <f>L35/K35</f>
        <v>1.5669687814702919</v>
      </c>
      <c r="N35" t="s">
        <v>207</v>
      </c>
      <c r="O35" t="s">
        <v>207</v>
      </c>
    </row>
    <row r="36" spans="1:15" x14ac:dyDescent="0.25">
      <c r="A36" t="s">
        <v>215</v>
      </c>
      <c r="B36">
        <v>16.399999999999999</v>
      </c>
      <c r="C36">
        <v>12.3</v>
      </c>
      <c r="D36">
        <f t="shared" ref="D36:D40" si="3">C36/B36</f>
        <v>0.75000000000000011</v>
      </c>
      <c r="E36">
        <v>149</v>
      </c>
      <c r="F36">
        <v>82.5</v>
      </c>
      <c r="G36">
        <f t="shared" ref="G36:G40" si="4">F36/E36</f>
        <v>0.55369127516778527</v>
      </c>
      <c r="H36">
        <v>338</v>
      </c>
      <c r="I36">
        <v>353.2</v>
      </c>
      <c r="J36">
        <f t="shared" ref="J36:J40" si="5">I36/H36</f>
        <v>1.0449704142011833</v>
      </c>
      <c r="K36">
        <v>368.6</v>
      </c>
      <c r="L36">
        <v>606.1</v>
      </c>
      <c r="M36">
        <f t="shared" ref="M36:M40" si="6">L36/K36</f>
        <v>1.6443298969072164</v>
      </c>
      <c r="N36" t="s">
        <v>207</v>
      </c>
      <c r="O36" t="s">
        <v>207</v>
      </c>
    </row>
    <row r="37" spans="1:15" x14ac:dyDescent="0.25">
      <c r="A37" t="s">
        <v>216</v>
      </c>
      <c r="B37">
        <v>22.3</v>
      </c>
      <c r="C37">
        <v>12.4</v>
      </c>
      <c r="D37">
        <f t="shared" si="3"/>
        <v>0.55605381165919288</v>
      </c>
      <c r="E37">
        <v>74.7</v>
      </c>
      <c r="F37">
        <v>68.8</v>
      </c>
      <c r="G37">
        <f t="shared" si="4"/>
        <v>0.92101740294511369</v>
      </c>
      <c r="H37">
        <v>222.9</v>
      </c>
      <c r="I37">
        <v>301</v>
      </c>
      <c r="J37">
        <f t="shared" si="5"/>
        <v>1.3503813369223867</v>
      </c>
      <c r="K37">
        <v>280</v>
      </c>
      <c r="L37">
        <v>509</v>
      </c>
      <c r="M37">
        <f t="shared" si="6"/>
        <v>1.8178571428571428</v>
      </c>
      <c r="N37">
        <v>294.89999999999998</v>
      </c>
      <c r="O37">
        <v>669.7</v>
      </c>
    </row>
    <row r="38" spans="1:15" x14ac:dyDescent="0.25">
      <c r="A38" t="s">
        <v>217</v>
      </c>
      <c r="B38">
        <v>26.9</v>
      </c>
      <c r="C38">
        <v>14.8</v>
      </c>
      <c r="D38">
        <f t="shared" si="3"/>
        <v>0.55018587360594806</v>
      </c>
      <c r="E38">
        <v>158.6</v>
      </c>
      <c r="F38">
        <v>90.4</v>
      </c>
      <c r="G38">
        <f t="shared" si="4"/>
        <v>0.56998738965952089</v>
      </c>
      <c r="H38">
        <v>257.7</v>
      </c>
      <c r="I38">
        <v>360</v>
      </c>
      <c r="J38">
        <f t="shared" si="5"/>
        <v>1.3969732246798603</v>
      </c>
      <c r="K38">
        <v>276</v>
      </c>
      <c r="L38">
        <v>532.79999999999995</v>
      </c>
      <c r="M38">
        <f t="shared" si="6"/>
        <v>1.9304347826086954</v>
      </c>
      <c r="N38" t="s">
        <v>207</v>
      </c>
      <c r="O38" t="s">
        <v>207</v>
      </c>
    </row>
    <row r="39" spans="1:15" x14ac:dyDescent="0.25">
      <c r="A39" t="s">
        <v>218</v>
      </c>
      <c r="B39">
        <v>16.600000000000001</v>
      </c>
      <c r="C39">
        <v>8.5</v>
      </c>
      <c r="D39">
        <f t="shared" si="3"/>
        <v>0.51204819277108427</v>
      </c>
      <c r="E39">
        <v>102.8</v>
      </c>
      <c r="F39">
        <v>63.8</v>
      </c>
      <c r="G39">
        <f t="shared" si="4"/>
        <v>0.62062256809338523</v>
      </c>
      <c r="H39">
        <v>245.8</v>
      </c>
      <c r="I39">
        <v>292.2</v>
      </c>
      <c r="J39">
        <f t="shared" si="5"/>
        <v>1.1887713588283155</v>
      </c>
      <c r="K39">
        <v>261.2</v>
      </c>
      <c r="L39">
        <v>491.9</v>
      </c>
      <c r="M39">
        <f t="shared" si="6"/>
        <v>1.8832312404287901</v>
      </c>
      <c r="N39" t="s">
        <v>207</v>
      </c>
      <c r="O39" t="s">
        <v>207</v>
      </c>
    </row>
    <row r="40" spans="1:15" x14ac:dyDescent="0.25">
      <c r="A40" t="s">
        <v>219</v>
      </c>
      <c r="B40">
        <v>29.4</v>
      </c>
      <c r="C40">
        <v>18.5</v>
      </c>
      <c r="D40">
        <f t="shared" si="3"/>
        <v>0.62925170068027214</v>
      </c>
      <c r="E40">
        <v>164.5</v>
      </c>
      <c r="F40">
        <v>98.9</v>
      </c>
      <c r="G40">
        <f t="shared" si="4"/>
        <v>0.60121580547112463</v>
      </c>
      <c r="H40">
        <v>245.8</v>
      </c>
      <c r="I40">
        <v>367.3</v>
      </c>
      <c r="J40">
        <f t="shared" si="5"/>
        <v>1.4943043124491455</v>
      </c>
      <c r="K40">
        <v>283.10000000000002</v>
      </c>
      <c r="L40">
        <v>536.20000000000005</v>
      </c>
      <c r="M40">
        <f t="shared" si="6"/>
        <v>1.8940303779583185</v>
      </c>
      <c r="N40" t="s">
        <v>207</v>
      </c>
      <c r="O40" t="s">
        <v>207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20" sqref="D20"/>
    </sheetView>
  </sheetViews>
  <sheetFormatPr baseColWidth="10" defaultRowHeight="15" x14ac:dyDescent="0.25"/>
  <sheetData>
    <row r="1" spans="1:12" s="39" customFormat="1" x14ac:dyDescent="0.25">
      <c r="A1" s="38" t="s">
        <v>120</v>
      </c>
    </row>
    <row r="3" spans="1:12" s="34" customFormat="1" x14ac:dyDescent="0.25">
      <c r="A3" s="7" t="s">
        <v>121</v>
      </c>
    </row>
    <row r="4" spans="1:12" x14ac:dyDescent="0.25">
      <c r="A4" t="s">
        <v>130</v>
      </c>
    </row>
    <row r="8" spans="1:12" s="34" customFormat="1" x14ac:dyDescent="0.25">
      <c r="A8" s="7" t="s">
        <v>131</v>
      </c>
    </row>
    <row r="9" spans="1:12" x14ac:dyDescent="0.25">
      <c r="A9" t="s">
        <v>132</v>
      </c>
      <c r="G9" t="s">
        <v>143</v>
      </c>
      <c r="K9">
        <v>1</v>
      </c>
      <c r="L9" t="s">
        <v>144</v>
      </c>
    </row>
    <row r="10" spans="1:12" x14ac:dyDescent="0.25">
      <c r="G10">
        <v>14</v>
      </c>
      <c r="K10">
        <f>0.1</f>
        <v>0.1</v>
      </c>
      <c r="L10" t="s">
        <v>145</v>
      </c>
    </row>
    <row r="11" spans="1:12" x14ac:dyDescent="0.25">
      <c r="D11" t="s">
        <v>137</v>
      </c>
      <c r="E11" t="s">
        <v>146</v>
      </c>
      <c r="K11">
        <f>K10*0.8</f>
        <v>8.0000000000000016E-2</v>
      </c>
      <c r="L11" t="s">
        <v>27</v>
      </c>
    </row>
    <row r="12" spans="1:12" x14ac:dyDescent="0.25">
      <c r="A12" t="s">
        <v>134</v>
      </c>
      <c r="B12">
        <v>70</v>
      </c>
      <c r="C12" t="s">
        <v>135</v>
      </c>
      <c r="D12">
        <f>B12*$G$20/$G$10*10^3</f>
        <v>755</v>
      </c>
      <c r="E12">
        <f>D12/K10</f>
        <v>7550</v>
      </c>
      <c r="G12" t="s">
        <v>138</v>
      </c>
    </row>
    <row r="13" spans="1:12" x14ac:dyDescent="0.25">
      <c r="A13" t="s">
        <v>133</v>
      </c>
      <c r="B13">
        <v>40</v>
      </c>
      <c r="C13" t="s">
        <v>136</v>
      </c>
      <c r="D13">
        <f>B13*$G$16</f>
        <v>50</v>
      </c>
      <c r="E13">
        <f>D13/K11</f>
        <v>624.99999999999989</v>
      </c>
      <c r="G13">
        <v>129.75</v>
      </c>
      <c r="H13" t="s">
        <v>139</v>
      </c>
    </row>
    <row r="15" spans="1:12" s="40" customFormat="1" ht="30" x14ac:dyDescent="0.25">
      <c r="C15" s="41" t="s">
        <v>126</v>
      </c>
      <c r="D15" s="42">
        <f>D13/D12</f>
        <v>6.6225165562913912E-2</v>
      </c>
      <c r="G15" s="40" t="s">
        <v>140</v>
      </c>
    </row>
    <row r="16" spans="1:12" x14ac:dyDescent="0.25">
      <c r="G16">
        <v>1.25</v>
      </c>
    </row>
    <row r="17" spans="1:7" x14ac:dyDescent="0.25">
      <c r="A17" s="43" t="s">
        <v>147</v>
      </c>
    </row>
    <row r="18" spans="1:7" x14ac:dyDescent="0.25">
      <c r="G18" s="37" t="s">
        <v>141</v>
      </c>
    </row>
    <row r="19" spans="1:7" x14ac:dyDescent="0.25">
      <c r="G19" s="37" t="s">
        <v>142</v>
      </c>
    </row>
    <row r="20" spans="1:7" x14ac:dyDescent="0.25">
      <c r="G20">
        <v>0.151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1" sqref="E11"/>
    </sheetView>
  </sheetViews>
  <sheetFormatPr baseColWidth="10" defaultRowHeight="15" x14ac:dyDescent="0.25"/>
  <sheetData>
    <row r="1" spans="1:3" x14ac:dyDescent="0.25">
      <c r="A1" s="7" t="s">
        <v>161</v>
      </c>
      <c r="B1" s="7" t="s">
        <v>162</v>
      </c>
      <c r="C1" s="7" t="s">
        <v>163</v>
      </c>
    </row>
    <row r="2" spans="1:3" x14ac:dyDescent="0.25">
      <c r="A2">
        <v>0</v>
      </c>
      <c r="B2">
        <f>A2*476</f>
        <v>0</v>
      </c>
      <c r="C2" s="36">
        <f>IF(A2&lt;1.55,4.4,5.35*A2^-0.442)</f>
        <v>4.4000000000000004</v>
      </c>
    </row>
    <row r="3" spans="1:3" x14ac:dyDescent="0.25">
      <c r="A3">
        <v>1</v>
      </c>
      <c r="B3">
        <f t="shared" ref="B3:B16" si="0">A3*476</f>
        <v>476</v>
      </c>
      <c r="C3" s="36">
        <f t="shared" ref="C3:C4" si="1">IF(A3&lt;1.55,4.4,5.35*A3^-0.442)</f>
        <v>4.4000000000000004</v>
      </c>
    </row>
    <row r="4" spans="1:3" x14ac:dyDescent="0.25">
      <c r="A4">
        <v>2</v>
      </c>
      <c r="B4">
        <f t="shared" si="0"/>
        <v>952</v>
      </c>
      <c r="C4" s="36">
        <f t="shared" si="1"/>
        <v>3.9382068562998769</v>
      </c>
    </row>
    <row r="5" spans="1:3" x14ac:dyDescent="0.25">
      <c r="A5">
        <v>3</v>
      </c>
      <c r="B5">
        <f t="shared" si="0"/>
        <v>1428</v>
      </c>
      <c r="C5" s="36">
        <f t="shared" ref="C5:C16" si="2">IF(A5&lt;1.55,4.4,5.35*A5^-0.442)</f>
        <v>3.2920482166369851</v>
      </c>
    </row>
    <row r="6" spans="1:3" x14ac:dyDescent="0.25">
      <c r="A6">
        <v>4</v>
      </c>
      <c r="B6">
        <f t="shared" si="0"/>
        <v>1904</v>
      </c>
      <c r="C6" s="36">
        <f t="shared" si="2"/>
        <v>2.898966961309787</v>
      </c>
    </row>
    <row r="7" spans="1:3" x14ac:dyDescent="0.25">
      <c r="A7">
        <v>5</v>
      </c>
      <c r="B7">
        <f t="shared" si="0"/>
        <v>2380</v>
      </c>
      <c r="C7" s="36">
        <f t="shared" si="2"/>
        <v>2.6266913270069852</v>
      </c>
    </row>
    <row r="8" spans="1:3" x14ac:dyDescent="0.25">
      <c r="A8">
        <v>6</v>
      </c>
      <c r="B8">
        <f t="shared" si="0"/>
        <v>2856</v>
      </c>
      <c r="C8" s="36">
        <f t="shared" si="2"/>
        <v>2.4233209080429079</v>
      </c>
    </row>
    <row r="9" spans="1:3" x14ac:dyDescent="0.25">
      <c r="A9">
        <v>7</v>
      </c>
      <c r="B9">
        <f t="shared" si="0"/>
        <v>3332</v>
      </c>
      <c r="C9" s="36">
        <f t="shared" si="2"/>
        <v>2.2637082224491012</v>
      </c>
    </row>
    <row r="10" spans="1:3" x14ac:dyDescent="0.25">
      <c r="A10">
        <v>8</v>
      </c>
      <c r="B10">
        <f t="shared" si="0"/>
        <v>3808</v>
      </c>
      <c r="C10" s="36">
        <f t="shared" si="2"/>
        <v>2.1339685164891629</v>
      </c>
    </row>
    <row r="11" spans="1:3" x14ac:dyDescent="0.25">
      <c r="A11">
        <v>9</v>
      </c>
      <c r="B11">
        <f t="shared" si="0"/>
        <v>4284</v>
      </c>
      <c r="C11" s="36">
        <f t="shared" si="2"/>
        <v>2.0257161608715433</v>
      </c>
    </row>
    <row r="12" spans="1:3" x14ac:dyDescent="0.25">
      <c r="A12">
        <v>10</v>
      </c>
      <c r="B12">
        <f t="shared" si="0"/>
        <v>4760</v>
      </c>
      <c r="C12" s="36">
        <f t="shared" si="2"/>
        <v>1.9335427651219308</v>
      </c>
    </row>
    <row r="13" spans="1:3" x14ac:dyDescent="0.25">
      <c r="A13">
        <v>11</v>
      </c>
      <c r="B13">
        <f t="shared" si="0"/>
        <v>5236</v>
      </c>
      <c r="C13" s="36">
        <f t="shared" si="2"/>
        <v>1.8537800974717134</v>
      </c>
    </row>
    <row r="14" spans="1:3" x14ac:dyDescent="0.25">
      <c r="A14">
        <v>12</v>
      </c>
      <c r="B14">
        <f t="shared" si="0"/>
        <v>5712</v>
      </c>
      <c r="C14" s="36">
        <f t="shared" si="2"/>
        <v>1.7838390682372756</v>
      </c>
    </row>
    <row r="15" spans="1:3" x14ac:dyDescent="0.25">
      <c r="A15">
        <v>13</v>
      </c>
      <c r="B15">
        <f t="shared" si="0"/>
        <v>6188</v>
      </c>
      <c r="C15" s="36">
        <f t="shared" si="2"/>
        <v>1.721832180171422</v>
      </c>
    </row>
    <row r="16" spans="1:3" x14ac:dyDescent="0.25">
      <c r="A16">
        <v>14</v>
      </c>
      <c r="B16">
        <f t="shared" si="0"/>
        <v>6664</v>
      </c>
      <c r="C16" s="36">
        <f t="shared" si="2"/>
        <v>1.6663460266002725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N17" sqref="N17"/>
    </sheetView>
  </sheetViews>
  <sheetFormatPr baseColWidth="10" defaultRowHeight="15" x14ac:dyDescent="0.25"/>
  <sheetData>
    <row r="1" spans="1:9" x14ac:dyDescent="0.25">
      <c r="A1" s="45" t="s">
        <v>164</v>
      </c>
    </row>
    <row r="3" spans="1:9" x14ac:dyDescent="0.25">
      <c r="C3" s="46" t="s">
        <v>165</v>
      </c>
      <c r="D3" s="46" t="s">
        <v>135</v>
      </c>
      <c r="E3" s="46" t="s">
        <v>135</v>
      </c>
      <c r="F3" s="46" t="s">
        <v>166</v>
      </c>
      <c r="G3" s="46" t="s">
        <v>167</v>
      </c>
      <c r="I3" s="46" t="s">
        <v>168</v>
      </c>
    </row>
    <row r="4" spans="1:9" x14ac:dyDescent="0.25">
      <c r="A4" s="7" t="s">
        <v>169</v>
      </c>
      <c r="B4" s="7" t="s">
        <v>170</v>
      </c>
      <c r="C4" s="7" t="s">
        <v>171</v>
      </c>
      <c r="D4" s="7" t="s">
        <v>27</v>
      </c>
      <c r="E4" s="7" t="s">
        <v>43</v>
      </c>
      <c r="F4" s="7" t="s">
        <v>172</v>
      </c>
      <c r="G4" s="7" t="s">
        <v>173</v>
      </c>
      <c r="I4" s="7" t="s">
        <v>174</v>
      </c>
    </row>
    <row r="5" spans="1:9" x14ac:dyDescent="0.25">
      <c r="A5">
        <v>11</v>
      </c>
      <c r="B5" t="s">
        <v>38</v>
      </c>
      <c r="C5">
        <v>34.6</v>
      </c>
      <c r="D5">
        <v>140</v>
      </c>
      <c r="E5">
        <v>0.97</v>
      </c>
      <c r="F5" s="36">
        <f>D5/C5*10</f>
        <v>40.462427745664733</v>
      </c>
      <c r="G5">
        <v>15</v>
      </c>
      <c r="I5" s="36">
        <f>G5/D5*1000</f>
        <v>107.14285714285714</v>
      </c>
    </row>
    <row r="6" spans="1:9" x14ac:dyDescent="0.25">
      <c r="A6">
        <v>10</v>
      </c>
      <c r="B6" t="s">
        <v>38</v>
      </c>
      <c r="C6">
        <v>34</v>
      </c>
      <c r="D6">
        <v>90</v>
      </c>
      <c r="E6">
        <v>0.77</v>
      </c>
      <c r="F6" s="36">
        <f t="shared" ref="F6:F17" si="0">D6/C6*10</f>
        <v>26.470588235294116</v>
      </c>
      <c r="G6">
        <v>8</v>
      </c>
      <c r="I6" s="36">
        <f t="shared" ref="I6:I19" si="1">G6/D6*1000</f>
        <v>88.888888888888886</v>
      </c>
    </row>
    <row r="7" spans="1:9" x14ac:dyDescent="0.25">
      <c r="A7">
        <v>9</v>
      </c>
      <c r="B7" t="s">
        <v>38</v>
      </c>
      <c r="C7">
        <v>22.8</v>
      </c>
      <c r="D7">
        <v>50</v>
      </c>
      <c r="E7">
        <v>0.47</v>
      </c>
      <c r="F7" s="36">
        <f t="shared" si="0"/>
        <v>21.929824561403507</v>
      </c>
      <c r="G7">
        <v>3.5</v>
      </c>
      <c r="I7" s="36">
        <f t="shared" si="1"/>
        <v>70</v>
      </c>
    </row>
    <row r="8" spans="1:9" x14ac:dyDescent="0.25">
      <c r="A8">
        <v>8</v>
      </c>
      <c r="B8" t="s">
        <v>38</v>
      </c>
      <c r="C8">
        <v>16</v>
      </c>
      <c r="D8">
        <v>40</v>
      </c>
      <c r="E8">
        <v>0.34</v>
      </c>
      <c r="F8" s="36">
        <f t="shared" si="0"/>
        <v>25</v>
      </c>
      <c r="G8">
        <v>2.5</v>
      </c>
      <c r="I8" s="36">
        <f t="shared" si="1"/>
        <v>62.5</v>
      </c>
    </row>
    <row r="9" spans="1:9" x14ac:dyDescent="0.25">
      <c r="A9">
        <v>11</v>
      </c>
      <c r="B9" t="s">
        <v>40</v>
      </c>
      <c r="C9">
        <v>6</v>
      </c>
      <c r="D9">
        <v>123</v>
      </c>
      <c r="E9">
        <v>0.6</v>
      </c>
      <c r="F9" s="36">
        <f t="shared" si="0"/>
        <v>205</v>
      </c>
      <c r="G9">
        <v>0.5</v>
      </c>
      <c r="I9" s="36">
        <f t="shared" si="1"/>
        <v>4.0650406504065044</v>
      </c>
    </row>
    <row r="10" spans="1:9" x14ac:dyDescent="0.25">
      <c r="A10">
        <v>10</v>
      </c>
      <c r="B10" t="s">
        <v>40</v>
      </c>
      <c r="C10">
        <v>5</v>
      </c>
      <c r="D10">
        <v>95</v>
      </c>
      <c r="E10">
        <v>0.28000000000000003</v>
      </c>
      <c r="F10" s="36">
        <f t="shared" si="0"/>
        <v>190</v>
      </c>
      <c r="G10">
        <v>0.2</v>
      </c>
      <c r="I10" s="36">
        <f t="shared" si="1"/>
        <v>2.1052631578947367</v>
      </c>
    </row>
    <row r="11" spans="1:9" x14ac:dyDescent="0.25">
      <c r="A11">
        <v>9</v>
      </c>
      <c r="B11" t="s">
        <v>40</v>
      </c>
      <c r="C11">
        <v>4</v>
      </c>
      <c r="D11">
        <v>73</v>
      </c>
      <c r="E11">
        <v>0.28000000000000003</v>
      </c>
      <c r="F11" s="36">
        <f t="shared" si="0"/>
        <v>182.5</v>
      </c>
      <c r="G11">
        <v>0.15</v>
      </c>
      <c r="I11" s="36">
        <f t="shared" si="1"/>
        <v>2.054794520547945</v>
      </c>
    </row>
    <row r="12" spans="1:9" x14ac:dyDescent="0.25">
      <c r="A12">
        <v>8</v>
      </c>
      <c r="B12" t="s">
        <v>40</v>
      </c>
      <c r="C12">
        <v>2</v>
      </c>
      <c r="D12">
        <v>58</v>
      </c>
      <c r="E12">
        <v>0.43</v>
      </c>
      <c r="F12" s="36">
        <f t="shared" si="0"/>
        <v>290</v>
      </c>
      <c r="G12">
        <v>1.5</v>
      </c>
      <c r="I12" s="36">
        <f t="shared" si="1"/>
        <v>25.862068965517242</v>
      </c>
    </row>
    <row r="13" spans="1:9" x14ac:dyDescent="0.25">
      <c r="A13">
        <v>11</v>
      </c>
      <c r="B13" t="s">
        <v>175</v>
      </c>
      <c r="C13">
        <v>0.8</v>
      </c>
      <c r="D13">
        <v>32</v>
      </c>
      <c r="E13">
        <v>0.09</v>
      </c>
      <c r="F13" s="36">
        <f t="shared" si="0"/>
        <v>400</v>
      </c>
      <c r="G13">
        <v>0.5</v>
      </c>
      <c r="I13" s="36">
        <f t="shared" si="1"/>
        <v>15.625</v>
      </c>
    </row>
    <row r="14" spans="1:9" x14ac:dyDescent="0.25">
      <c r="A14">
        <v>11</v>
      </c>
      <c r="B14" t="s">
        <v>176</v>
      </c>
      <c r="C14">
        <v>4</v>
      </c>
      <c r="D14">
        <v>160</v>
      </c>
      <c r="E14">
        <v>0.43</v>
      </c>
      <c r="F14" s="36">
        <f t="shared" si="0"/>
        <v>400</v>
      </c>
      <c r="G14">
        <v>0.5</v>
      </c>
      <c r="I14" s="36">
        <f t="shared" si="1"/>
        <v>3.125</v>
      </c>
    </row>
    <row r="15" spans="1:9" x14ac:dyDescent="0.25">
      <c r="A15">
        <v>10</v>
      </c>
      <c r="B15" t="s">
        <v>177</v>
      </c>
      <c r="C15">
        <v>4</v>
      </c>
      <c r="D15">
        <v>152</v>
      </c>
      <c r="E15">
        <v>0.32</v>
      </c>
      <c r="F15" s="36">
        <f t="shared" si="0"/>
        <v>380</v>
      </c>
      <c r="G15">
        <v>0.15</v>
      </c>
      <c r="I15" s="36">
        <f t="shared" si="1"/>
        <v>0.98684210526315796</v>
      </c>
    </row>
    <row r="16" spans="1:9" x14ac:dyDescent="0.25">
      <c r="A16">
        <v>9</v>
      </c>
      <c r="B16" t="s">
        <v>177</v>
      </c>
      <c r="C16">
        <v>2.5</v>
      </c>
      <c r="D16">
        <v>109</v>
      </c>
      <c r="E16">
        <v>0.26</v>
      </c>
      <c r="F16" s="36">
        <f t="shared" si="0"/>
        <v>436</v>
      </c>
      <c r="G16">
        <v>0.1</v>
      </c>
      <c r="I16" s="36">
        <f t="shared" si="1"/>
        <v>0.91743119266055051</v>
      </c>
    </row>
    <row r="17" spans="1:9" x14ac:dyDescent="0.25">
      <c r="A17">
        <v>8</v>
      </c>
      <c r="B17" t="s">
        <v>177</v>
      </c>
      <c r="C17">
        <v>1</v>
      </c>
      <c r="D17">
        <v>74</v>
      </c>
      <c r="E17">
        <v>0.31</v>
      </c>
      <c r="F17" s="36">
        <f t="shared" si="0"/>
        <v>740</v>
      </c>
      <c r="G17">
        <v>0.1</v>
      </c>
      <c r="I17" s="36">
        <f t="shared" si="1"/>
        <v>1.3513513513513513</v>
      </c>
    </row>
    <row r="19" spans="1:9" x14ac:dyDescent="0.25">
      <c r="B19" t="s">
        <v>178</v>
      </c>
      <c r="D19">
        <f>0.5*1000</f>
        <v>500</v>
      </c>
      <c r="E19">
        <f>0.01*1000</f>
        <v>10</v>
      </c>
      <c r="G19">
        <v>2.5</v>
      </c>
      <c r="I19" s="36">
        <f t="shared" si="1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INPUTS</vt:lpstr>
      <vt:lpstr>N content</vt:lpstr>
      <vt:lpstr>shootroots</vt:lpstr>
      <vt:lpstr>Conc Shoot</vt:lpstr>
      <vt:lpstr>N crit</vt:lpstr>
      <vt:lpstr>Barillot2016b_inputs</vt:lpstr>
    </vt:vector>
  </TitlesOfParts>
  <Company>INRA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mngauthier</dc:creator>
  <cp:lastModifiedBy>mngauthier</cp:lastModifiedBy>
  <dcterms:created xsi:type="dcterms:W3CDTF">2018-08-23T07:17:26Z</dcterms:created>
  <dcterms:modified xsi:type="dcterms:W3CDTF">2018-11-05T14:26:31Z</dcterms:modified>
</cp:coreProperties>
</file>