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fspmwheat\inputs\"/>
    </mc:Choice>
  </mc:AlternateContent>
  <bookViews>
    <workbookView xWindow="0" yWindow="0" windowWidth="20490" windowHeight="7320"/>
  </bookViews>
  <sheets>
    <sheet name="INPUTS_tillering" sheetId="17" r:id="rId1"/>
    <sheet name="INPUTS" sheetId="15" r:id="rId2"/>
    <sheet name="INPUTS_save" sheetId="1" r:id="rId3"/>
    <sheet name="INPUTS_save2" sheetId="9" r:id="rId4"/>
    <sheet name="Barillot2016b_input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2" i="17" l="1"/>
  <c r="I19" i="6" l="1"/>
  <c r="D20" i="6"/>
  <c r="E20" i="6"/>
  <c r="I20" i="6"/>
  <c r="P50" i="17" l="1"/>
  <c r="Q50" i="17"/>
  <c r="O50" i="17"/>
  <c r="P55" i="17" l="1" a="1"/>
  <c r="P55" i="17"/>
  <c r="Y5" i="17"/>
  <c r="Y6" i="17"/>
  <c r="Y7" i="17"/>
  <c r="Y8" i="17"/>
  <c r="Y9" i="17"/>
  <c r="Y10" i="17"/>
  <c r="Y11" i="17"/>
  <c r="Y12" i="17"/>
  <c r="X6" i="17"/>
  <c r="X7" i="17"/>
  <c r="X8" i="17"/>
  <c r="X9" i="17"/>
  <c r="X10" i="17"/>
  <c r="X11" i="17"/>
  <c r="X12" i="17"/>
  <c r="X5" i="17"/>
  <c r="AP6" i="17"/>
  <c r="AP7" i="17"/>
  <c r="AP8" i="17"/>
  <c r="AP9" i="17"/>
  <c r="AP10" i="17"/>
  <c r="AP11" i="17"/>
  <c r="AP12" i="17"/>
  <c r="AP5" i="17"/>
  <c r="X45" i="17"/>
  <c r="V38" i="17"/>
  <c r="V39" i="17"/>
  <c r="V40" i="17"/>
  <c r="V41" i="17"/>
  <c r="V42" i="17"/>
  <c r="V37" i="17"/>
  <c r="U38" i="17"/>
  <c r="U39" i="17"/>
  <c r="U40" i="17"/>
  <c r="U41" i="17"/>
  <c r="U42" i="17"/>
  <c r="U37" i="17"/>
  <c r="AO6" i="15" l="1"/>
  <c r="M62" i="17" l="1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I34" i="17"/>
  <c r="AH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L33" i="17"/>
  <c r="AI33" i="17"/>
  <c r="AC33" i="17"/>
  <c r="AB33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I32" i="17"/>
  <c r="AC32" i="17"/>
  <c r="AB32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L31" i="17"/>
  <c r="AI31" i="17"/>
  <c r="AC31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I30" i="17"/>
  <c r="AH30" i="17"/>
  <c r="AC30" i="17"/>
  <c r="AB30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L29" i="17"/>
  <c r="AI29" i="17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I28" i="17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L27" i="17"/>
  <c r="AI27" i="17"/>
  <c r="AC27" i="17"/>
  <c r="AB27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I26" i="17"/>
  <c r="AC26" i="17"/>
  <c r="AB26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L25" i="17"/>
  <c r="AI25" i="17"/>
  <c r="AC25" i="17"/>
  <c r="AB25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L24" i="17"/>
  <c r="AI24" i="17"/>
  <c r="AH24" i="17"/>
  <c r="AC24" i="17"/>
  <c r="AB24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I23" i="17"/>
  <c r="AC23" i="17"/>
  <c r="AB23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L22" i="17"/>
  <c r="AI22" i="17"/>
  <c r="AC22" i="17"/>
  <c r="AB22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I21" i="17"/>
  <c r="AC21" i="17"/>
  <c r="AB21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L20" i="17"/>
  <c r="AI20" i="17"/>
  <c r="AC20" i="17"/>
  <c r="AB20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I19" i="17"/>
  <c r="AC19" i="17"/>
  <c r="AB19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I18" i="17"/>
  <c r="AH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K17" i="17"/>
  <c r="AI17" i="17"/>
  <c r="AC17" i="17"/>
  <c r="AB17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I16" i="17"/>
  <c r="AH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I15" i="17"/>
  <c r="AC15" i="17"/>
  <c r="AB15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K14" i="17"/>
  <c r="AI14" i="17"/>
  <c r="AC14" i="17"/>
  <c r="AB14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I13" i="17"/>
  <c r="AH13" i="17"/>
  <c r="AC13" i="17"/>
  <c r="AB13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J13" i="17"/>
  <c r="I13" i="17"/>
  <c r="H13" i="17"/>
  <c r="G13" i="17"/>
  <c r="F13" i="17"/>
  <c r="D13" i="17"/>
  <c r="B13" i="17"/>
  <c r="B26" i="17" s="1"/>
  <c r="P54" i="17"/>
  <c r="F54" i="17"/>
  <c r="T53" i="17"/>
  <c r="J53" i="17"/>
  <c r="G53" i="17"/>
  <c r="F53" i="17"/>
  <c r="E53" i="17"/>
  <c r="P64" i="17" s="1"/>
  <c r="E50" i="17"/>
  <c r="AS47" i="17"/>
  <c r="AT45" i="17"/>
  <c r="AA42" i="17"/>
  <c r="J42" i="17"/>
  <c r="AA41" i="17"/>
  <c r="J41" i="17"/>
  <c r="AA40" i="17"/>
  <c r="N40" i="17" s="1"/>
  <c r="J40" i="17"/>
  <c r="AA39" i="17"/>
  <c r="J39" i="17"/>
  <c r="AR38" i="17"/>
  <c r="AB38" i="17"/>
  <c r="O37" i="17" s="1"/>
  <c r="AA38" i="17"/>
  <c r="J38" i="17"/>
  <c r="G38" i="17"/>
  <c r="AQ37" i="17"/>
  <c r="AP37" i="17"/>
  <c r="AA37" i="17"/>
  <c r="J37" i="17"/>
  <c r="G37" i="17"/>
  <c r="AY12" i="17"/>
  <c r="AW12" i="17"/>
  <c r="AH12" i="17" s="1"/>
  <c r="AH19" i="17" s="1"/>
  <c r="AT12" i="17"/>
  <c r="AL12" i="17"/>
  <c r="AL19" i="17" s="1"/>
  <c r="AY11" i="17"/>
  <c r="AW11" i="17"/>
  <c r="AH11" i="17" s="1"/>
  <c r="AH33" i="17" s="1"/>
  <c r="AT11" i="17"/>
  <c r="AL11" i="17"/>
  <c r="AL18" i="17" s="1"/>
  <c r="AY10" i="17"/>
  <c r="AW10" i="17"/>
  <c r="AH10" i="17" s="1"/>
  <c r="AK10" i="17" s="1"/>
  <c r="AK23" i="17" s="1"/>
  <c r="AT10" i="17"/>
  <c r="AL10" i="17"/>
  <c r="AY9" i="17"/>
  <c r="AW9" i="17"/>
  <c r="AH9" i="17" s="1"/>
  <c r="AH31" i="17" s="1"/>
  <c r="AT9" i="17"/>
  <c r="AL9" i="17"/>
  <c r="AL16" i="17" s="1"/>
  <c r="AY8" i="17"/>
  <c r="AW8" i="17"/>
  <c r="AH8" i="17" s="1"/>
  <c r="AT8" i="17"/>
  <c r="AL8" i="17"/>
  <c r="AL15" i="17" s="1"/>
  <c r="AY7" i="17"/>
  <c r="AW7" i="17"/>
  <c r="AH7" i="17" s="1"/>
  <c r="AK7" i="17" s="1"/>
  <c r="AK20" i="17" s="1"/>
  <c r="AT7" i="17"/>
  <c r="AL7" i="17"/>
  <c r="AL14" i="17" s="1"/>
  <c r="E7" i="17"/>
  <c r="E20" i="17" s="1"/>
  <c r="AY6" i="17"/>
  <c r="AI6" i="17" s="1"/>
  <c r="AL6" i="17" s="1"/>
  <c r="AL13" i="17" s="1"/>
  <c r="AW6" i="17"/>
  <c r="AH6" i="17" s="1"/>
  <c r="AY5" i="17"/>
  <c r="AI5" i="17" s="1"/>
  <c r="AL5" i="17" s="1"/>
  <c r="AW5" i="17"/>
  <c r="J5" i="17"/>
  <c r="J6" i="17" s="1"/>
  <c r="G5" i="17"/>
  <c r="E2" i="17"/>
  <c r="N38" i="17" l="1"/>
  <c r="N42" i="17"/>
  <c r="N37" i="17"/>
  <c r="E5" i="17"/>
  <c r="E10" i="17"/>
  <c r="E11" i="17"/>
  <c r="E8" i="17"/>
  <c r="O41" i="17"/>
  <c r="N41" i="17"/>
  <c r="K41" i="17"/>
  <c r="O39" i="17"/>
  <c r="AL23" i="17"/>
  <c r="AL17" i="17"/>
  <c r="AL32" i="17"/>
  <c r="AL28" i="17"/>
  <c r="E12" i="17"/>
  <c r="E14" i="17"/>
  <c r="W40" i="17"/>
  <c r="X40" i="17" s="1"/>
  <c r="M40" i="17" s="1"/>
  <c r="O38" i="17"/>
  <c r="AK8" i="17"/>
  <c r="AH21" i="17"/>
  <c r="AH26" i="17"/>
  <c r="AH15" i="17"/>
  <c r="AR37" i="17"/>
  <c r="AQ9" i="17" s="1"/>
  <c r="AH23" i="17"/>
  <c r="N39" i="17"/>
  <c r="O42" i="17"/>
  <c r="W41" i="17"/>
  <c r="X41" i="17" s="1"/>
  <c r="M41" i="17" s="1"/>
  <c r="AH17" i="17"/>
  <c r="AL21" i="17"/>
  <c r="AH25" i="17"/>
  <c r="AL26" i="17"/>
  <c r="AK28" i="17"/>
  <c r="AK32" i="17"/>
  <c r="AH28" i="17"/>
  <c r="AH32" i="17"/>
  <c r="AH14" i="17"/>
  <c r="AH22" i="17"/>
  <c r="AH27" i="17"/>
  <c r="AH29" i="17"/>
  <c r="AL30" i="17"/>
  <c r="AL34" i="17"/>
  <c r="AH20" i="17"/>
  <c r="E54" i="17"/>
  <c r="AM7" i="17"/>
  <c r="AM10" i="17"/>
  <c r="AM8" i="17"/>
  <c r="AQ5" i="17"/>
  <c r="AR5" i="17" s="1"/>
  <c r="AQ11" i="17"/>
  <c r="AJ6" i="17"/>
  <c r="AJ13" i="17" s="1"/>
  <c r="AK6" i="17"/>
  <c r="AK9" i="17"/>
  <c r="AJ9" i="17"/>
  <c r="AK12" i="17"/>
  <c r="AJ12" i="17"/>
  <c r="AJ11" i="17"/>
  <c r="AK11" i="17"/>
  <c r="AT6" i="17"/>
  <c r="J7" i="17"/>
  <c r="AU6" i="17"/>
  <c r="K6" i="17"/>
  <c r="K13" i="17" s="1"/>
  <c r="AJ8" i="17"/>
  <c r="K40" i="17"/>
  <c r="W42" i="17"/>
  <c r="X42" i="17" s="1"/>
  <c r="M42" i="17" s="1"/>
  <c r="F50" i="17"/>
  <c r="W37" i="17"/>
  <c r="X37" i="17" s="1"/>
  <c r="M37" i="17" s="1"/>
  <c r="W39" i="17"/>
  <c r="X39" i="17" s="1"/>
  <c r="AJ7" i="17"/>
  <c r="K38" i="17"/>
  <c r="O40" i="17"/>
  <c r="AT5" i="17"/>
  <c r="K5" i="17"/>
  <c r="AU5" i="17"/>
  <c r="AJ10" i="17"/>
  <c r="W38" i="17"/>
  <c r="X38" i="17" s="1"/>
  <c r="M38" i="17" s="1"/>
  <c r="K37" i="17"/>
  <c r="E6" i="17"/>
  <c r="E13" i="17" s="1"/>
  <c r="E9" i="17"/>
  <c r="K42" i="17"/>
  <c r="K39" i="17"/>
  <c r="L41" i="17" l="1"/>
  <c r="AD41" i="17"/>
  <c r="AE41" i="17" s="1"/>
  <c r="AR11" i="17"/>
  <c r="AQ24" i="17"/>
  <c r="AQ33" i="17"/>
  <c r="AQ29" i="17"/>
  <c r="AQ18" i="17"/>
  <c r="AR9" i="17"/>
  <c r="AG9" i="17" s="1"/>
  <c r="AQ16" i="17"/>
  <c r="AQ31" i="17"/>
  <c r="AQ22" i="17"/>
  <c r="AQ27" i="17"/>
  <c r="E16" i="17"/>
  <c r="E31" i="17"/>
  <c r="E22" i="17"/>
  <c r="E27" i="17"/>
  <c r="AM6" i="17"/>
  <c r="AM13" i="17" s="1"/>
  <c r="AK13" i="17"/>
  <c r="AM11" i="17"/>
  <c r="AK24" i="17"/>
  <c r="AK33" i="17"/>
  <c r="AK29" i="17"/>
  <c r="AK18" i="17"/>
  <c r="AQ8" i="17"/>
  <c r="AE8" i="17" s="1"/>
  <c r="L42" i="17"/>
  <c r="AD42" i="17" s="1"/>
  <c r="AE42" i="17" s="1"/>
  <c r="AJ18" i="17"/>
  <c r="AJ24" i="17"/>
  <c r="AJ33" i="17"/>
  <c r="AJ29" i="17"/>
  <c r="AM26" i="17"/>
  <c r="AM21" i="17"/>
  <c r="AM15" i="17"/>
  <c r="AJ21" i="17"/>
  <c r="AJ15" i="17"/>
  <c r="AJ26" i="17"/>
  <c r="AQ12" i="17"/>
  <c r="E15" i="17"/>
  <c r="E26" i="17"/>
  <c r="E21" i="17"/>
  <c r="AJ25" i="17"/>
  <c r="AJ30" i="17"/>
  <c r="AJ19" i="17"/>
  <c r="AJ34" i="17"/>
  <c r="AQ6" i="17"/>
  <c r="AM20" i="17"/>
  <c r="AM14" i="17"/>
  <c r="E24" i="17"/>
  <c r="E33" i="17"/>
  <c r="E18" i="17"/>
  <c r="E29" i="17"/>
  <c r="AJ17" i="17"/>
  <c r="AJ32" i="17"/>
  <c r="AJ23" i="17"/>
  <c r="AJ28" i="17"/>
  <c r="AJ20" i="17"/>
  <c r="AJ14" i="17"/>
  <c r="AM12" i="17"/>
  <c r="AK34" i="17"/>
  <c r="AK30" i="17"/>
  <c r="AK19" i="17"/>
  <c r="AK25" i="17"/>
  <c r="AQ7" i="17"/>
  <c r="AE7" i="17" s="1"/>
  <c r="AK26" i="17"/>
  <c r="AK15" i="17"/>
  <c r="AK21" i="17"/>
  <c r="E23" i="17"/>
  <c r="E32" i="17"/>
  <c r="E28" i="17"/>
  <c r="E17" i="17"/>
  <c r="J20" i="17"/>
  <c r="J14" i="17"/>
  <c r="AM9" i="17"/>
  <c r="AK31" i="17"/>
  <c r="AK16" i="17"/>
  <c r="AK27" i="17"/>
  <c r="AK22" i="17"/>
  <c r="E19" i="17"/>
  <c r="E34" i="17"/>
  <c r="E30" i="17"/>
  <c r="E25" i="17"/>
  <c r="AQ10" i="17"/>
  <c r="AM32" i="17"/>
  <c r="AM28" i="17"/>
  <c r="AM17" i="17"/>
  <c r="AM23" i="17"/>
  <c r="L40" i="17"/>
  <c r="AD40" i="17" s="1"/>
  <c r="AE40" i="17" s="1"/>
  <c r="AV6" i="17"/>
  <c r="AJ16" i="17"/>
  <c r="AJ22" i="17"/>
  <c r="AJ27" i="17"/>
  <c r="AJ31" i="17"/>
  <c r="M39" i="17"/>
  <c r="L39" i="17"/>
  <c r="AD39" i="17" s="1"/>
  <c r="AE39" i="17" s="1"/>
  <c r="K7" i="17"/>
  <c r="AU7" i="17"/>
  <c r="AV7" i="17" s="1"/>
  <c r="J8" i="17"/>
  <c r="AF6" i="17"/>
  <c r="AF13" i="17" s="1"/>
  <c r="AD6" i="17"/>
  <c r="AD13" i="17" s="1"/>
  <c r="AV5" i="17"/>
  <c r="AH5" i="17" s="1"/>
  <c r="AD8" i="17"/>
  <c r="AF8" i="17"/>
  <c r="AG11" i="17"/>
  <c r="AE11" i="17"/>
  <c r="AF11" i="17"/>
  <c r="AD11" i="17"/>
  <c r="AF9" i="17"/>
  <c r="AE9" i="17"/>
  <c r="AD9" i="17"/>
  <c r="G50" i="17"/>
  <c r="L38" i="17"/>
  <c r="AD38" i="17" s="1"/>
  <c r="AE38" i="17" s="1"/>
  <c r="AD10" i="17"/>
  <c r="AF10" i="17"/>
  <c r="L37" i="17"/>
  <c r="AD37" i="17" s="1"/>
  <c r="AD7" i="17"/>
  <c r="AF7" i="17"/>
  <c r="AF12" i="17"/>
  <c r="AD12" i="17"/>
  <c r="G16" i="15"/>
  <c r="G15" i="15"/>
  <c r="E5" i="15"/>
  <c r="AR8" i="17" l="1"/>
  <c r="AQ15" i="17"/>
  <c r="AQ26" i="17"/>
  <c r="AQ21" i="17"/>
  <c r="AR6" i="17"/>
  <c r="AC38" i="17" s="1"/>
  <c r="Q38" i="17" s="1"/>
  <c r="AQ13" i="17"/>
  <c r="AR12" i="17"/>
  <c r="AQ34" i="17"/>
  <c r="AQ19" i="17"/>
  <c r="AQ25" i="17"/>
  <c r="AQ30" i="17"/>
  <c r="AR10" i="17"/>
  <c r="AQ32" i="17"/>
  <c r="AQ23" i="17"/>
  <c r="AQ28" i="17"/>
  <c r="AQ17" i="17"/>
  <c r="AR16" i="17"/>
  <c r="AR31" i="17"/>
  <c r="AR22" i="17"/>
  <c r="AR27" i="17"/>
  <c r="AR7" i="17"/>
  <c r="AQ20" i="17"/>
  <c r="AQ14" i="17"/>
  <c r="AR18" i="17"/>
  <c r="AR33" i="17"/>
  <c r="AR29" i="17"/>
  <c r="AR24" i="17"/>
  <c r="AE6" i="17"/>
  <c r="AE13" i="17" s="1"/>
  <c r="AM18" i="17"/>
  <c r="AM33" i="17"/>
  <c r="AM29" i="17"/>
  <c r="AM24" i="17"/>
  <c r="AF19" i="17"/>
  <c r="AF25" i="17"/>
  <c r="AF30" i="17"/>
  <c r="AF34" i="17"/>
  <c r="AF14" i="17"/>
  <c r="AF20" i="17"/>
  <c r="AD24" i="17"/>
  <c r="AD33" i="17"/>
  <c r="AD29" i="17"/>
  <c r="AD18" i="17"/>
  <c r="K14" i="17"/>
  <c r="K20" i="17"/>
  <c r="AM27" i="17"/>
  <c r="AM31" i="17"/>
  <c r="AM16" i="17"/>
  <c r="AM22" i="17"/>
  <c r="AE10" i="17"/>
  <c r="AF24" i="17"/>
  <c r="AF29" i="17"/>
  <c r="AF33" i="17"/>
  <c r="AF18" i="17"/>
  <c r="AD22" i="17"/>
  <c r="AD31" i="17"/>
  <c r="AD16" i="17"/>
  <c r="AD27" i="17"/>
  <c r="AF17" i="17"/>
  <c r="AF23" i="17"/>
  <c r="AF28" i="17"/>
  <c r="AF32" i="17"/>
  <c r="AF26" i="17"/>
  <c r="AF21" i="17"/>
  <c r="AF15" i="17"/>
  <c r="AE20" i="17"/>
  <c r="AE14" i="17"/>
  <c r="AG16" i="17"/>
  <c r="AG31" i="17"/>
  <c r="AG27" i="17"/>
  <c r="AG22" i="17"/>
  <c r="AD15" i="17"/>
  <c r="AD26" i="17"/>
  <c r="AD21" i="17"/>
  <c r="AD14" i="17"/>
  <c r="AD20" i="17"/>
  <c r="AE18" i="17"/>
  <c r="AE29" i="17"/>
  <c r="AE33" i="17"/>
  <c r="AE24" i="17"/>
  <c r="AD25" i="17"/>
  <c r="AD34" i="17"/>
  <c r="AD30" i="17"/>
  <c r="AD19" i="17"/>
  <c r="AE27" i="17"/>
  <c r="AE22" i="17"/>
  <c r="AE16" i="17"/>
  <c r="AN16" i="17" s="1"/>
  <c r="AO16" i="17" s="1"/>
  <c r="AE31" i="17"/>
  <c r="AE26" i="17"/>
  <c r="AE21" i="17"/>
  <c r="AE15" i="17"/>
  <c r="AF22" i="17"/>
  <c r="AF16" i="17"/>
  <c r="AF27" i="17"/>
  <c r="AF31" i="17"/>
  <c r="J15" i="17"/>
  <c r="J21" i="17"/>
  <c r="J26" i="17"/>
  <c r="AM34" i="17"/>
  <c r="AM30" i="17"/>
  <c r="AM19" i="17"/>
  <c r="AM25" i="17"/>
  <c r="AD23" i="17"/>
  <c r="AD17" i="17"/>
  <c r="AD32" i="17"/>
  <c r="AD28" i="17"/>
  <c r="AE12" i="17"/>
  <c r="AG24" i="17"/>
  <c r="AG18" i="17"/>
  <c r="AG33" i="17"/>
  <c r="AG29" i="17"/>
  <c r="AN11" i="17"/>
  <c r="AO11" i="17" s="1"/>
  <c r="AN9" i="17"/>
  <c r="AO9" i="17" s="1"/>
  <c r="AK5" i="17"/>
  <c r="AM5" i="17" s="1"/>
  <c r="AJ5" i="17"/>
  <c r="K49" i="17" s="1"/>
  <c r="J9" i="17"/>
  <c r="AU8" i="17"/>
  <c r="AV8" i="17" s="1"/>
  <c r="K8" i="17"/>
  <c r="AE37" i="17"/>
  <c r="AC39" i="17" l="1"/>
  <c r="Q39" i="17" s="1"/>
  <c r="AN27" i="17"/>
  <c r="AO27" i="17" s="1"/>
  <c r="AG6" i="17"/>
  <c r="AG13" i="17" s="1"/>
  <c r="AC42" i="17"/>
  <c r="Q42" i="17" s="1"/>
  <c r="AN31" i="17"/>
  <c r="AO31" i="17" s="1"/>
  <c r="AN24" i="17"/>
  <c r="AO24" i="17" s="1"/>
  <c r="AR14" i="17"/>
  <c r="AR20" i="17"/>
  <c r="AG7" i="17"/>
  <c r="AR17" i="17"/>
  <c r="AR23" i="17"/>
  <c r="AR32" i="17"/>
  <c r="AR28" i="17"/>
  <c r="AG10" i="17"/>
  <c r="AN6" i="17"/>
  <c r="AO6" i="17" s="1"/>
  <c r="AN18" i="17"/>
  <c r="AO18" i="17" s="1"/>
  <c r="AR34" i="17"/>
  <c r="AR25" i="17"/>
  <c r="AR30" i="17"/>
  <c r="AR19" i="17"/>
  <c r="AG12" i="17"/>
  <c r="AN33" i="17"/>
  <c r="AO33" i="17" s="1"/>
  <c r="AC40" i="17"/>
  <c r="Q40" i="17" s="1"/>
  <c r="AR13" i="17"/>
  <c r="AC37" i="17"/>
  <c r="Q37" i="17" s="1"/>
  <c r="AC41" i="17"/>
  <c r="Q41" i="17" s="1"/>
  <c r="AN29" i="17"/>
  <c r="AO29" i="17" s="1"/>
  <c r="AN22" i="17"/>
  <c r="AO22" i="17" s="1"/>
  <c r="AN13" i="17"/>
  <c r="AO13" i="17" s="1"/>
  <c r="AG8" i="17"/>
  <c r="AR26" i="17"/>
  <c r="AR15" i="17"/>
  <c r="AR21" i="17"/>
  <c r="K26" i="17"/>
  <c r="K21" i="17"/>
  <c r="K15" i="17"/>
  <c r="J31" i="17"/>
  <c r="J27" i="17"/>
  <c r="J22" i="17"/>
  <c r="J16" i="17"/>
  <c r="AE34" i="17"/>
  <c r="AE30" i="17"/>
  <c r="AE19" i="17"/>
  <c r="AE25" i="17"/>
  <c r="AE32" i="17"/>
  <c r="AE28" i="17"/>
  <c r="AE17" i="17"/>
  <c r="AE23" i="17"/>
  <c r="AF5" i="17"/>
  <c r="AG5" i="17"/>
  <c r="AD5" i="17"/>
  <c r="AE5" i="17"/>
  <c r="AU9" i="17"/>
  <c r="AV9" i="17" s="1"/>
  <c r="J10" i="17"/>
  <c r="K9" i="17"/>
  <c r="AA16" i="15"/>
  <c r="AA17" i="15"/>
  <c r="AA18" i="15"/>
  <c r="N18" i="15" s="1"/>
  <c r="AA19" i="15"/>
  <c r="N19" i="15" s="1"/>
  <c r="AA20" i="15"/>
  <c r="AA15" i="15"/>
  <c r="N15" i="15" s="1"/>
  <c r="AQ15" i="15"/>
  <c r="AP15" i="15"/>
  <c r="T31" i="15"/>
  <c r="J31" i="15"/>
  <c r="G31" i="15"/>
  <c r="F31" i="15"/>
  <c r="E31" i="15"/>
  <c r="AS25" i="15"/>
  <c r="AT23" i="15"/>
  <c r="W20" i="15"/>
  <c r="X20" i="15" s="1"/>
  <c r="J20" i="15"/>
  <c r="O20" i="15" s="1"/>
  <c r="K19" i="15"/>
  <c r="J19" i="15"/>
  <c r="O19" i="15" s="1"/>
  <c r="J18" i="15"/>
  <c r="O18" i="15" s="1"/>
  <c r="J17" i="15"/>
  <c r="N17" i="15" s="1"/>
  <c r="AR16" i="15"/>
  <c r="AB16" i="15"/>
  <c r="W15" i="15" s="1"/>
  <c r="X15" i="15" s="1"/>
  <c r="W16" i="15"/>
  <c r="X16" i="15" s="1"/>
  <c r="J16" i="15"/>
  <c r="O16" i="15" s="1"/>
  <c r="J15" i="15"/>
  <c r="AY12" i="15"/>
  <c r="AW12" i="15"/>
  <c r="AH12" i="15" s="1"/>
  <c r="AK12" i="15" s="1"/>
  <c r="AM12" i="15" s="1"/>
  <c r="AT12" i="15"/>
  <c r="AL12" i="15"/>
  <c r="AY11" i="15"/>
  <c r="AW11" i="15"/>
  <c r="AH11" i="15" s="1"/>
  <c r="AT11" i="15"/>
  <c r="AL11" i="15"/>
  <c r="AY10" i="15"/>
  <c r="AW10" i="15"/>
  <c r="AH10" i="15" s="1"/>
  <c r="AJ10" i="15" s="1"/>
  <c r="AD10" i="15" s="1"/>
  <c r="AT10" i="15"/>
  <c r="AL10" i="15"/>
  <c r="AY9" i="15"/>
  <c r="AW9" i="15"/>
  <c r="AH9" i="15" s="1"/>
  <c r="AJ9" i="15" s="1"/>
  <c r="AD9" i="15" s="1"/>
  <c r="AT9" i="15"/>
  <c r="AL9" i="15"/>
  <c r="AY8" i="15"/>
  <c r="AW8" i="15"/>
  <c r="AT8" i="15"/>
  <c r="AL8" i="15"/>
  <c r="AH8" i="15"/>
  <c r="AJ8" i="15" s="1"/>
  <c r="AY7" i="15"/>
  <c r="AW7" i="15"/>
  <c r="AH7" i="15" s="1"/>
  <c r="AJ7" i="15" s="1"/>
  <c r="AT7" i="15"/>
  <c r="AL7" i="15"/>
  <c r="AY6" i="15"/>
  <c r="AI6" i="15" s="1"/>
  <c r="AL6" i="15" s="1"/>
  <c r="AW6" i="15"/>
  <c r="AH6" i="15" s="1"/>
  <c r="AJ6" i="15" s="1"/>
  <c r="AY5" i="15"/>
  <c r="AI5" i="15" s="1"/>
  <c r="AL5" i="15" s="1"/>
  <c r="AW5" i="15"/>
  <c r="J5" i="15"/>
  <c r="K5" i="15" s="1"/>
  <c r="G5" i="15"/>
  <c r="E2" i="15"/>
  <c r="F26" i="1"/>
  <c r="E26" i="1"/>
  <c r="N16" i="15" l="1"/>
  <c r="AG32" i="17"/>
  <c r="AG17" i="17"/>
  <c r="AG28" i="17"/>
  <c r="AG23" i="17"/>
  <c r="AN23" i="17"/>
  <c r="AO23" i="17" s="1"/>
  <c r="AN17" i="17"/>
  <c r="AO17" i="17" s="1"/>
  <c r="AN28" i="17"/>
  <c r="AO28" i="17" s="1"/>
  <c r="AG21" i="17"/>
  <c r="AN21" i="17" s="1"/>
  <c r="AO21" i="17" s="1"/>
  <c r="AG15" i="17"/>
  <c r="AN15" i="17" s="1"/>
  <c r="AO15" i="17" s="1"/>
  <c r="AN8" i="17"/>
  <c r="AO8" i="17" s="1"/>
  <c r="AG26" i="17"/>
  <c r="AN26" i="17" s="1"/>
  <c r="AO26" i="17" s="1"/>
  <c r="AG30" i="17"/>
  <c r="AN30" i="17" s="1"/>
  <c r="AO30" i="17" s="1"/>
  <c r="AG34" i="17"/>
  <c r="AG25" i="17"/>
  <c r="AN25" i="17" s="1"/>
  <c r="AO25" i="17" s="1"/>
  <c r="AG19" i="17"/>
  <c r="AN19" i="17" s="1"/>
  <c r="AO19" i="17" s="1"/>
  <c r="AN7" i="17"/>
  <c r="AO7" i="17" s="1"/>
  <c r="AG14" i="17"/>
  <c r="AN14" i="17" s="1"/>
  <c r="AO14" i="17" s="1"/>
  <c r="AG20" i="17"/>
  <c r="AN20" i="17" s="1"/>
  <c r="AO20" i="17" s="1"/>
  <c r="AN32" i="17"/>
  <c r="AO32" i="17" s="1"/>
  <c r="AN10" i="17"/>
  <c r="AO10" i="17" s="1"/>
  <c r="AN34" i="17"/>
  <c r="AO34" i="17" s="1"/>
  <c r="AN12" i="17"/>
  <c r="AO12" i="17" s="1"/>
  <c r="K31" i="17"/>
  <c r="K27" i="17"/>
  <c r="K22" i="17"/>
  <c r="K16" i="17"/>
  <c r="J23" i="17"/>
  <c r="J28" i="17"/>
  <c r="J17" i="17"/>
  <c r="J32" i="17"/>
  <c r="AN5" i="17"/>
  <c r="P59" i="17"/>
  <c r="J11" i="17"/>
  <c r="K10" i="17"/>
  <c r="AU10" i="17"/>
  <c r="AV10" i="17" s="1"/>
  <c r="E8" i="15"/>
  <c r="AK7" i="15"/>
  <c r="AM7" i="15" s="1"/>
  <c r="E6" i="15"/>
  <c r="E9" i="15"/>
  <c r="AK9" i="15"/>
  <c r="AM9" i="15" s="1"/>
  <c r="E11" i="15"/>
  <c r="N20" i="15"/>
  <c r="E7" i="15"/>
  <c r="W18" i="15"/>
  <c r="X18" i="15" s="1"/>
  <c r="AF10" i="15"/>
  <c r="AF9" i="15"/>
  <c r="AF8" i="15"/>
  <c r="AF7" i="15"/>
  <c r="AF6" i="15"/>
  <c r="AR15" i="15"/>
  <c r="AD7" i="15"/>
  <c r="AD8" i="15"/>
  <c r="AD6" i="15"/>
  <c r="AT5" i="15"/>
  <c r="J6" i="15"/>
  <c r="AU5" i="15"/>
  <c r="AK11" i="15"/>
  <c r="AM11" i="15" s="1"/>
  <c r="AJ11" i="15"/>
  <c r="M16" i="15"/>
  <c r="W17" i="15"/>
  <c r="X17" i="15" s="1"/>
  <c r="M18" i="15"/>
  <c r="E28" i="15"/>
  <c r="K15" i="15"/>
  <c r="M15" i="15"/>
  <c r="K20" i="15"/>
  <c r="AK6" i="15"/>
  <c r="AM6" i="15" s="1"/>
  <c r="AK8" i="15"/>
  <c r="AM8" i="15" s="1"/>
  <c r="E10" i="15"/>
  <c r="AK10" i="15"/>
  <c r="AM10" i="15" s="1"/>
  <c r="E12" i="15"/>
  <c r="O15" i="15"/>
  <c r="L20" i="15"/>
  <c r="K16" i="15"/>
  <c r="O17" i="15"/>
  <c r="K18" i="15"/>
  <c r="W19" i="15"/>
  <c r="M20" i="15"/>
  <c r="L15" i="15"/>
  <c r="K17" i="15"/>
  <c r="AJ12" i="15"/>
  <c r="L16" i="15"/>
  <c r="Y45" i="17" l="1"/>
  <c r="K17" i="17"/>
  <c r="K23" i="17"/>
  <c r="K32" i="17"/>
  <c r="K28" i="17"/>
  <c r="J33" i="17"/>
  <c r="J29" i="17"/>
  <c r="J18" i="17"/>
  <c r="J24" i="17"/>
  <c r="AO5" i="17"/>
  <c r="M49" i="17"/>
  <c r="N50" i="17"/>
  <c r="P61" i="17" s="1"/>
  <c r="L49" i="17"/>
  <c r="E49" i="17"/>
  <c r="F49" i="17"/>
  <c r="G49" i="17"/>
  <c r="AU11" i="17"/>
  <c r="AV11" i="17" s="1"/>
  <c r="J12" i="17"/>
  <c r="K11" i="17"/>
  <c r="L18" i="15"/>
  <c r="AD18" i="15" s="1"/>
  <c r="AE18" i="15" s="1"/>
  <c r="AD20" i="15"/>
  <c r="AE20" i="15" s="1"/>
  <c r="AV5" i="15"/>
  <c r="AH5" i="15" s="1"/>
  <c r="AJ5" i="15" s="1"/>
  <c r="AD12" i="15"/>
  <c r="AF12" i="15"/>
  <c r="AD11" i="15"/>
  <c r="AF11" i="15"/>
  <c r="AD16" i="15"/>
  <c r="AE16" i="15" s="1"/>
  <c r="AQ5" i="15"/>
  <c r="AR5" i="15" s="1"/>
  <c r="AQ9" i="15"/>
  <c r="AR9" i="15" s="1"/>
  <c r="AG9" i="15" s="1"/>
  <c r="AQ6" i="15"/>
  <c r="AQ12" i="15"/>
  <c r="AR12" i="15" s="1"/>
  <c r="AG12" i="15" s="1"/>
  <c r="AQ7" i="15"/>
  <c r="AR7" i="15" s="1"/>
  <c r="AG7" i="15" s="1"/>
  <c r="AQ8" i="15"/>
  <c r="AQ10" i="15"/>
  <c r="AQ11" i="15"/>
  <c r="AR11" i="15" s="1"/>
  <c r="M17" i="15"/>
  <c r="AT6" i="15"/>
  <c r="J7" i="15"/>
  <c r="K6" i="15"/>
  <c r="AU6" i="15"/>
  <c r="AV6" i="15" s="1"/>
  <c r="AD15" i="15"/>
  <c r="X19" i="15"/>
  <c r="L19" i="15"/>
  <c r="F28" i="15"/>
  <c r="AE9" i="15"/>
  <c r="AN9" i="15" s="1"/>
  <c r="AO9" i="15" s="1"/>
  <c r="L17" i="15"/>
  <c r="AG11" i="15"/>
  <c r="P56" i="17" l="1"/>
  <c r="P57" i="17" s="1"/>
  <c r="P65" i="17" s="1"/>
  <c r="AK5" i="15"/>
  <c r="AM5" i="15" s="1"/>
  <c r="J19" i="17"/>
  <c r="J34" i="17"/>
  <c r="J25" i="17"/>
  <c r="J30" i="17"/>
  <c r="K33" i="17"/>
  <c r="K29" i="17"/>
  <c r="K18" i="17"/>
  <c r="K24" i="17"/>
  <c r="K12" i="17"/>
  <c r="AU12" i="17"/>
  <c r="AV12" i="17" s="1"/>
  <c r="AE11" i="15"/>
  <c r="AD5" i="15"/>
  <c r="AF5" i="15"/>
  <c r="AE8" i="15"/>
  <c r="AR8" i="15"/>
  <c r="AG8" i="15" s="1"/>
  <c r="AR6" i="15"/>
  <c r="AE6" i="15"/>
  <c r="AE12" i="15"/>
  <c r="AN12" i="15" s="1"/>
  <c r="AO12" i="15" s="1"/>
  <c r="AE7" i="15"/>
  <c r="AN7" i="15" s="1"/>
  <c r="AO7" i="15" s="1"/>
  <c r="AR10" i="15"/>
  <c r="AG10" i="15" s="1"/>
  <c r="AE10" i="15"/>
  <c r="AN10" i="15" s="1"/>
  <c r="AO10" i="15" s="1"/>
  <c r="AN11" i="15"/>
  <c r="AO11" i="15" s="1"/>
  <c r="AE15" i="15"/>
  <c r="G28" i="15"/>
  <c r="J8" i="15"/>
  <c r="K7" i="15"/>
  <c r="AU7" i="15"/>
  <c r="AV7" i="15" s="1"/>
  <c r="AG5" i="15"/>
  <c r="AE5" i="15"/>
  <c r="AD17" i="15"/>
  <c r="AE17" i="15" s="1"/>
  <c r="M19" i="15"/>
  <c r="AD19" i="15" s="1"/>
  <c r="AE19" i="15" s="1"/>
  <c r="AC19" i="15"/>
  <c r="Q19" i="15" s="1"/>
  <c r="K25" i="17" l="1"/>
  <c r="K34" i="17"/>
  <c r="K30" i="17"/>
  <c r="K19" i="17"/>
  <c r="P60" i="17"/>
  <c r="P66" i="17"/>
  <c r="P62" i="17"/>
  <c r="P33" i="15" a="1"/>
  <c r="AN5" i="15"/>
  <c r="AO5" i="15" s="1"/>
  <c r="AG6" i="15"/>
  <c r="AN6" i="15" s="1"/>
  <c r="AC15" i="15"/>
  <c r="Q15" i="15" s="1"/>
  <c r="AC20" i="15"/>
  <c r="Q20" i="15" s="1"/>
  <c r="AC16" i="15"/>
  <c r="Q16" i="15" s="1"/>
  <c r="AC18" i="15"/>
  <c r="Q18" i="15" s="1"/>
  <c r="AC17" i="15"/>
  <c r="Q17" i="15" s="1"/>
  <c r="AN8" i="15"/>
  <c r="AO8" i="15" s="1"/>
  <c r="K8" i="15"/>
  <c r="J9" i="15"/>
  <c r="AU8" i="15"/>
  <c r="AV8" i="15" s="1"/>
  <c r="P33" i="15" l="1"/>
  <c r="K27" i="15" s="1"/>
  <c r="G27" i="15" s="1"/>
  <c r="Y23" i="15"/>
  <c r="J10" i="15"/>
  <c r="K9" i="15"/>
  <c r="AU9" i="15"/>
  <c r="AV9" i="15" s="1"/>
  <c r="V25" i="1"/>
  <c r="V24" i="1"/>
  <c r="V23" i="1"/>
  <c r="V22" i="1"/>
  <c r="Y21" i="1"/>
  <c r="W21" i="1"/>
  <c r="V21" i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U10" i="15"/>
  <c r="AV10" i="15" s="1"/>
  <c r="J11" i="15"/>
  <c r="P34" i="15" l="1"/>
  <c r="P38" i="15" s="1"/>
  <c r="P44" i="15"/>
  <c r="P39" i="15"/>
  <c r="P40" i="15"/>
  <c r="AU11" i="15"/>
  <c r="AV11" i="15" s="1"/>
  <c r="J12" i="15"/>
  <c r="K11" i="15"/>
  <c r="P35" i="15" l="1"/>
  <c r="P43" i="15" s="1"/>
  <c r="K12" i="15"/>
  <c r="AU12" i="15"/>
  <c r="AV12" i="15" s="1"/>
  <c r="P37" i="1" l="1"/>
  <c r="P33" i="1" a="1"/>
  <c r="P33" i="1"/>
  <c r="X23" i="1"/>
  <c r="AN6" i="1"/>
  <c r="AN7" i="1"/>
  <c r="AN8" i="1"/>
  <c r="AN9" i="1"/>
  <c r="AN10" i="1"/>
  <c r="AN11" i="1"/>
  <c r="AN12" i="1"/>
  <c r="AO12" i="1" s="1"/>
  <c r="AN5" i="1"/>
  <c r="AO5" i="1" s="1"/>
  <c r="AV5" i="1"/>
  <c r="AO6" i="1"/>
  <c r="AO7" i="1"/>
  <c r="AO8" i="1"/>
  <c r="AO9" i="1"/>
  <c r="AO10" i="1"/>
  <c r="AO11" i="1"/>
  <c r="AD16" i="1"/>
  <c r="AD17" i="1"/>
  <c r="AD18" i="1"/>
  <c r="AD19" i="1"/>
  <c r="AD20" i="1"/>
  <c r="AD15" i="1"/>
  <c r="AC16" i="1"/>
  <c r="AC17" i="1"/>
  <c r="AC18" i="1"/>
  <c r="AC19" i="1"/>
  <c r="AC20" i="1"/>
  <c r="AC15" i="1"/>
  <c r="E6" i="1" l="1"/>
  <c r="E7" i="1"/>
  <c r="E8" i="1"/>
  <c r="E9" i="1"/>
  <c r="E10" i="1"/>
  <c r="E11" i="1"/>
  <c r="E12" i="1"/>
  <c r="E2" i="1"/>
  <c r="E5" i="1" s="1"/>
  <c r="J31" i="1" l="1"/>
  <c r="F31" i="1"/>
  <c r="F31" i="9"/>
  <c r="J31" i="9"/>
  <c r="AQ8" i="9" l="1"/>
  <c r="AR8" i="9" s="1"/>
  <c r="AQ9" i="9"/>
  <c r="AQ10" i="9"/>
  <c r="AQ11" i="9"/>
  <c r="AQ12" i="9"/>
  <c r="AR12" i="9" s="1"/>
  <c r="AQ5" i="9"/>
  <c r="AR5" i="9" s="1"/>
  <c r="AQ6" i="9"/>
  <c r="AQ7" i="9"/>
  <c r="AR7" i="9" s="1"/>
  <c r="AP6" i="9"/>
  <c r="AP7" i="9"/>
  <c r="AP8" i="9"/>
  <c r="AP9" i="9"/>
  <c r="AP10" i="9"/>
  <c r="AP11" i="9"/>
  <c r="AP12" i="9"/>
  <c r="AP5" i="9"/>
  <c r="AO12" i="9"/>
  <c r="AO11" i="9"/>
  <c r="AO10" i="9"/>
  <c r="AO9" i="9"/>
  <c r="AO8" i="9"/>
  <c r="AO7" i="9"/>
  <c r="AO5" i="9"/>
  <c r="AO6" i="9"/>
  <c r="AK6" i="9"/>
  <c r="AK7" i="9"/>
  <c r="AK8" i="9"/>
  <c r="AK9" i="9"/>
  <c r="AK10" i="9"/>
  <c r="AK11" i="9"/>
  <c r="AK12" i="9"/>
  <c r="AK5" i="9"/>
  <c r="AN6" i="9"/>
  <c r="AN7" i="9"/>
  <c r="AN8" i="9"/>
  <c r="AN9" i="9"/>
  <c r="AN10" i="9"/>
  <c r="AN11" i="9"/>
  <c r="AN12" i="9"/>
  <c r="AN5" i="9"/>
  <c r="X20" i="9"/>
  <c r="F28" i="9"/>
  <c r="G28" i="9" s="1"/>
  <c r="V15" i="9"/>
  <c r="W15" i="9" s="1"/>
  <c r="V20" i="9"/>
  <c r="X19" i="9"/>
  <c r="X18" i="9"/>
  <c r="X16" i="9"/>
  <c r="X17" i="9"/>
  <c r="X15" i="9"/>
  <c r="T31" i="9"/>
  <c r="G31" i="9"/>
  <c r="E31" i="9"/>
  <c r="AT25" i="9"/>
  <c r="AT23" i="9"/>
  <c r="I20" i="9"/>
  <c r="J20" i="9" s="1"/>
  <c r="J19" i="9"/>
  <c r="I19" i="9"/>
  <c r="I18" i="9"/>
  <c r="I17" i="9"/>
  <c r="N17" i="9" s="1"/>
  <c r="AA16" i="9"/>
  <c r="V16" i="9" s="1"/>
  <c r="I16" i="9"/>
  <c r="J15" i="9"/>
  <c r="I15" i="9"/>
  <c r="AY12" i="9"/>
  <c r="AW12" i="9"/>
  <c r="AG12" i="9" s="1"/>
  <c r="AT12" i="9"/>
  <c r="AY11" i="9"/>
  <c r="AW11" i="9"/>
  <c r="AG11" i="9" s="1"/>
  <c r="AT11" i="9"/>
  <c r="AY10" i="9"/>
  <c r="AW10" i="9"/>
  <c r="AG10" i="9" s="1"/>
  <c r="AT10" i="9"/>
  <c r="AY9" i="9"/>
  <c r="AW9" i="9"/>
  <c r="AG9" i="9" s="1"/>
  <c r="AT9" i="9"/>
  <c r="AY8" i="9"/>
  <c r="AW8" i="9"/>
  <c r="AG8" i="9" s="1"/>
  <c r="AT8" i="9"/>
  <c r="AY7" i="9"/>
  <c r="AW7" i="9"/>
  <c r="AG7" i="9" s="1"/>
  <c r="AT7" i="9"/>
  <c r="AY6" i="9"/>
  <c r="AH6" i="9" s="1"/>
  <c r="AW6" i="9"/>
  <c r="AG6" i="9"/>
  <c r="AI6" i="9" s="1"/>
  <c r="AY5" i="9"/>
  <c r="AH5" i="9" s="1"/>
  <c r="AW5" i="9"/>
  <c r="AU5" i="9"/>
  <c r="AV5" i="9" s="1"/>
  <c r="AG5" i="9" s="1"/>
  <c r="AT5" i="9"/>
  <c r="I5" i="9"/>
  <c r="I6" i="9" s="1"/>
  <c r="F5" i="9"/>
  <c r="V19" i="9" l="1"/>
  <c r="AR6" i="9"/>
  <c r="AF6" i="9" s="1"/>
  <c r="V18" i="9"/>
  <c r="W18" i="9" s="1"/>
  <c r="V17" i="9"/>
  <c r="W16" i="9"/>
  <c r="AJ7" i="9"/>
  <c r="AL7" i="9" s="1"/>
  <c r="AI7" i="9"/>
  <c r="AC6" i="9"/>
  <c r="AI9" i="9"/>
  <c r="AJ9" i="9"/>
  <c r="AL9" i="9" s="1"/>
  <c r="AI11" i="9"/>
  <c r="AJ11" i="9"/>
  <c r="AL11" i="9" s="1"/>
  <c r="I7" i="9"/>
  <c r="J6" i="9"/>
  <c r="AU6" i="9"/>
  <c r="AV6" i="9" s="1"/>
  <c r="AT6" i="9"/>
  <c r="AJ8" i="9"/>
  <c r="AL8" i="9" s="1"/>
  <c r="AI8" i="9"/>
  <c r="AI10" i="9"/>
  <c r="AJ10" i="9"/>
  <c r="AL10" i="9" s="1"/>
  <c r="AJ5" i="9"/>
  <c r="AL5" i="9" s="1"/>
  <c r="AI5" i="9"/>
  <c r="AI12" i="9"/>
  <c r="AJ12" i="9"/>
  <c r="AL12" i="9" s="1"/>
  <c r="AR9" i="9"/>
  <c r="J5" i="9"/>
  <c r="AJ6" i="9"/>
  <c r="AL6" i="9" s="1"/>
  <c r="AR11" i="9"/>
  <c r="N18" i="9"/>
  <c r="W17" i="9"/>
  <c r="N19" i="9"/>
  <c r="E28" i="9"/>
  <c r="J16" i="9"/>
  <c r="N20" i="9"/>
  <c r="K16" i="9"/>
  <c r="W19" i="9"/>
  <c r="N15" i="9"/>
  <c r="L16" i="9"/>
  <c r="J17" i="9"/>
  <c r="N16" i="9"/>
  <c r="J18" i="9"/>
  <c r="AR10" i="9"/>
  <c r="AB18" i="9" l="1"/>
  <c r="P18" i="9" s="1"/>
  <c r="AD6" i="9"/>
  <c r="AB17" i="9"/>
  <c r="P17" i="9" s="1"/>
  <c r="AB15" i="9"/>
  <c r="P15" i="9" s="1"/>
  <c r="AB16" i="9"/>
  <c r="P16" i="9" s="1"/>
  <c r="L17" i="9"/>
  <c r="L18" i="9"/>
  <c r="K17" i="9"/>
  <c r="AB19" i="9"/>
  <c r="P19" i="9" s="1"/>
  <c r="L19" i="9"/>
  <c r="W20" i="9"/>
  <c r="K20" i="9"/>
  <c r="AF8" i="9"/>
  <c r="AD8" i="9"/>
  <c r="AC8" i="9"/>
  <c r="AF7" i="9"/>
  <c r="AD7" i="9"/>
  <c r="AC7" i="9"/>
  <c r="AU7" i="9"/>
  <c r="AV7" i="9" s="1"/>
  <c r="I8" i="9"/>
  <c r="J7" i="9"/>
  <c r="L15" i="9"/>
  <c r="K19" i="9"/>
  <c r="AC10" i="9"/>
  <c r="AF10" i="9"/>
  <c r="AD10" i="9"/>
  <c r="AF12" i="9"/>
  <c r="AD12" i="9"/>
  <c r="AC12" i="9"/>
  <c r="AF11" i="9"/>
  <c r="AD11" i="9"/>
  <c r="AC11" i="9"/>
  <c r="AF5" i="9"/>
  <c r="AD5" i="9"/>
  <c r="AC5" i="9"/>
  <c r="K18" i="9"/>
  <c r="K15" i="9"/>
  <c r="AD9" i="9"/>
  <c r="AF9" i="9"/>
  <c r="AC9" i="9"/>
  <c r="AA16" i="1"/>
  <c r="E28" i="1" s="1"/>
  <c r="AU8" i="9" l="1"/>
  <c r="AV8" i="9" s="1"/>
  <c r="I9" i="9"/>
  <c r="J8" i="9"/>
  <c r="AB20" i="9"/>
  <c r="P20" i="9" s="1"/>
  <c r="L20" i="9"/>
  <c r="P31" i="9" a="1"/>
  <c r="P31" i="9" s="1"/>
  <c r="AU9" i="9" l="1"/>
  <c r="AV9" i="9" s="1"/>
  <c r="I10" i="9"/>
  <c r="J9" i="9"/>
  <c r="P34" i="9"/>
  <c r="K27" i="9"/>
  <c r="E26" i="9" l="1"/>
  <c r="E32" i="9" s="1"/>
  <c r="F27" i="9"/>
  <c r="F26" i="9" s="1"/>
  <c r="F32" i="9" s="1"/>
  <c r="G27" i="9"/>
  <c r="L27" i="9"/>
  <c r="M27" i="9"/>
  <c r="E27" i="9"/>
  <c r="AU10" i="9"/>
  <c r="AV10" i="9" s="1"/>
  <c r="I11" i="9"/>
  <c r="J10" i="9"/>
  <c r="P32" i="9" l="1"/>
  <c r="P35" i="9" s="1"/>
  <c r="I12" i="9"/>
  <c r="J11" i="9"/>
  <c r="AU11" i="9"/>
  <c r="AV11" i="9" s="1"/>
  <c r="AU12" i="9" l="1"/>
  <c r="AV12" i="9" s="1"/>
  <c r="J12" i="9"/>
  <c r="G31" i="1" l="1"/>
  <c r="E31" i="1"/>
  <c r="I17" i="6" l="1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G5" i="1" l="1"/>
  <c r="AS23" i="1"/>
  <c r="T31" i="1"/>
  <c r="F28" i="1" l="1"/>
  <c r="G28" i="1" l="1"/>
  <c r="I15" i="1"/>
  <c r="AY5" i="1" l="1"/>
  <c r="AI5" i="1" s="1"/>
  <c r="AW5" i="1" l="1"/>
  <c r="I20" i="1" l="1"/>
  <c r="I19" i="1"/>
  <c r="I18" i="1"/>
  <c r="I17" i="1"/>
  <c r="I16" i="1"/>
  <c r="AW6" i="1" l="1"/>
  <c r="AH6" i="1" s="1"/>
  <c r="AW7" i="1"/>
  <c r="AH7" i="1" s="1"/>
  <c r="AW8" i="1"/>
  <c r="AW9" i="1"/>
  <c r="AW10" i="1"/>
  <c r="AW11" i="1"/>
  <c r="AW12" i="1"/>
  <c r="J5" i="1" l="1"/>
  <c r="J6" i="1" s="1"/>
  <c r="AY6" i="1"/>
  <c r="AI6" i="1" s="1"/>
  <c r="AY7" i="1"/>
  <c r="AY8" i="1"/>
  <c r="AY9" i="1"/>
  <c r="AY10" i="1"/>
  <c r="AY11" i="1"/>
  <c r="AY12" i="1"/>
  <c r="AS25" i="1"/>
  <c r="AH8" i="1"/>
  <c r="AH9" i="1"/>
  <c r="AH10" i="1"/>
  <c r="AH11" i="1"/>
  <c r="AH12" i="1"/>
  <c r="AT7" i="1"/>
  <c r="AT8" i="1"/>
  <c r="AT9" i="1"/>
  <c r="AT10" i="1"/>
  <c r="AT11" i="1"/>
  <c r="AT12" i="1"/>
  <c r="K5" i="1" l="1"/>
  <c r="AT6" i="1"/>
  <c r="K6" i="1"/>
  <c r="J7" i="1"/>
  <c r="AU6" i="1"/>
  <c r="AV6" i="1" s="1"/>
  <c r="AU5" i="1"/>
  <c r="AT5" i="1"/>
  <c r="AL5" i="1"/>
  <c r="AL6" i="1"/>
  <c r="AL7" i="1"/>
  <c r="AL8" i="1"/>
  <c r="AL9" i="1"/>
  <c r="AL10" i="1"/>
  <c r="AL11" i="1"/>
  <c r="AL12" i="1"/>
  <c r="AK6" i="1"/>
  <c r="AK7" i="1"/>
  <c r="AK8" i="1"/>
  <c r="AK9" i="1"/>
  <c r="AK10" i="1"/>
  <c r="AK11" i="1"/>
  <c r="AK12" i="1"/>
  <c r="AJ6" i="1"/>
  <c r="AJ7" i="1"/>
  <c r="AJ8" i="1"/>
  <c r="AJ9" i="1"/>
  <c r="AJ10" i="1"/>
  <c r="AJ11" i="1"/>
  <c r="AJ12" i="1"/>
  <c r="J20" i="1"/>
  <c r="J15" i="1"/>
  <c r="J17" i="1"/>
  <c r="J19" i="1"/>
  <c r="J16" i="1"/>
  <c r="AU7" i="1" l="1"/>
  <c r="AV7" i="1" s="1"/>
  <c r="J8" i="1"/>
  <c r="K7" i="1"/>
  <c r="J18" i="1"/>
  <c r="AM6" i="1"/>
  <c r="AM10" i="1"/>
  <c r="AM7" i="1"/>
  <c r="AM12" i="1"/>
  <c r="AM11" i="1"/>
  <c r="AM9" i="1"/>
  <c r="AM8" i="1"/>
  <c r="AH5" i="1" l="1"/>
  <c r="AJ5" i="1" s="1"/>
  <c r="J9" i="1"/>
  <c r="K8" i="1"/>
  <c r="AU8" i="1"/>
  <c r="AV8" i="1" s="1"/>
  <c r="AK5" i="1" l="1"/>
  <c r="AM5" i="1" s="1"/>
  <c r="K9" i="1"/>
  <c r="J10" i="1"/>
  <c r="AU9" i="1"/>
  <c r="AV9" i="1" s="1"/>
  <c r="K10" i="1" l="1"/>
  <c r="AU10" i="1"/>
  <c r="AV10" i="1" s="1"/>
  <c r="J11" i="1"/>
  <c r="K11" i="1" l="1"/>
  <c r="J12" i="1"/>
  <c r="AU11" i="1"/>
  <c r="AV11" i="1" s="1"/>
  <c r="AU12" i="1" l="1"/>
  <c r="AV12" i="1" s="1"/>
  <c r="K12" i="1"/>
  <c r="N20" i="1" l="1"/>
  <c r="N17" i="1"/>
  <c r="N15" i="1"/>
  <c r="AD12" i="1"/>
  <c r="N19" i="1"/>
  <c r="AD6" i="1"/>
  <c r="AD5" i="1"/>
  <c r="N18" i="1"/>
  <c r="AD10" i="1"/>
  <c r="AD8" i="1"/>
  <c r="AD7" i="1"/>
  <c r="AD9" i="1"/>
  <c r="AD11" i="1"/>
  <c r="N16" i="1"/>
  <c r="AQ8" i="1"/>
  <c r="AR8" i="1" s="1"/>
  <c r="AG8" i="1" s="1"/>
  <c r="AQ9" i="1"/>
  <c r="AR9" i="1" s="1"/>
  <c r="AG9" i="1" s="1"/>
  <c r="V19" i="1"/>
  <c r="K19" i="1" s="1"/>
  <c r="AQ10" i="1"/>
  <c r="AE10" i="1" s="1"/>
  <c r="V18" i="1"/>
  <c r="W18" i="1" s="1"/>
  <c r="V17" i="1"/>
  <c r="K17" i="1" s="1"/>
  <c r="AQ12" i="1"/>
  <c r="AE12" i="1" s="1"/>
  <c r="AQ6" i="1"/>
  <c r="AR6" i="1" s="1"/>
  <c r="AG6" i="1" s="1"/>
  <c r="V20" i="1"/>
  <c r="W20" i="1" s="1"/>
  <c r="AQ7" i="1"/>
  <c r="AE7" i="1" s="1"/>
  <c r="AQ5" i="1"/>
  <c r="AE5" i="1" s="1"/>
  <c r="AQ11" i="1"/>
  <c r="AE11" i="1" s="1"/>
  <c r="V16" i="1"/>
  <c r="W16" i="1" s="1"/>
  <c r="V15" i="1"/>
  <c r="W15" i="1" s="1"/>
  <c r="K15" i="1"/>
  <c r="AE6" i="1" l="1"/>
  <c r="AR7" i="1"/>
  <c r="AG7" i="1" s="1"/>
  <c r="AR10" i="1"/>
  <c r="AG10" i="1" s="1"/>
  <c r="K18" i="1"/>
  <c r="W17" i="1"/>
  <c r="L17" i="1" s="1"/>
  <c r="AR12" i="1"/>
  <c r="AG12" i="1" s="1"/>
  <c r="AR5" i="1"/>
  <c r="AG5" i="1" s="1"/>
  <c r="AE9" i="1"/>
  <c r="AB15" i="1"/>
  <c r="P15" i="1" s="1"/>
  <c r="AB16" i="1"/>
  <c r="P16" i="1" s="1"/>
  <c r="L16" i="1"/>
  <c r="L18" i="1"/>
  <c r="AB18" i="1"/>
  <c r="P18" i="1" s="1"/>
  <c r="AB20" i="1"/>
  <c r="P20" i="1" s="1"/>
  <c r="L20" i="1"/>
  <c r="L15" i="1"/>
  <c r="AE8" i="1"/>
  <c r="AR11" i="1"/>
  <c r="AG11" i="1" s="1"/>
  <c r="K20" i="1"/>
  <c r="W19" i="1"/>
  <c r="K16" i="1"/>
  <c r="AB17" i="1" l="1"/>
  <c r="P17" i="1" s="1"/>
  <c r="AB19" i="1"/>
  <c r="P19" i="1" s="1"/>
  <c r="L19" i="1"/>
  <c r="K27" i="1" l="1"/>
  <c r="P30" i="1" s="1"/>
  <c r="M27" i="1" l="1"/>
  <c r="L27" i="1"/>
  <c r="F27" i="1"/>
  <c r="G27" i="1"/>
  <c r="E27" i="1"/>
  <c r="P34" i="1" s="1"/>
  <c r="N28" i="1"/>
  <c r="P44" i="1" l="1"/>
  <c r="P38" i="1"/>
  <c r="P42" i="1"/>
  <c r="P32" i="1"/>
  <c r="E32" i="1"/>
  <c r="F32" i="1"/>
  <c r="P40" i="1" l="1"/>
  <c r="P39" i="1"/>
  <c r="P35" i="1"/>
  <c r="P43" i="1" s="1"/>
</calcChain>
</file>

<file path=xl/comments1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<sst xmlns="http://schemas.openxmlformats.org/spreadsheetml/2006/main" count="1165" uniqueCount="158">
  <si>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</si>
  <si>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</si>
  <si>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</si>
  <si>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</si>
  <si>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</si>
  <si>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</si>
  <si>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</si>
  <si>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</si>
  <si>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</si>
  <si>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</si>
  <si>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</si>
  <si>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</si>
  <si>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</si>
  <si>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</si>
  <si>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</si>
  <si>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</si>
  <si>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</si>
  <si>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</si>
  <si>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</si>
  <si>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</si>
  <si>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</si>
  <si>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</si>
  <si>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</si>
  <si>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</si>
  <si>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</si>
  <si>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</si>
  <si>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</si>
  <si>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</si>
  <si>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</si>
  <si>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</si>
  <si>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</si>
  <si>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</si>
  <si>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</si>
  <si>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</si>
  <si>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</si>
  <si>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</si>
  <si>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</si>
  <si>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</si>
  <si>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</si>
  <si>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</si>
  <si>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</si>
  <si>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</si>
  <si>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</si>
  <si>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</si>
  <si>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</si>
  <si>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</si>
  <si>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</si>
  <si>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</si>
  <si>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</si>
  <si>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</si>
  <si>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</si>
  <si>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</si>
  <si>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</si>
  <si>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</si>
  <si>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</si>
  <si>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</si>
  <si>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</si>
  <si>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</si>
  <si>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</si>
  <si>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</si>
  <si>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</si>
  <si>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</si>
  <si>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</si>
  <si>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</si>
  <si>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</si>
  <si>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</si>
  <si>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</si>
  <si>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</si>
  <si>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</si>
  <si>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</si>
  <si>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</si>
  <si>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</si>
  <si>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</si>
  <si>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</si>
  <si>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</si>
  <si>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</si>
  <si>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</si>
  <si>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</si>
  <si>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</si>
  <si>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</si>
  <si>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</si>
  <si>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</si>
  <si>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</si>
  <si>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</si>
  <si>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</si>
  <si>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MW N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</si>
  <si>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</si>
  <si>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</si>
  <si>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</si>
  <si>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</si>
  <si>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</si>
  <si>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</si>
  <si>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</si>
  <si>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</si>
  <si>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</si>
  <si>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</si>
  <si>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</si>
  <si>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</si>
  <si>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</si>
  <si>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</si>
  <si>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</si>
  <si>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</si>
  <si>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</si>
  <si>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</si>
  <si>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</si>
  <si>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</si>
  <si>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</si>
  <si>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</si>
  <si>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</si>
  <si>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</si>
  <si>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</si>
  <si>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</si>
  <si>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</si>
  <si>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</si>
  <si>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</si>
  <si>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</si>
  <si>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</si>
  <si>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</si>
  <si>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</si>
  <si>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</si>
  <si>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</si>
  <si>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</si>
  <si>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</si>
  <si>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IN_Nstruct</t>
  </si>
  <si>
    <t>leaf_Nstruct</t>
  </si>
  <si>
    <t>N_struct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</si>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</sst>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98">
    <xf numFmtId="0" fontId="0" fillId="0" borderId="0" xfId="0"/>
    <xf numFmtId="11" fontId="0" fillId="0" borderId="0" xfId="0" applyNumberForma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11" fontId="1" fillId="0" borderId="6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11" fillId="0" borderId="0" xfId="0" applyFont="1"/>
    <xf numFmtId="11" fontId="11" fillId="0" borderId="0" xfId="0" applyNumberFormat="1" applyFont="1"/>
    <xf numFmtId="0" fontId="2" fillId="0" borderId="5" xfId="0" applyFont="1" applyBorder="1"/>
    <xf numFmtId="0" fontId="0" fillId="0" borderId="1" xfId="0" applyBorder="1"/>
    <xf numFmtId="0" fontId="12" fillId="0" borderId="0" xfId="0" applyFont="1"/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6" fillId="0" borderId="0" xfId="0" applyFont="1"/>
    <xf numFmtId="11" fontId="16" fillId="0" borderId="0" xfId="0" applyNumberFormat="1" applyFont="1"/>
    <xf numFmtId="0" fontId="17" fillId="0" borderId="0" xfId="0" applyFont="1"/>
    <xf numFmtId="11" fontId="17" fillId="0" borderId="0" xfId="0" applyNumberFormat="1" applyFont="1"/>
    <xf numFmtId="9" fontId="16" fillId="0" borderId="0" xfId="1" applyFont="1"/>
    <xf numFmtId="0" fontId="16" fillId="0" borderId="2" xfId="0" applyFont="1" applyBorder="1"/>
    <xf numFmtId="0" fontId="16" fillId="0" borderId="4" xfId="0" applyFont="1" applyBorder="1"/>
    <xf numFmtId="0" fontId="5" fillId="0" borderId="0" xfId="0" applyFont="1"/>
    <xf numFmtId="0" fontId="18" fillId="0" borderId="0" xfId="0" applyFont="1"/>
    <xf numFmtId="0" fontId="16" fillId="0" borderId="1" xfId="0" applyFont="1" applyBorder="1"/>
    <xf numFmtId="0" fontId="18" fillId="0" borderId="1" xfId="0" applyFont="1" applyBorder="1"/>
    <xf numFmtId="0" fontId="1" fillId="0" borderId="0" xfId="0" applyFont="1"/>
    <xf numFmtId="0" fontId="19" fillId="0" borderId="1" xfId="0" applyFont="1" applyBorder="1"/>
    <xf numFmtId="0" fontId="20" fillId="0" borderId="0" xfId="0" applyFont="1"/>
    <xf numFmtId="11" fontId="20" fillId="0" borderId="0" xfId="0" applyNumberFormat="1" applyFont="1"/>
    <xf numFmtId="0" fontId="6" fillId="0" borderId="0" xfId="0" applyFont="1" applyAlignment="1">
      <alignment horizontal="center" vertical="center"/>
    </xf>
    <xf numFmtId="0" fontId="16" fillId="0" borderId="0" xfId="0" applyFont="1" applyBorder="1"/>
    <xf numFmtId="0" fontId="17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7" fillId="0" borderId="0" xfId="1" applyFont="1"/>
    <xf numFmtId="1" fontId="17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6" fillId="0" borderId="0" xfId="0" applyFont="1" applyAlignment="1">
      <alignment horizontal="center" vertical="center"/>
    </xf>
    <xf numFmtId="0" fontId="5" fillId="0" borderId="14" xfId="0" applyFont="1" applyBorder="1"/>
    <xf numFmtId="0" fontId="18" fillId="0" borderId="15" xfId="0" applyFont="1" applyBorder="1"/>
    <xf numFmtId="0" fontId="0" fillId="0" borderId="16" xfId="0" applyBorder="1"/>
    <xf numFmtId="0" fontId="16" fillId="0" borderId="17" xfId="0" applyFont="1" applyBorder="1"/>
    <xf numFmtId="0" fontId="18" fillId="0" borderId="18" xfId="0" applyFont="1" applyBorder="1"/>
    <xf numFmtId="0" fontId="0" fillId="0" borderId="19" xfId="0" applyBorder="1"/>
    <xf numFmtId="0" fontId="23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6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6" fillId="0" borderId="4" xfId="0" applyNumberFormat="1" applyFont="1" applyBorder="1"/>
    <xf numFmtId="2" fontId="16" fillId="0" borderId="0" xfId="0" applyNumberFormat="1" applyFont="1"/>
    <xf numFmtId="0" fontId="17" fillId="0" borderId="2" xfId="0" applyFont="1" applyBorder="1"/>
    <xf numFmtId="165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1" fillId="0" borderId="3" xfId="0" applyFont="1" applyFill="1" applyBorder="1"/>
    <xf numFmtId="0" fontId="5" fillId="0" borderId="6" xfId="0" applyFont="1" applyBorder="1"/>
    <xf numFmtId="0" fontId="16" fillId="0" borderId="7" xfId="0" applyFont="1" applyBorder="1"/>
    <xf numFmtId="0" fontId="0" fillId="0" borderId="20" xfId="0" applyBorder="1"/>
    <xf numFmtId="0" fontId="1" fillId="0" borderId="8" xfId="0" applyFont="1" applyBorder="1"/>
    <xf numFmtId="1" fontId="17" fillId="0" borderId="0" xfId="0" applyNumberFormat="1" applyFont="1" applyBorder="1" applyAlignment="1">
      <alignment horizontal="center"/>
    </xf>
    <xf numFmtId="166" fontId="17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11" fontId="5" fillId="0" borderId="6" xfId="0" applyNumberFormat="1" applyFont="1" applyBorder="1"/>
    <xf numFmtId="1" fontId="17" fillId="0" borderId="3" xfId="0" applyNumberFormat="1" applyFont="1" applyBorder="1"/>
    <xf numFmtId="1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0" fontId="2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Y66"/>
  <sheetViews>
    <sheetView tabSelected="1" topLeftCell="P17" workbookViewId="0">
      <selection activeCell="AC50" sqref="AC50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94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94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f>INPUTS!X5</f>
        <v>25</v>
      </c>
      <c r="Y5">
        <f>INPUTS!Y5</f>
        <v>0.09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0">AJ5*$AP$37</f>
        <v>9.0399389163552328</v>
      </c>
      <c r="AE5" s="1">
        <f t="shared" ref="AE5:AE12" si="1">AJ5*$AQ5</f>
        <v>0.72671268051491678</v>
      </c>
      <c r="AF5" s="1">
        <f t="shared" ref="AF5:AF12" si="2">AJ5*$AQ$37</f>
        <v>9.0399389163552328</v>
      </c>
      <c r="AG5" s="33">
        <f t="shared" ref="AG5:AG12" si="3">AJ5*$AR5</f>
        <v>10.381609721641667</v>
      </c>
      <c r="AH5" s="1">
        <f>AV5</f>
        <v>2.0477283347659267E-3</v>
      </c>
      <c r="AI5" s="1">
        <f>AY5</f>
        <v>1.3244862745926676E-6</v>
      </c>
      <c r="AJ5" s="1">
        <f>AH5+AI5</f>
        <v>2.0490528210405194E-3</v>
      </c>
      <c r="AK5" s="1">
        <f>AH5*0.005</f>
        <v>1.0238641673829634E-5</v>
      </c>
      <c r="AL5">
        <f>AI5*0.005</f>
        <v>6.6224313729633385E-9</v>
      </c>
      <c r="AM5">
        <f>AK5+AL5</f>
        <v>1.0245264105202596E-5</v>
      </c>
      <c r="AN5" s="70">
        <f t="shared" ref="AN5:AN12" si="4">AJ5+AD5*$E$53+AE5*$F$53+AG5*$J$53</f>
        <v>3.3452329382524697E-3</v>
      </c>
      <c r="AO5" s="70">
        <f>(1-AJ5/AN5)*100</f>
        <v>38.747081029552078</v>
      </c>
      <c r="AP5" s="70">
        <f>INPUTS!AP5</f>
        <v>4.5999999999999996</v>
      </c>
      <c r="AQ5" s="70">
        <f t="shared" ref="AQ5:AQ12" si="5">(($AP5/100)*(1+$AR$37*$E$53)-$Y$38)/(((1+1/$X$45)*(14*10^(-6)))-(($J$53/$X$45+$F$53)*$AP5/100))</f>
        <v>354.65785608488528</v>
      </c>
      <c r="AR5" s="70">
        <f t="shared" ref="AR5:AR12" si="6">$AQ5/$X$45</f>
        <v>5066.5408012126463</v>
      </c>
      <c r="AS5" s="9">
        <v>851425</v>
      </c>
      <c r="AT5" s="10">
        <f>$T$49+$T$50*$T$52*(J5)^$T$51</f>
        <v>9.1058115591388438E-4</v>
      </c>
      <c r="AU5" s="9">
        <f t="shared" ref="AU5:AU12" si="7">J5*Y5</f>
        <v>2.6054999999999997E-3</v>
      </c>
      <c r="AV5" s="10">
        <f>((AU5-AT5)/($T$53-AS5))*(F5-$T$53)+AU5</f>
        <v>2.0477283347659267E-3</v>
      </c>
      <c r="AW5" s="10">
        <f t="shared" ref="AW5:AW12" si="8">$T$49+$T$50*$T$52*(L5)^$T$51</f>
        <v>4.0277279389003447E-3</v>
      </c>
      <c r="AX5" s="9"/>
      <c r="AY5" s="9">
        <f t="shared" ref="AY5:AY12" si="9">$AU$42*$AT$44*$AT$46*(M5)^$AT$43</f>
        <v>1.3244862745926676E-6</v>
      </c>
    </row>
    <row r="6" spans="1:51" x14ac:dyDescent="0.25">
      <c r="A6" s="94"/>
      <c r="B6">
        <v>1</v>
      </c>
      <c r="C6" t="s">
        <v>30</v>
      </c>
      <c r="D6">
        <v>4</v>
      </c>
      <c r="E6">
        <f t="shared" ref="E6:E11" si="10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1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f>INPUTS!X6</f>
        <v>24</v>
      </c>
      <c r="Y6">
        <f>INPUTS!Y6</f>
        <v>0.14000000000000001</v>
      </c>
      <c r="Z6" t="s">
        <v>33</v>
      </c>
      <c r="AA6" t="s">
        <v>32</v>
      </c>
      <c r="AB6" t="s">
        <v>32</v>
      </c>
      <c r="AC6" t="s">
        <v>33</v>
      </c>
      <c r="AD6" s="1">
        <f t="shared" si="0"/>
        <v>3.5017162544188412</v>
      </c>
      <c r="AE6" s="1">
        <f t="shared" si="1"/>
        <v>0.40920508349031792</v>
      </c>
      <c r="AF6" s="1">
        <f t="shared" si="2"/>
        <v>3.5017162544188412</v>
      </c>
      <c r="AG6" s="33">
        <f t="shared" si="3"/>
        <v>5.8457869070045412</v>
      </c>
      <c r="AH6" s="1">
        <f>AW6</f>
        <v>7.9355355356128927E-4</v>
      </c>
      <c r="AI6" s="1">
        <f>AY6</f>
        <v>1.6879744031468265E-7</v>
      </c>
      <c r="AJ6">
        <f t="shared" ref="AJ6:AJ12" si="12">AH6+AI6</f>
        <v>7.9372235100160394E-4</v>
      </c>
      <c r="AK6">
        <f t="shared" ref="AK6:AL12" si="13">AH6*0.005</f>
        <v>3.9677677678064465E-6</v>
      </c>
      <c r="AL6">
        <f t="shared" si="13"/>
        <v>8.4398720157341326E-10</v>
      </c>
      <c r="AM6">
        <f t="shared" ref="AM6:AM12" si="14">AK6+AL6</f>
        <v>3.9686117550080197E-6</v>
      </c>
      <c r="AN6" s="70">
        <f t="shared" si="4"/>
        <v>1.4782009576411177E-3</v>
      </c>
      <c r="AO6" s="70">
        <f t="shared" ref="AO6:AO34" si="15">(1-AJ6/AN6)*100</f>
        <v>46.304841239704672</v>
      </c>
      <c r="AP6" s="70">
        <f>INPUTS!AP6</f>
        <v>5.8</v>
      </c>
      <c r="AQ6" s="70">
        <f t="shared" si="5"/>
        <v>515.55192187033549</v>
      </c>
      <c r="AR6" s="70">
        <f t="shared" si="6"/>
        <v>7365.0274552905066</v>
      </c>
      <c r="AS6" s="9">
        <v>818263</v>
      </c>
      <c r="AT6" s="10">
        <f>$T$49+$T$50*$T$52*(J6)^$T$51</f>
        <v>9.1017858127080242E-4</v>
      </c>
      <c r="AU6" s="9">
        <f t="shared" si="7"/>
        <v>4.0516000000000007E-3</v>
      </c>
      <c r="AV6" s="10">
        <f>((AU6-AT6)/($T$53-AS6))*(F6-$T$53)+AU6</f>
        <v>7.9411698532703143E-4</v>
      </c>
      <c r="AW6" s="10">
        <f t="shared" si="8"/>
        <v>7.9355355356128927E-4</v>
      </c>
      <c r="AX6" s="9"/>
      <c r="AY6" s="9">
        <f t="shared" si="9"/>
        <v>1.6879744031468265E-7</v>
      </c>
    </row>
    <row r="7" spans="1:51" x14ac:dyDescent="0.25">
      <c r="A7" s="94"/>
      <c r="B7">
        <v>1</v>
      </c>
      <c r="C7" t="s">
        <v>30</v>
      </c>
      <c r="D7">
        <v>5</v>
      </c>
      <c r="E7">
        <f t="shared" si="1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1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tr">
        <f>INPUTS!X7</f>
        <v>NA</v>
      </c>
      <c r="Y7" t="str">
        <f>INPUTS!Y7</f>
        <v>NA</v>
      </c>
      <c r="Z7" t="s">
        <v>33</v>
      </c>
      <c r="AA7" t="s">
        <v>32</v>
      </c>
      <c r="AB7" t="s">
        <v>32</v>
      </c>
      <c r="AC7" t="s">
        <v>33</v>
      </c>
      <c r="AD7" s="1">
        <f t="shared" si="0"/>
        <v>0.13143561599020981</v>
      </c>
      <c r="AE7" s="1">
        <f t="shared" si="1"/>
        <v>1.5359360469885189E-2</v>
      </c>
      <c r="AF7" s="1">
        <f t="shared" si="2"/>
        <v>0.13143561599020981</v>
      </c>
      <c r="AG7" s="33">
        <f t="shared" si="3"/>
        <v>0.21941943528407412</v>
      </c>
      <c r="AH7" s="1">
        <f>AW7</f>
        <v>2.9792072957780891E-5</v>
      </c>
      <c r="AI7" s="1">
        <v>0</v>
      </c>
      <c r="AJ7">
        <f t="shared" si="12"/>
        <v>2.9792072957780891E-5</v>
      </c>
      <c r="AK7">
        <f t="shared" si="13"/>
        <v>1.4896036478890447E-7</v>
      </c>
      <c r="AL7">
        <f t="shared" si="13"/>
        <v>0</v>
      </c>
      <c r="AM7">
        <f t="shared" si="14"/>
        <v>1.4896036478890447E-7</v>
      </c>
      <c r="AN7" s="70">
        <f t="shared" si="4"/>
        <v>5.5483722640206677E-5</v>
      </c>
      <c r="AO7" s="70">
        <f t="shared" si="15"/>
        <v>46.304841239704686</v>
      </c>
      <c r="AP7" s="70">
        <f>INPUTS!AP7</f>
        <v>5.8</v>
      </c>
      <c r="AQ7" s="70">
        <f t="shared" si="5"/>
        <v>515.55192187033549</v>
      </c>
      <c r="AR7" s="70">
        <f t="shared" si="6"/>
        <v>7365.0274552905066</v>
      </c>
      <c r="AS7" s="9"/>
      <c r="AT7" s="10" t="e">
        <f t="shared" ref="AT7:AT12" si="16">$T$49+$T$50*$T$52*(T7*$T$54)^$T$51</f>
        <v>#VALUE!</v>
      </c>
      <c r="AU7" s="9" t="e">
        <f t="shared" si="7"/>
        <v>#VALUE!</v>
      </c>
      <c r="AV7" s="10" t="e">
        <f t="shared" ref="AV7:AV12" si="17">AT7+((AU7-AT7)/$T$53)*F7</f>
        <v>#VALUE!</v>
      </c>
      <c r="AW7" s="10">
        <f t="shared" si="8"/>
        <v>2.9792072957780891E-5</v>
      </c>
      <c r="AX7" s="9"/>
      <c r="AY7" s="9">
        <f t="shared" si="9"/>
        <v>0</v>
      </c>
    </row>
    <row r="8" spans="1:51" x14ac:dyDescent="0.25">
      <c r="A8" s="94"/>
      <c r="B8">
        <v>1</v>
      </c>
      <c r="C8" t="s">
        <v>30</v>
      </c>
      <c r="D8">
        <v>6</v>
      </c>
      <c r="E8">
        <f t="shared" si="1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8">J7-M8</f>
        <v>2.894E-2</v>
      </c>
      <c r="K8" s="48">
        <f t="shared" si="11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tr">
        <f>INPUTS!X8</f>
        <v>NA</v>
      </c>
      <c r="Y8" t="str">
        <f>INPUTS!Y8</f>
        <v>NA</v>
      </c>
      <c r="Z8" t="s">
        <v>33</v>
      </c>
      <c r="AA8" t="s">
        <v>32</v>
      </c>
      <c r="AB8" t="s">
        <v>32</v>
      </c>
      <c r="AC8" t="s">
        <v>33</v>
      </c>
      <c r="AD8" s="1">
        <f t="shared" si="0"/>
        <v>3.5630437425207336E-2</v>
      </c>
      <c r="AE8" s="1">
        <f t="shared" si="1"/>
        <v>4.1637171781065104E-3</v>
      </c>
      <c r="AF8" s="1">
        <f t="shared" si="2"/>
        <v>3.5630437425207336E-2</v>
      </c>
      <c r="AG8" s="33">
        <f t="shared" si="3"/>
        <v>5.948167397295015E-2</v>
      </c>
      <c r="AH8" s="1">
        <f t="shared" ref="AH8:AH12" si="19">AW8</f>
        <v>8.076232483046996E-6</v>
      </c>
      <c r="AI8" s="1">
        <v>0</v>
      </c>
      <c r="AJ8">
        <f t="shared" si="12"/>
        <v>8.076232483046996E-6</v>
      </c>
      <c r="AK8">
        <f t="shared" si="13"/>
        <v>4.0381162415234981E-8</v>
      </c>
      <c r="AL8">
        <f t="shared" si="13"/>
        <v>0</v>
      </c>
      <c r="AM8">
        <f t="shared" si="14"/>
        <v>4.0381162415234981E-8</v>
      </c>
      <c r="AN8" s="70">
        <f t="shared" si="4"/>
        <v>1.5040895062999488E-5</v>
      </c>
      <c r="AO8" s="70">
        <f t="shared" si="15"/>
        <v>46.304841239704672</v>
      </c>
      <c r="AP8" s="70">
        <f>INPUTS!AP8</f>
        <v>5.8</v>
      </c>
      <c r="AQ8" s="70">
        <f t="shared" si="5"/>
        <v>515.55192187033549</v>
      </c>
      <c r="AR8" s="70">
        <f t="shared" si="6"/>
        <v>7365.0274552905066</v>
      </c>
      <c r="AS8" s="9"/>
      <c r="AT8" s="10" t="e">
        <f t="shared" si="16"/>
        <v>#VALUE!</v>
      </c>
      <c r="AU8" s="9" t="e">
        <f t="shared" si="7"/>
        <v>#VALUE!</v>
      </c>
      <c r="AV8" s="10" t="e">
        <f t="shared" si="17"/>
        <v>#VALUE!</v>
      </c>
      <c r="AW8" s="10">
        <f t="shared" si="8"/>
        <v>8.076232483046996E-6</v>
      </c>
      <c r="AX8" s="9"/>
      <c r="AY8" s="9">
        <f t="shared" si="9"/>
        <v>0</v>
      </c>
    </row>
    <row r="9" spans="1:51" x14ac:dyDescent="0.25">
      <c r="A9" s="94"/>
      <c r="B9">
        <v>1</v>
      </c>
      <c r="C9" t="s">
        <v>30</v>
      </c>
      <c r="D9">
        <v>7</v>
      </c>
      <c r="E9">
        <f t="shared" si="10"/>
        <v>1643760</v>
      </c>
      <c r="F9">
        <v>0</v>
      </c>
      <c r="G9">
        <v>0</v>
      </c>
      <c r="H9" t="s">
        <v>31</v>
      </c>
      <c r="I9" t="s">
        <v>33</v>
      </c>
      <c r="J9">
        <f t="shared" si="18"/>
        <v>2.894E-2</v>
      </c>
      <c r="K9" s="48">
        <f t="shared" si="11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tr">
        <f>INPUTS!X9</f>
        <v>NA</v>
      </c>
      <c r="Y9" t="str">
        <f>INPUTS!Y9</f>
        <v>NA</v>
      </c>
      <c r="Z9" t="s">
        <v>33</v>
      </c>
      <c r="AA9" t="s">
        <v>32</v>
      </c>
      <c r="AB9" t="s">
        <v>32</v>
      </c>
      <c r="AC9" t="s">
        <v>33</v>
      </c>
      <c r="AD9" s="1">
        <f t="shared" si="0"/>
        <v>1.2193691971899337E-2</v>
      </c>
      <c r="AE9" s="1">
        <f t="shared" si="1"/>
        <v>1.4249357683163858E-3</v>
      </c>
      <c r="AF9" s="1">
        <f t="shared" si="2"/>
        <v>1.2193691971899337E-2</v>
      </c>
      <c r="AG9" s="33">
        <f t="shared" si="3"/>
        <v>2.0356225261662652E-2</v>
      </c>
      <c r="AH9" s="1">
        <f t="shared" si="19"/>
        <v>2.7639035136305163E-6</v>
      </c>
      <c r="AI9" s="1">
        <v>0</v>
      </c>
      <c r="AJ9">
        <f t="shared" si="12"/>
        <v>2.7639035136305163E-6</v>
      </c>
      <c r="AK9">
        <f t="shared" si="13"/>
        <v>1.3819517568152583E-8</v>
      </c>
      <c r="AL9">
        <f t="shared" si="13"/>
        <v>0</v>
      </c>
      <c r="AM9">
        <f t="shared" si="14"/>
        <v>1.3819517568152583E-8</v>
      </c>
      <c r="AN9" s="70">
        <f t="shared" si="4"/>
        <v>5.147397973007344E-6</v>
      </c>
      <c r="AO9" s="70">
        <f t="shared" si="15"/>
        <v>46.304841239704686</v>
      </c>
      <c r="AP9" s="70">
        <f>INPUTS!AP9</f>
        <v>5.8</v>
      </c>
      <c r="AQ9" s="70">
        <f t="shared" si="5"/>
        <v>515.55192187033549</v>
      </c>
      <c r="AR9" s="70">
        <f t="shared" si="6"/>
        <v>7365.0274552905066</v>
      </c>
      <c r="AS9" s="9"/>
      <c r="AT9" s="10" t="e">
        <f t="shared" si="16"/>
        <v>#VALUE!</v>
      </c>
      <c r="AU9" s="9" t="e">
        <f t="shared" si="7"/>
        <v>#VALUE!</v>
      </c>
      <c r="AV9" s="10" t="e">
        <f t="shared" si="17"/>
        <v>#VALUE!</v>
      </c>
      <c r="AW9" s="10">
        <f t="shared" si="8"/>
        <v>2.7639035136305163E-6</v>
      </c>
      <c r="AX9" s="9"/>
      <c r="AY9" s="9">
        <f t="shared" si="9"/>
        <v>0</v>
      </c>
    </row>
    <row r="10" spans="1:51" x14ac:dyDescent="0.25">
      <c r="A10" s="94"/>
      <c r="B10">
        <v>1</v>
      </c>
      <c r="C10" t="s">
        <v>30</v>
      </c>
      <c r="D10">
        <v>8</v>
      </c>
      <c r="E10">
        <f t="shared" si="1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8"/>
        <v>2.894E-2</v>
      </c>
      <c r="K10" s="48">
        <f t="shared" si="11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tr">
        <f>INPUTS!X10</f>
        <v>NA</v>
      </c>
      <c r="Y10" t="str">
        <f>INPUTS!Y10</f>
        <v>NA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0"/>
        <v>5.2963394285683064E-3</v>
      </c>
      <c r="AE10" s="1">
        <f t="shared" si="1"/>
        <v>6.1892194015589891E-4</v>
      </c>
      <c r="AF10" s="1">
        <f t="shared" si="2"/>
        <v>5.2963394285683064E-3</v>
      </c>
      <c r="AG10" s="33">
        <f t="shared" si="3"/>
        <v>8.8417420022271279E-3</v>
      </c>
      <c r="AH10" s="1">
        <f t="shared" si="19"/>
        <v>1.2005036038088161E-6</v>
      </c>
      <c r="AI10" s="1">
        <v>0</v>
      </c>
      <c r="AJ10">
        <f t="shared" si="12"/>
        <v>1.2005036038088161E-6</v>
      </c>
      <c r="AK10">
        <f t="shared" si="13"/>
        <v>6.0025180190440811E-9</v>
      </c>
      <c r="AL10">
        <f t="shared" si="13"/>
        <v>0</v>
      </c>
      <c r="AM10">
        <f t="shared" si="14"/>
        <v>6.0025180190440811E-9</v>
      </c>
      <c r="AN10" s="70">
        <f t="shared" si="4"/>
        <v>2.235776244126731E-6</v>
      </c>
      <c r="AO10" s="70">
        <f t="shared" si="15"/>
        <v>46.304841239704672</v>
      </c>
      <c r="AP10" s="70">
        <f>INPUTS!AP10</f>
        <v>5.8</v>
      </c>
      <c r="AQ10" s="70">
        <f t="shared" si="5"/>
        <v>515.55192187033549</v>
      </c>
      <c r="AR10" s="70">
        <f t="shared" si="6"/>
        <v>7365.0274552905066</v>
      </c>
      <c r="AS10" s="9"/>
      <c r="AT10" s="10" t="e">
        <f t="shared" si="16"/>
        <v>#VALUE!</v>
      </c>
      <c r="AU10" s="9" t="e">
        <f t="shared" si="7"/>
        <v>#VALUE!</v>
      </c>
      <c r="AV10" s="10" t="e">
        <f t="shared" si="17"/>
        <v>#VALUE!</v>
      </c>
      <c r="AW10" s="10">
        <f t="shared" si="8"/>
        <v>1.2005036038088161E-6</v>
      </c>
      <c r="AX10" s="9"/>
      <c r="AY10" s="9">
        <f t="shared" si="9"/>
        <v>0</v>
      </c>
    </row>
    <row r="11" spans="1:51" x14ac:dyDescent="0.25">
      <c r="A11" s="94"/>
      <c r="B11">
        <v>1</v>
      </c>
      <c r="C11" t="s">
        <v>30</v>
      </c>
      <c r="D11">
        <v>9</v>
      </c>
      <c r="E11">
        <f t="shared" si="1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8"/>
        <v>2.894E-2</v>
      </c>
      <c r="K11" s="48">
        <f t="shared" si="11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tr">
        <f>INPUTS!X11</f>
        <v>NA</v>
      </c>
      <c r="Y11" t="str">
        <f>INPUTS!Y11</f>
        <v>NA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0"/>
        <v>1.9146799290632522E-3</v>
      </c>
      <c r="AE11" s="1">
        <f t="shared" si="1"/>
        <v>2.2374650123089325E-4</v>
      </c>
      <c r="AF11" s="1">
        <f t="shared" si="2"/>
        <v>1.9146799290632522E-3</v>
      </c>
      <c r="AG11" s="33">
        <f t="shared" si="3"/>
        <v>3.1963785890127606E-3</v>
      </c>
      <c r="AH11" s="1">
        <f t="shared" si="19"/>
        <v>4.3399411725433714E-7</v>
      </c>
      <c r="AI11" s="1">
        <v>0</v>
      </c>
      <c r="AJ11">
        <f t="shared" si="12"/>
        <v>4.3399411725433714E-7</v>
      </c>
      <c r="AK11">
        <f t="shared" si="13"/>
        <v>2.1699705862716857E-9</v>
      </c>
      <c r="AL11">
        <f t="shared" si="13"/>
        <v>0</v>
      </c>
      <c r="AM11">
        <f t="shared" si="14"/>
        <v>2.1699705862716857E-9</v>
      </c>
      <c r="AN11" s="70">
        <f t="shared" si="4"/>
        <v>8.0825558071587727E-7</v>
      </c>
      <c r="AO11" s="70">
        <f t="shared" si="15"/>
        <v>46.304841239704686</v>
      </c>
      <c r="AP11" s="70">
        <f>INPUTS!AP11</f>
        <v>5.8</v>
      </c>
      <c r="AQ11" s="70">
        <f t="shared" si="5"/>
        <v>515.55192187033549</v>
      </c>
      <c r="AR11" s="70">
        <f t="shared" si="6"/>
        <v>7365.0274552905066</v>
      </c>
      <c r="AS11" s="9"/>
      <c r="AT11" s="10" t="e">
        <f t="shared" si="16"/>
        <v>#VALUE!</v>
      </c>
      <c r="AU11" s="9" t="e">
        <f t="shared" si="7"/>
        <v>#VALUE!</v>
      </c>
      <c r="AV11" s="10" t="e">
        <f t="shared" si="17"/>
        <v>#VALUE!</v>
      </c>
      <c r="AW11" s="10">
        <f t="shared" si="8"/>
        <v>4.3399411725433714E-7</v>
      </c>
      <c r="AX11" s="9"/>
      <c r="AY11" s="9">
        <f t="shared" si="9"/>
        <v>0</v>
      </c>
    </row>
    <row r="12" spans="1:51" x14ac:dyDescent="0.25">
      <c r="A12" s="94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8"/>
        <v>2.894E-2</v>
      </c>
      <c r="K12" s="48">
        <f t="shared" si="11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tr">
        <f>INPUTS!X12</f>
        <v>NA</v>
      </c>
      <c r="Y12" t="str">
        <f>INPUTS!Y12</f>
        <v>NA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0"/>
        <v>1.2855761246405892E-3</v>
      </c>
      <c r="AE12" s="1">
        <f t="shared" si="1"/>
        <v>1.5023041480099003E-4</v>
      </c>
      <c r="AF12" s="1">
        <f t="shared" si="2"/>
        <v>1.2855761246405892E-3</v>
      </c>
      <c r="AG12" s="33">
        <f t="shared" si="3"/>
        <v>2.1461487828712861E-3</v>
      </c>
      <c r="AH12" s="1">
        <f t="shared" si="19"/>
        <v>2.9139725491853351E-7</v>
      </c>
      <c r="AI12" s="1">
        <v>0</v>
      </c>
      <c r="AJ12">
        <f t="shared" si="12"/>
        <v>2.9139725491853351E-7</v>
      </c>
      <c r="AK12">
        <f t="shared" si="13"/>
        <v>1.4569862745926675E-9</v>
      </c>
      <c r="AL12">
        <f t="shared" si="13"/>
        <v>0</v>
      </c>
      <c r="AM12">
        <f t="shared" si="14"/>
        <v>1.4569862745926675E-9</v>
      </c>
      <c r="AN12" s="70">
        <f t="shared" si="4"/>
        <v>5.4268813361625835E-7</v>
      </c>
      <c r="AO12" s="70">
        <f t="shared" si="15"/>
        <v>46.304841239704686</v>
      </c>
      <c r="AP12" s="70">
        <f>INPUTS!AP12</f>
        <v>5.8</v>
      </c>
      <c r="AQ12" s="70">
        <f t="shared" si="5"/>
        <v>515.55192187033549</v>
      </c>
      <c r="AR12" s="70">
        <f t="shared" si="6"/>
        <v>7365.0274552905066</v>
      </c>
      <c r="AS12" s="9"/>
      <c r="AT12" s="10" t="e">
        <f t="shared" si="16"/>
        <v>#VALUE!</v>
      </c>
      <c r="AU12" s="9" t="e">
        <f t="shared" si="7"/>
        <v>#VALUE!</v>
      </c>
      <c r="AV12" s="10" t="e">
        <f t="shared" si="17"/>
        <v>#VALUE!</v>
      </c>
      <c r="AW12" s="10">
        <f t="shared" si="8"/>
        <v>2.9139725491853351E-7</v>
      </c>
      <c r="AX12" s="9"/>
      <c r="AY12" s="9">
        <f t="shared" si="9"/>
        <v>0</v>
      </c>
    </row>
    <row r="13" spans="1:51" x14ac:dyDescent="0.25">
      <c r="A13" s="94"/>
      <c r="B13">
        <f>B6</f>
        <v>1</v>
      </c>
      <c r="C13" t="s">
        <v>126</v>
      </c>
      <c r="D13">
        <f>D6-3</f>
        <v>1</v>
      </c>
      <c r="E13">
        <f>E6</f>
        <v>3287520</v>
      </c>
      <c r="F13">
        <f t="shared" ref="F13:AM19" si="20">F6</f>
        <v>776406</v>
      </c>
      <c r="G13">
        <f t="shared" si="20"/>
        <v>0</v>
      </c>
      <c r="H13" t="str">
        <f t="shared" si="20"/>
        <v>True</v>
      </c>
      <c r="I13" t="str">
        <f t="shared" si="20"/>
        <v>True</v>
      </c>
      <c r="J13">
        <f t="shared" si="20"/>
        <v>2.894E-2</v>
      </c>
      <c r="K13">
        <f t="shared" si="20"/>
        <v>2.8930000000000001E-2</v>
      </c>
      <c r="L13">
        <f t="shared" si="20"/>
        <v>2.5999999999999999E-2</v>
      </c>
      <c r="M13">
        <f t="shared" si="20"/>
        <v>1.0000000000000001E-5</v>
      </c>
      <c r="N13">
        <f t="shared" si="20"/>
        <v>3600</v>
      </c>
      <c r="O13">
        <f t="shared" si="20"/>
        <v>0</v>
      </c>
      <c r="P13">
        <f t="shared" si="20"/>
        <v>0</v>
      </c>
      <c r="Q13">
        <f t="shared" si="20"/>
        <v>0</v>
      </c>
      <c r="R13">
        <f t="shared" si="20"/>
        <v>0</v>
      </c>
      <c r="S13">
        <f t="shared" si="20"/>
        <v>0</v>
      </c>
      <c r="T13">
        <f t="shared" si="20"/>
        <v>0.1331</v>
      </c>
      <c r="U13">
        <f t="shared" si="20"/>
        <v>9.9106478034251738E-2</v>
      </c>
      <c r="V13">
        <f t="shared" si="20"/>
        <v>3.3993521965748258E-2</v>
      </c>
      <c r="W13">
        <f t="shared" si="20"/>
        <v>4.4000000000000003E-3</v>
      </c>
      <c r="X13">
        <f t="shared" si="20"/>
        <v>24</v>
      </c>
      <c r="Y13">
        <f t="shared" si="20"/>
        <v>0.14000000000000001</v>
      </c>
      <c r="Z13" t="str">
        <f t="shared" si="20"/>
        <v>False</v>
      </c>
      <c r="AA13" t="str">
        <f t="shared" si="20"/>
        <v>NA</v>
      </c>
      <c r="AB13" t="str">
        <f t="shared" si="20"/>
        <v>NA</v>
      </c>
      <c r="AC13" t="str">
        <f t="shared" si="20"/>
        <v>False</v>
      </c>
      <c r="AD13">
        <f t="shared" si="20"/>
        <v>3.5017162544188412</v>
      </c>
      <c r="AE13">
        <f t="shared" si="20"/>
        <v>0.40920508349031792</v>
      </c>
      <c r="AF13">
        <f t="shared" si="20"/>
        <v>3.5017162544188412</v>
      </c>
      <c r="AG13">
        <f t="shared" si="20"/>
        <v>5.8457869070045412</v>
      </c>
      <c r="AH13">
        <f t="shared" si="20"/>
        <v>7.9355355356128927E-4</v>
      </c>
      <c r="AI13">
        <f t="shared" si="20"/>
        <v>1.6879744031468265E-7</v>
      </c>
      <c r="AJ13">
        <f t="shared" si="20"/>
        <v>7.9372235100160394E-4</v>
      </c>
      <c r="AK13">
        <f t="shared" si="20"/>
        <v>3.9677677678064465E-6</v>
      </c>
      <c r="AL13">
        <f t="shared" si="20"/>
        <v>8.4398720157341326E-10</v>
      </c>
      <c r="AM13">
        <f t="shared" si="20"/>
        <v>3.9686117550080197E-6</v>
      </c>
      <c r="AN13" s="70">
        <f t="shared" ref="AN13:AN34" si="21">AJ13+AD13*$E$53+AE13*$F$53+AG13*$J$53</f>
        <v>1.4782009576411177E-3</v>
      </c>
      <c r="AO13" s="70">
        <f t="shared" si="15"/>
        <v>46.304841239704672</v>
      </c>
      <c r="AP13" s="70">
        <f t="shared" ref="AP13:AR13" si="22">AP6</f>
        <v>5.8</v>
      </c>
      <c r="AQ13" s="70">
        <f t="shared" si="22"/>
        <v>515.55192187033549</v>
      </c>
      <c r="AR13" s="70">
        <f t="shared" si="22"/>
        <v>7365.0274552905066</v>
      </c>
      <c r="AS13" s="9"/>
      <c r="AT13" s="10"/>
      <c r="AU13" s="9"/>
      <c r="AV13" s="10"/>
      <c r="AW13" s="10"/>
      <c r="AX13" s="9"/>
      <c r="AY13" s="9"/>
    </row>
    <row r="14" spans="1:51" x14ac:dyDescent="0.25">
      <c r="A14" s="94"/>
      <c r="B14">
        <f t="shared" ref="B14:B19" si="23">B7</f>
        <v>1</v>
      </c>
      <c r="C14" t="s">
        <v>126</v>
      </c>
      <c r="D14">
        <f t="shared" ref="D14:D19" si="24">D7-3</f>
        <v>2</v>
      </c>
      <c r="E14">
        <f t="shared" ref="E14:T18" si="25">E7</f>
        <v>2739600</v>
      </c>
      <c r="F14">
        <f t="shared" si="25"/>
        <v>0</v>
      </c>
      <c r="G14">
        <f t="shared" si="25"/>
        <v>0</v>
      </c>
      <c r="H14" t="str">
        <f t="shared" si="25"/>
        <v>True</v>
      </c>
      <c r="I14" t="str">
        <f t="shared" si="25"/>
        <v>False</v>
      </c>
      <c r="J14">
        <f t="shared" si="25"/>
        <v>2.894E-2</v>
      </c>
      <c r="K14">
        <f t="shared" si="25"/>
        <v>2.894E-2</v>
      </c>
      <c r="L14">
        <f t="shared" si="25"/>
        <v>2E-3</v>
      </c>
      <c r="M14">
        <f t="shared" si="25"/>
        <v>0</v>
      </c>
      <c r="N14">
        <f t="shared" si="25"/>
        <v>0</v>
      </c>
      <c r="O14">
        <f t="shared" si="25"/>
        <v>0</v>
      </c>
      <c r="P14">
        <f t="shared" si="25"/>
        <v>0</v>
      </c>
      <c r="Q14">
        <f t="shared" si="25"/>
        <v>0</v>
      </c>
      <c r="R14">
        <f t="shared" si="25"/>
        <v>0</v>
      </c>
      <c r="S14">
        <f t="shared" si="25"/>
        <v>0</v>
      </c>
      <c r="T14" t="str">
        <f t="shared" si="25"/>
        <v>NA</v>
      </c>
      <c r="U14" t="str">
        <f t="shared" si="20"/>
        <v>NA</v>
      </c>
      <c r="V14" t="str">
        <f t="shared" si="20"/>
        <v>NA</v>
      </c>
      <c r="W14" t="str">
        <f t="shared" si="20"/>
        <v>NA</v>
      </c>
      <c r="X14" t="str">
        <f t="shared" si="20"/>
        <v>NA</v>
      </c>
      <c r="Y14" t="str">
        <f t="shared" si="20"/>
        <v>NA</v>
      </c>
      <c r="Z14" t="str">
        <f t="shared" si="20"/>
        <v>False</v>
      </c>
      <c r="AA14" t="str">
        <f t="shared" si="20"/>
        <v>NA</v>
      </c>
      <c r="AB14" t="str">
        <f t="shared" si="20"/>
        <v>NA</v>
      </c>
      <c r="AC14" t="str">
        <f t="shared" si="20"/>
        <v>False</v>
      </c>
      <c r="AD14">
        <f t="shared" si="20"/>
        <v>0.13143561599020981</v>
      </c>
      <c r="AE14">
        <f t="shared" si="20"/>
        <v>1.5359360469885189E-2</v>
      </c>
      <c r="AF14">
        <f t="shared" si="20"/>
        <v>0.13143561599020981</v>
      </c>
      <c r="AG14">
        <f t="shared" si="20"/>
        <v>0.21941943528407412</v>
      </c>
      <c r="AH14">
        <f t="shared" si="20"/>
        <v>2.9792072957780891E-5</v>
      </c>
      <c r="AI14">
        <f t="shared" si="20"/>
        <v>0</v>
      </c>
      <c r="AJ14">
        <f t="shared" si="20"/>
        <v>2.9792072957780891E-5</v>
      </c>
      <c r="AK14">
        <f t="shared" si="20"/>
        <v>1.4896036478890447E-7</v>
      </c>
      <c r="AL14">
        <f t="shared" si="20"/>
        <v>0</v>
      </c>
      <c r="AM14">
        <f t="shared" si="20"/>
        <v>1.4896036478890447E-7</v>
      </c>
      <c r="AN14" s="70">
        <f t="shared" si="21"/>
        <v>5.5483722640206677E-5</v>
      </c>
      <c r="AO14" s="70">
        <f t="shared" si="15"/>
        <v>46.304841239704686</v>
      </c>
      <c r="AP14" s="70">
        <f t="shared" ref="AP14:AR14" si="26">AP7</f>
        <v>5.8</v>
      </c>
      <c r="AQ14" s="70">
        <f t="shared" si="26"/>
        <v>515.55192187033549</v>
      </c>
      <c r="AR14" s="70">
        <f t="shared" si="26"/>
        <v>7365.0274552905066</v>
      </c>
      <c r="AS14" s="9"/>
      <c r="AT14" s="10"/>
      <c r="AU14" s="9"/>
      <c r="AV14" s="10"/>
      <c r="AW14" s="10"/>
      <c r="AX14" s="9"/>
      <c r="AY14" s="9"/>
    </row>
    <row r="15" spans="1:51" x14ac:dyDescent="0.25">
      <c r="A15" s="94"/>
      <c r="B15">
        <f t="shared" si="23"/>
        <v>1</v>
      </c>
      <c r="C15" t="s">
        <v>126</v>
      </c>
      <c r="D15">
        <f t="shared" si="24"/>
        <v>3</v>
      </c>
      <c r="E15">
        <f t="shared" si="25"/>
        <v>2191680</v>
      </c>
      <c r="F15">
        <f t="shared" si="20"/>
        <v>0</v>
      </c>
      <c r="G15">
        <f t="shared" si="20"/>
        <v>0</v>
      </c>
      <c r="H15" t="str">
        <f t="shared" si="20"/>
        <v>True</v>
      </c>
      <c r="I15" t="str">
        <f t="shared" si="20"/>
        <v>False</v>
      </c>
      <c r="J15">
        <f t="shared" si="20"/>
        <v>2.894E-2</v>
      </c>
      <c r="K15">
        <f t="shared" si="20"/>
        <v>2.894E-2</v>
      </c>
      <c r="L15">
        <f t="shared" si="20"/>
        <v>7.2000000000000005E-4</v>
      </c>
      <c r="M15">
        <f t="shared" si="20"/>
        <v>0</v>
      </c>
      <c r="N15">
        <f t="shared" si="20"/>
        <v>0</v>
      </c>
      <c r="O15">
        <f t="shared" si="20"/>
        <v>0</v>
      </c>
      <c r="P15">
        <f t="shared" si="20"/>
        <v>0</v>
      </c>
      <c r="Q15">
        <f t="shared" si="20"/>
        <v>0</v>
      </c>
      <c r="R15">
        <f t="shared" si="20"/>
        <v>0</v>
      </c>
      <c r="S15">
        <f t="shared" si="20"/>
        <v>0</v>
      </c>
      <c r="T15" t="str">
        <f t="shared" si="20"/>
        <v>NA</v>
      </c>
      <c r="U15" t="str">
        <f t="shared" si="20"/>
        <v>NA</v>
      </c>
      <c r="V15" t="str">
        <f t="shared" si="20"/>
        <v>NA</v>
      </c>
      <c r="W15" t="str">
        <f t="shared" si="20"/>
        <v>NA</v>
      </c>
      <c r="X15" t="str">
        <f t="shared" si="20"/>
        <v>NA</v>
      </c>
      <c r="Y15" t="str">
        <f t="shared" si="20"/>
        <v>NA</v>
      </c>
      <c r="Z15" t="str">
        <f t="shared" si="20"/>
        <v>False</v>
      </c>
      <c r="AA15" t="str">
        <f t="shared" si="20"/>
        <v>NA</v>
      </c>
      <c r="AB15" t="str">
        <f t="shared" si="20"/>
        <v>NA</v>
      </c>
      <c r="AC15" t="str">
        <f t="shared" si="20"/>
        <v>False</v>
      </c>
      <c r="AD15">
        <f t="shared" si="20"/>
        <v>3.5630437425207336E-2</v>
      </c>
      <c r="AE15">
        <f t="shared" si="20"/>
        <v>4.1637171781065104E-3</v>
      </c>
      <c r="AF15">
        <f t="shared" si="20"/>
        <v>3.5630437425207336E-2</v>
      </c>
      <c r="AG15">
        <f t="shared" si="20"/>
        <v>5.948167397295015E-2</v>
      </c>
      <c r="AH15">
        <f t="shared" si="20"/>
        <v>8.076232483046996E-6</v>
      </c>
      <c r="AI15">
        <f t="shared" si="20"/>
        <v>0</v>
      </c>
      <c r="AJ15">
        <f t="shared" si="20"/>
        <v>8.076232483046996E-6</v>
      </c>
      <c r="AK15">
        <f t="shared" si="20"/>
        <v>4.0381162415234981E-8</v>
      </c>
      <c r="AL15">
        <f t="shared" si="20"/>
        <v>0</v>
      </c>
      <c r="AM15">
        <f t="shared" si="20"/>
        <v>4.0381162415234981E-8</v>
      </c>
      <c r="AN15" s="70">
        <f t="shared" si="21"/>
        <v>1.5040895062999488E-5</v>
      </c>
      <c r="AO15" s="70">
        <f t="shared" si="15"/>
        <v>46.304841239704672</v>
      </c>
      <c r="AP15" s="70">
        <f t="shared" ref="AP15:AR15" si="27">AP8</f>
        <v>5.8</v>
      </c>
      <c r="AQ15" s="70">
        <f t="shared" si="27"/>
        <v>515.55192187033549</v>
      </c>
      <c r="AR15" s="70">
        <f t="shared" si="27"/>
        <v>7365.0274552905066</v>
      </c>
      <c r="AS15" s="9"/>
      <c r="AT15" s="10"/>
      <c r="AU15" s="9"/>
      <c r="AV15" s="10"/>
      <c r="AW15" s="10"/>
      <c r="AX15" s="9"/>
      <c r="AY15" s="9"/>
    </row>
    <row r="16" spans="1:51" x14ac:dyDescent="0.25">
      <c r="A16" s="94"/>
      <c r="B16">
        <f t="shared" si="23"/>
        <v>1</v>
      </c>
      <c r="C16" t="s">
        <v>126</v>
      </c>
      <c r="D16">
        <f t="shared" si="24"/>
        <v>4</v>
      </c>
      <c r="E16">
        <f t="shared" si="25"/>
        <v>1643760</v>
      </c>
      <c r="F16">
        <f t="shared" si="20"/>
        <v>0</v>
      </c>
      <c r="G16">
        <f t="shared" si="20"/>
        <v>0</v>
      </c>
      <c r="H16" t="str">
        <f t="shared" si="20"/>
        <v>True</v>
      </c>
      <c r="I16" t="str">
        <f t="shared" si="20"/>
        <v>False</v>
      </c>
      <c r="J16">
        <f t="shared" si="20"/>
        <v>2.894E-2</v>
      </c>
      <c r="K16">
        <f t="shared" si="20"/>
        <v>2.894E-2</v>
      </c>
      <c r="L16">
        <f t="shared" si="20"/>
        <v>3.1E-4</v>
      </c>
      <c r="M16">
        <f t="shared" si="20"/>
        <v>0</v>
      </c>
      <c r="N16">
        <f t="shared" si="20"/>
        <v>0</v>
      </c>
      <c r="O16">
        <f t="shared" si="20"/>
        <v>0</v>
      </c>
      <c r="P16">
        <f t="shared" si="20"/>
        <v>0</v>
      </c>
      <c r="Q16">
        <f t="shared" si="20"/>
        <v>0</v>
      </c>
      <c r="R16">
        <f t="shared" si="20"/>
        <v>0</v>
      </c>
      <c r="S16">
        <f t="shared" si="20"/>
        <v>0</v>
      </c>
      <c r="T16" t="str">
        <f t="shared" si="20"/>
        <v>NA</v>
      </c>
      <c r="U16" t="str">
        <f t="shared" si="20"/>
        <v>NA</v>
      </c>
      <c r="V16" t="str">
        <f t="shared" si="20"/>
        <v>NA</v>
      </c>
      <c r="W16" t="str">
        <f t="shared" si="20"/>
        <v>NA</v>
      </c>
      <c r="X16" t="str">
        <f t="shared" si="20"/>
        <v>NA</v>
      </c>
      <c r="Y16" t="str">
        <f t="shared" si="20"/>
        <v>NA</v>
      </c>
      <c r="Z16" t="str">
        <f t="shared" si="20"/>
        <v>False</v>
      </c>
      <c r="AA16" t="str">
        <f t="shared" si="20"/>
        <v>NA</v>
      </c>
      <c r="AB16" t="str">
        <f t="shared" si="20"/>
        <v>NA</v>
      </c>
      <c r="AC16" t="str">
        <f t="shared" si="20"/>
        <v>False</v>
      </c>
      <c r="AD16">
        <f t="shared" si="20"/>
        <v>1.2193691971899337E-2</v>
      </c>
      <c r="AE16">
        <f t="shared" si="20"/>
        <v>1.4249357683163858E-3</v>
      </c>
      <c r="AF16">
        <f t="shared" si="20"/>
        <v>1.2193691971899337E-2</v>
      </c>
      <c r="AG16">
        <f t="shared" si="20"/>
        <v>2.0356225261662652E-2</v>
      </c>
      <c r="AH16">
        <f t="shared" si="20"/>
        <v>2.7639035136305163E-6</v>
      </c>
      <c r="AI16">
        <f t="shared" si="20"/>
        <v>0</v>
      </c>
      <c r="AJ16">
        <f t="shared" si="20"/>
        <v>2.7639035136305163E-6</v>
      </c>
      <c r="AK16">
        <f t="shared" si="20"/>
        <v>1.3819517568152583E-8</v>
      </c>
      <c r="AL16">
        <f t="shared" si="20"/>
        <v>0</v>
      </c>
      <c r="AM16">
        <f t="shared" si="20"/>
        <v>1.3819517568152583E-8</v>
      </c>
      <c r="AN16" s="70">
        <f t="shared" si="21"/>
        <v>5.147397973007344E-6</v>
      </c>
      <c r="AO16" s="70">
        <f t="shared" si="15"/>
        <v>46.304841239704686</v>
      </c>
      <c r="AP16" s="70">
        <f t="shared" ref="AP16:AR16" si="28">AP9</f>
        <v>5.8</v>
      </c>
      <c r="AQ16" s="70">
        <f t="shared" si="28"/>
        <v>515.55192187033549</v>
      </c>
      <c r="AR16" s="70">
        <f t="shared" si="28"/>
        <v>7365.0274552905066</v>
      </c>
      <c r="AS16" s="9"/>
      <c r="AT16" s="10"/>
      <c r="AU16" s="9"/>
      <c r="AV16" s="10"/>
      <c r="AW16" s="10"/>
      <c r="AX16" s="9"/>
      <c r="AY16" s="9"/>
    </row>
    <row r="17" spans="1:51" x14ac:dyDescent="0.25">
      <c r="A17" s="94"/>
      <c r="B17">
        <f t="shared" si="23"/>
        <v>1</v>
      </c>
      <c r="C17" t="s">
        <v>126</v>
      </c>
      <c r="D17">
        <f t="shared" si="24"/>
        <v>5</v>
      </c>
      <c r="E17">
        <f t="shared" si="25"/>
        <v>1095840</v>
      </c>
      <c r="F17">
        <f t="shared" si="20"/>
        <v>0</v>
      </c>
      <c r="G17">
        <f t="shared" si="20"/>
        <v>0</v>
      </c>
      <c r="H17" t="str">
        <f t="shared" si="20"/>
        <v>True</v>
      </c>
      <c r="I17" t="str">
        <f t="shared" si="20"/>
        <v>False</v>
      </c>
      <c r="J17">
        <f t="shared" si="20"/>
        <v>2.894E-2</v>
      </c>
      <c r="K17">
        <f t="shared" si="20"/>
        <v>2.894E-2</v>
      </c>
      <c r="L17">
        <f t="shared" si="20"/>
        <v>1.6000000000000001E-4</v>
      </c>
      <c r="M17">
        <f t="shared" si="20"/>
        <v>0</v>
      </c>
      <c r="N17">
        <f t="shared" si="20"/>
        <v>0</v>
      </c>
      <c r="O17">
        <f t="shared" si="20"/>
        <v>0</v>
      </c>
      <c r="P17">
        <f t="shared" si="20"/>
        <v>0</v>
      </c>
      <c r="Q17">
        <f t="shared" si="20"/>
        <v>0</v>
      </c>
      <c r="R17">
        <f t="shared" si="20"/>
        <v>0</v>
      </c>
      <c r="S17">
        <f t="shared" si="20"/>
        <v>0</v>
      </c>
      <c r="T17" t="str">
        <f t="shared" si="20"/>
        <v>NA</v>
      </c>
      <c r="U17" t="str">
        <f t="shared" si="20"/>
        <v>NA</v>
      </c>
      <c r="V17" t="str">
        <f t="shared" si="20"/>
        <v>NA</v>
      </c>
      <c r="W17" t="str">
        <f t="shared" si="20"/>
        <v>NA</v>
      </c>
      <c r="X17" t="str">
        <f t="shared" si="20"/>
        <v>NA</v>
      </c>
      <c r="Y17" t="str">
        <f t="shared" si="20"/>
        <v>NA</v>
      </c>
      <c r="Z17" t="str">
        <f t="shared" si="20"/>
        <v>False</v>
      </c>
      <c r="AA17" t="str">
        <f t="shared" si="20"/>
        <v>NA</v>
      </c>
      <c r="AB17" t="str">
        <f t="shared" si="20"/>
        <v>NA</v>
      </c>
      <c r="AC17" t="str">
        <f t="shared" si="20"/>
        <v>False</v>
      </c>
      <c r="AD17">
        <f t="shared" si="20"/>
        <v>5.2963394285683064E-3</v>
      </c>
      <c r="AE17">
        <f t="shared" si="20"/>
        <v>6.1892194015589891E-4</v>
      </c>
      <c r="AF17">
        <f t="shared" si="20"/>
        <v>5.2963394285683064E-3</v>
      </c>
      <c r="AG17">
        <f t="shared" si="20"/>
        <v>8.8417420022271279E-3</v>
      </c>
      <c r="AH17">
        <f t="shared" si="20"/>
        <v>1.2005036038088161E-6</v>
      </c>
      <c r="AI17">
        <f t="shared" si="20"/>
        <v>0</v>
      </c>
      <c r="AJ17">
        <f t="shared" si="20"/>
        <v>1.2005036038088161E-6</v>
      </c>
      <c r="AK17">
        <f t="shared" si="20"/>
        <v>6.0025180190440811E-9</v>
      </c>
      <c r="AL17">
        <f t="shared" si="20"/>
        <v>0</v>
      </c>
      <c r="AM17">
        <f t="shared" si="20"/>
        <v>6.0025180190440811E-9</v>
      </c>
      <c r="AN17" s="70">
        <f t="shared" si="21"/>
        <v>2.235776244126731E-6</v>
      </c>
      <c r="AO17" s="70">
        <f t="shared" si="15"/>
        <v>46.304841239704672</v>
      </c>
      <c r="AP17" s="70">
        <f t="shared" ref="AP17:AR17" si="29">AP10</f>
        <v>5.8</v>
      </c>
      <c r="AQ17" s="70">
        <f t="shared" si="29"/>
        <v>515.55192187033549</v>
      </c>
      <c r="AR17" s="70">
        <f t="shared" si="29"/>
        <v>7365.0274552905066</v>
      </c>
      <c r="AS17" s="9"/>
      <c r="AT17" s="10"/>
      <c r="AU17" s="9"/>
      <c r="AV17" s="10"/>
      <c r="AW17" s="10"/>
      <c r="AX17" s="9"/>
      <c r="AY17" s="9"/>
    </row>
    <row r="18" spans="1:51" x14ac:dyDescent="0.25">
      <c r="A18" s="94"/>
      <c r="B18">
        <f t="shared" si="23"/>
        <v>1</v>
      </c>
      <c r="C18" t="s">
        <v>126</v>
      </c>
      <c r="D18">
        <f t="shared" si="24"/>
        <v>6</v>
      </c>
      <c r="E18">
        <f t="shared" si="25"/>
        <v>547920</v>
      </c>
      <c r="F18">
        <f t="shared" si="20"/>
        <v>0</v>
      </c>
      <c r="G18">
        <f t="shared" si="20"/>
        <v>0</v>
      </c>
      <c r="H18" t="str">
        <f t="shared" si="20"/>
        <v>True</v>
      </c>
      <c r="I18" t="str">
        <f t="shared" si="20"/>
        <v>False</v>
      </c>
      <c r="J18">
        <f t="shared" si="20"/>
        <v>2.894E-2</v>
      </c>
      <c r="K18">
        <f t="shared" si="20"/>
        <v>2.894E-2</v>
      </c>
      <c r="L18">
        <f t="shared" si="20"/>
        <v>6.9999999999999994E-5</v>
      </c>
      <c r="M18">
        <f t="shared" si="20"/>
        <v>0</v>
      </c>
      <c r="N18">
        <f t="shared" si="20"/>
        <v>0</v>
      </c>
      <c r="O18">
        <f t="shared" si="20"/>
        <v>0</v>
      </c>
      <c r="P18">
        <f t="shared" si="20"/>
        <v>0</v>
      </c>
      <c r="Q18">
        <f t="shared" si="20"/>
        <v>0</v>
      </c>
      <c r="R18">
        <f t="shared" si="20"/>
        <v>0</v>
      </c>
      <c r="S18">
        <f t="shared" si="20"/>
        <v>0</v>
      </c>
      <c r="T18" t="str">
        <f t="shared" si="20"/>
        <v>NA</v>
      </c>
      <c r="U18" t="str">
        <f t="shared" si="20"/>
        <v>NA</v>
      </c>
      <c r="V18" t="str">
        <f t="shared" si="20"/>
        <v>NA</v>
      </c>
      <c r="W18" t="str">
        <f t="shared" si="20"/>
        <v>NA</v>
      </c>
      <c r="X18" t="str">
        <f t="shared" si="20"/>
        <v>NA</v>
      </c>
      <c r="Y18" t="str">
        <f t="shared" si="20"/>
        <v>NA</v>
      </c>
      <c r="Z18" t="str">
        <f t="shared" si="20"/>
        <v>False</v>
      </c>
      <c r="AA18" t="str">
        <f t="shared" si="20"/>
        <v>NA</v>
      </c>
      <c r="AB18" t="str">
        <f t="shared" si="20"/>
        <v>NA</v>
      </c>
      <c r="AC18" t="str">
        <f t="shared" si="20"/>
        <v>False</v>
      </c>
      <c r="AD18">
        <f t="shared" si="20"/>
        <v>1.9146799290632522E-3</v>
      </c>
      <c r="AE18">
        <f t="shared" si="20"/>
        <v>2.2374650123089325E-4</v>
      </c>
      <c r="AF18">
        <f t="shared" si="20"/>
        <v>1.9146799290632522E-3</v>
      </c>
      <c r="AG18">
        <f t="shared" si="20"/>
        <v>3.1963785890127606E-3</v>
      </c>
      <c r="AH18">
        <f t="shared" si="20"/>
        <v>4.3399411725433714E-7</v>
      </c>
      <c r="AI18">
        <f t="shared" si="20"/>
        <v>0</v>
      </c>
      <c r="AJ18">
        <f t="shared" si="20"/>
        <v>4.3399411725433714E-7</v>
      </c>
      <c r="AK18">
        <f t="shared" si="20"/>
        <v>2.1699705862716857E-9</v>
      </c>
      <c r="AL18">
        <f t="shared" si="20"/>
        <v>0</v>
      </c>
      <c r="AM18">
        <f t="shared" si="20"/>
        <v>2.1699705862716857E-9</v>
      </c>
      <c r="AN18" s="70">
        <f t="shared" si="21"/>
        <v>8.0825558071587727E-7</v>
      </c>
      <c r="AO18" s="70">
        <f t="shared" si="15"/>
        <v>46.304841239704686</v>
      </c>
      <c r="AP18" s="70">
        <f t="shared" ref="AP18:AR18" si="30">AP11</f>
        <v>5.8</v>
      </c>
      <c r="AQ18" s="70">
        <f t="shared" si="30"/>
        <v>515.55192187033549</v>
      </c>
      <c r="AR18" s="70">
        <f t="shared" si="30"/>
        <v>7365.0274552905066</v>
      </c>
      <c r="AS18" s="9"/>
      <c r="AT18" s="10"/>
      <c r="AU18" s="9"/>
      <c r="AV18" s="10"/>
      <c r="AW18" s="10"/>
      <c r="AX18" s="9"/>
      <c r="AY18" s="9"/>
    </row>
    <row r="19" spans="1:51" x14ac:dyDescent="0.25">
      <c r="A19" s="94"/>
      <c r="B19">
        <f t="shared" si="23"/>
        <v>1</v>
      </c>
      <c r="C19" t="s">
        <v>126</v>
      </c>
      <c r="D19">
        <f t="shared" si="24"/>
        <v>7</v>
      </c>
      <c r="E19">
        <f>E12</f>
        <v>0</v>
      </c>
      <c r="F19">
        <f t="shared" si="20"/>
        <v>0</v>
      </c>
      <c r="G19">
        <f t="shared" si="20"/>
        <v>0</v>
      </c>
      <c r="H19" t="str">
        <f t="shared" si="20"/>
        <v>True</v>
      </c>
      <c r="I19" t="str">
        <f t="shared" si="20"/>
        <v>False</v>
      </c>
      <c r="J19">
        <f t="shared" si="20"/>
        <v>2.894E-2</v>
      </c>
      <c r="K19">
        <f t="shared" si="20"/>
        <v>2.894E-2</v>
      </c>
      <c r="L19">
        <f t="shared" si="20"/>
        <v>5.0000000000000002E-5</v>
      </c>
      <c r="M19">
        <f t="shared" si="20"/>
        <v>0</v>
      </c>
      <c r="N19">
        <f t="shared" si="20"/>
        <v>0</v>
      </c>
      <c r="O19">
        <f t="shared" si="20"/>
        <v>0</v>
      </c>
      <c r="P19">
        <f t="shared" si="20"/>
        <v>0</v>
      </c>
      <c r="Q19">
        <f t="shared" si="20"/>
        <v>0</v>
      </c>
      <c r="R19">
        <f t="shared" si="20"/>
        <v>0</v>
      </c>
      <c r="S19">
        <f t="shared" si="20"/>
        <v>0</v>
      </c>
      <c r="T19" t="str">
        <f t="shared" si="20"/>
        <v>NA</v>
      </c>
      <c r="U19" t="str">
        <f t="shared" si="20"/>
        <v>NA</v>
      </c>
      <c r="V19" t="str">
        <f t="shared" si="20"/>
        <v>NA</v>
      </c>
      <c r="W19" t="str">
        <f t="shared" si="20"/>
        <v>NA</v>
      </c>
      <c r="X19" t="str">
        <f t="shared" si="20"/>
        <v>NA</v>
      </c>
      <c r="Y19" t="str">
        <f t="shared" si="20"/>
        <v>NA</v>
      </c>
      <c r="Z19" t="str">
        <f t="shared" si="20"/>
        <v>False</v>
      </c>
      <c r="AA19" t="str">
        <f t="shared" si="20"/>
        <v>NA</v>
      </c>
      <c r="AB19" t="str">
        <f t="shared" si="20"/>
        <v>NA</v>
      </c>
      <c r="AC19" t="str">
        <f t="shared" si="20"/>
        <v>False</v>
      </c>
      <c r="AD19">
        <f t="shared" si="20"/>
        <v>1.2855761246405892E-3</v>
      </c>
      <c r="AE19">
        <f t="shared" si="20"/>
        <v>1.5023041480099003E-4</v>
      </c>
      <c r="AF19">
        <f t="shared" si="20"/>
        <v>1.2855761246405892E-3</v>
      </c>
      <c r="AG19">
        <f t="shared" si="20"/>
        <v>2.1461487828712861E-3</v>
      </c>
      <c r="AH19">
        <f t="shared" si="20"/>
        <v>2.9139725491853351E-7</v>
      </c>
      <c r="AI19">
        <f t="shared" si="20"/>
        <v>0</v>
      </c>
      <c r="AJ19">
        <f t="shared" si="20"/>
        <v>2.9139725491853351E-7</v>
      </c>
      <c r="AK19">
        <f t="shared" si="20"/>
        <v>1.4569862745926675E-9</v>
      </c>
      <c r="AL19">
        <f t="shared" si="20"/>
        <v>0</v>
      </c>
      <c r="AM19">
        <f t="shared" si="20"/>
        <v>1.4569862745926675E-9</v>
      </c>
      <c r="AN19" s="70">
        <f t="shared" si="21"/>
        <v>5.4268813361625835E-7</v>
      </c>
      <c r="AO19" s="70">
        <f t="shared" si="15"/>
        <v>46.304841239704686</v>
      </c>
      <c r="AP19" s="70">
        <f t="shared" ref="AP19:AR19" si="31">AP12</f>
        <v>5.8</v>
      </c>
      <c r="AQ19" s="70">
        <f t="shared" si="31"/>
        <v>515.55192187033549</v>
      </c>
      <c r="AR19" s="70">
        <f t="shared" si="31"/>
        <v>7365.0274552905066</v>
      </c>
      <c r="AS19" s="9"/>
      <c r="AT19" s="10"/>
      <c r="AU19" s="9"/>
      <c r="AV19" s="10"/>
      <c r="AW19" s="10"/>
      <c r="AX19" s="9"/>
      <c r="AY19" s="9"/>
    </row>
    <row r="20" spans="1:51" x14ac:dyDescent="0.25">
      <c r="A20" s="94"/>
      <c r="B20">
        <f>B7</f>
        <v>1</v>
      </c>
      <c r="C20" t="s">
        <v>127</v>
      </c>
      <c r="D20">
        <f>D7-4</f>
        <v>1</v>
      </c>
      <c r="E20">
        <f>E7</f>
        <v>2739600</v>
      </c>
      <c r="F20">
        <f t="shared" ref="F20:AM25" si="32">F7</f>
        <v>0</v>
      </c>
      <c r="G20">
        <f t="shared" si="32"/>
        <v>0</v>
      </c>
      <c r="H20" t="str">
        <f t="shared" si="32"/>
        <v>True</v>
      </c>
      <c r="I20" t="str">
        <f t="shared" si="32"/>
        <v>False</v>
      </c>
      <c r="J20">
        <f t="shared" si="32"/>
        <v>2.894E-2</v>
      </c>
      <c r="K20">
        <f t="shared" si="32"/>
        <v>2.894E-2</v>
      </c>
      <c r="L20">
        <f t="shared" si="32"/>
        <v>2E-3</v>
      </c>
      <c r="M20">
        <f t="shared" si="32"/>
        <v>0</v>
      </c>
      <c r="N20">
        <f t="shared" si="32"/>
        <v>0</v>
      </c>
      <c r="O20">
        <f t="shared" si="32"/>
        <v>0</v>
      </c>
      <c r="P20">
        <f t="shared" si="32"/>
        <v>0</v>
      </c>
      <c r="Q20">
        <f t="shared" si="32"/>
        <v>0</v>
      </c>
      <c r="R20">
        <f t="shared" si="32"/>
        <v>0</v>
      </c>
      <c r="S20">
        <f t="shared" si="32"/>
        <v>0</v>
      </c>
      <c r="T20" t="str">
        <f t="shared" si="32"/>
        <v>NA</v>
      </c>
      <c r="U20" t="str">
        <f t="shared" si="32"/>
        <v>NA</v>
      </c>
      <c r="V20" t="str">
        <f t="shared" si="32"/>
        <v>NA</v>
      </c>
      <c r="W20" t="str">
        <f t="shared" si="32"/>
        <v>NA</v>
      </c>
      <c r="X20" t="str">
        <f t="shared" si="32"/>
        <v>NA</v>
      </c>
      <c r="Y20" t="str">
        <f t="shared" si="32"/>
        <v>NA</v>
      </c>
      <c r="Z20" t="str">
        <f t="shared" si="32"/>
        <v>False</v>
      </c>
      <c r="AA20" t="str">
        <f t="shared" si="32"/>
        <v>NA</v>
      </c>
      <c r="AB20" t="str">
        <f t="shared" si="32"/>
        <v>NA</v>
      </c>
      <c r="AC20" t="str">
        <f t="shared" si="32"/>
        <v>False</v>
      </c>
      <c r="AD20">
        <f t="shared" si="32"/>
        <v>0.13143561599020981</v>
      </c>
      <c r="AE20">
        <f t="shared" si="32"/>
        <v>1.5359360469885189E-2</v>
      </c>
      <c r="AF20">
        <f t="shared" si="32"/>
        <v>0.13143561599020981</v>
      </c>
      <c r="AG20">
        <f t="shared" si="32"/>
        <v>0.21941943528407412</v>
      </c>
      <c r="AH20">
        <f t="shared" si="32"/>
        <v>2.9792072957780891E-5</v>
      </c>
      <c r="AI20">
        <f t="shared" si="32"/>
        <v>0</v>
      </c>
      <c r="AJ20">
        <f t="shared" si="32"/>
        <v>2.9792072957780891E-5</v>
      </c>
      <c r="AK20">
        <f t="shared" si="32"/>
        <v>1.4896036478890447E-7</v>
      </c>
      <c r="AL20">
        <f t="shared" si="32"/>
        <v>0</v>
      </c>
      <c r="AM20">
        <f t="shared" si="32"/>
        <v>1.4896036478890447E-7</v>
      </c>
      <c r="AN20" s="70">
        <f t="shared" si="21"/>
        <v>5.5483722640206677E-5</v>
      </c>
      <c r="AO20" s="70">
        <f t="shared" si="15"/>
        <v>46.304841239704686</v>
      </c>
      <c r="AP20" s="70">
        <f t="shared" ref="AP20:AR20" si="33">AP7</f>
        <v>5.8</v>
      </c>
      <c r="AQ20" s="70">
        <f t="shared" si="33"/>
        <v>515.55192187033549</v>
      </c>
      <c r="AR20" s="70">
        <f t="shared" si="33"/>
        <v>7365.0274552905066</v>
      </c>
      <c r="AS20" s="9"/>
      <c r="AT20" s="10"/>
      <c r="AU20" s="9"/>
      <c r="AV20" s="10"/>
      <c r="AW20" s="10"/>
      <c r="AX20" s="9"/>
      <c r="AY20" s="9"/>
    </row>
    <row r="21" spans="1:51" x14ac:dyDescent="0.25">
      <c r="A21" s="94"/>
      <c r="B21">
        <f t="shared" ref="B21:B34" si="34">B8</f>
        <v>1</v>
      </c>
      <c r="C21" t="s">
        <v>127</v>
      </c>
      <c r="D21">
        <f t="shared" ref="D21:D25" si="35">D8-4</f>
        <v>2</v>
      </c>
      <c r="E21">
        <f t="shared" ref="E21:T25" si="36">E8</f>
        <v>2191680</v>
      </c>
      <c r="F21">
        <f t="shared" si="36"/>
        <v>0</v>
      </c>
      <c r="G21">
        <f t="shared" si="36"/>
        <v>0</v>
      </c>
      <c r="H21" t="str">
        <f t="shared" si="36"/>
        <v>True</v>
      </c>
      <c r="I21" t="str">
        <f t="shared" si="36"/>
        <v>False</v>
      </c>
      <c r="J21">
        <f t="shared" si="36"/>
        <v>2.894E-2</v>
      </c>
      <c r="K21">
        <f t="shared" si="36"/>
        <v>2.894E-2</v>
      </c>
      <c r="L21">
        <f t="shared" si="36"/>
        <v>7.2000000000000005E-4</v>
      </c>
      <c r="M21">
        <f t="shared" si="36"/>
        <v>0</v>
      </c>
      <c r="N21">
        <f t="shared" si="36"/>
        <v>0</v>
      </c>
      <c r="O21">
        <f t="shared" si="36"/>
        <v>0</v>
      </c>
      <c r="P21">
        <f t="shared" si="36"/>
        <v>0</v>
      </c>
      <c r="Q21">
        <f t="shared" si="36"/>
        <v>0</v>
      </c>
      <c r="R21">
        <f t="shared" si="36"/>
        <v>0</v>
      </c>
      <c r="S21">
        <f t="shared" si="36"/>
        <v>0</v>
      </c>
      <c r="T21" t="str">
        <f t="shared" si="36"/>
        <v>NA</v>
      </c>
      <c r="U21" t="str">
        <f t="shared" si="32"/>
        <v>NA</v>
      </c>
      <c r="V21" t="str">
        <f t="shared" si="32"/>
        <v>NA</v>
      </c>
      <c r="W21" t="str">
        <f t="shared" si="32"/>
        <v>NA</v>
      </c>
      <c r="X21" t="str">
        <f t="shared" si="32"/>
        <v>NA</v>
      </c>
      <c r="Y21" t="str">
        <f t="shared" si="32"/>
        <v>NA</v>
      </c>
      <c r="Z21" t="str">
        <f t="shared" si="32"/>
        <v>False</v>
      </c>
      <c r="AA21" t="str">
        <f t="shared" si="32"/>
        <v>NA</v>
      </c>
      <c r="AB21" t="str">
        <f t="shared" si="32"/>
        <v>NA</v>
      </c>
      <c r="AC21" t="str">
        <f t="shared" si="32"/>
        <v>False</v>
      </c>
      <c r="AD21">
        <f t="shared" si="32"/>
        <v>3.5630437425207336E-2</v>
      </c>
      <c r="AE21">
        <f t="shared" si="32"/>
        <v>4.1637171781065104E-3</v>
      </c>
      <c r="AF21">
        <f t="shared" si="32"/>
        <v>3.5630437425207336E-2</v>
      </c>
      <c r="AG21">
        <f t="shared" si="32"/>
        <v>5.948167397295015E-2</v>
      </c>
      <c r="AH21">
        <f t="shared" si="32"/>
        <v>8.076232483046996E-6</v>
      </c>
      <c r="AI21">
        <f t="shared" si="32"/>
        <v>0</v>
      </c>
      <c r="AJ21">
        <f t="shared" si="32"/>
        <v>8.076232483046996E-6</v>
      </c>
      <c r="AK21">
        <f t="shared" si="32"/>
        <v>4.0381162415234981E-8</v>
      </c>
      <c r="AL21">
        <f t="shared" si="32"/>
        <v>0</v>
      </c>
      <c r="AM21">
        <f t="shared" si="32"/>
        <v>4.0381162415234981E-8</v>
      </c>
      <c r="AN21" s="70">
        <f t="shared" si="21"/>
        <v>1.5040895062999488E-5</v>
      </c>
      <c r="AO21" s="70">
        <f t="shared" si="15"/>
        <v>46.304841239704672</v>
      </c>
      <c r="AP21" s="70">
        <f t="shared" ref="AP21:AR21" si="37">AP8</f>
        <v>5.8</v>
      </c>
      <c r="AQ21" s="70">
        <f t="shared" si="37"/>
        <v>515.55192187033549</v>
      </c>
      <c r="AR21" s="70">
        <f t="shared" si="37"/>
        <v>7365.0274552905066</v>
      </c>
      <c r="AS21" s="9"/>
      <c r="AT21" s="10"/>
      <c r="AU21" s="9"/>
      <c r="AV21" s="10"/>
      <c r="AW21" s="10"/>
      <c r="AX21" s="9"/>
      <c r="AY21" s="9"/>
    </row>
    <row r="22" spans="1:51" x14ac:dyDescent="0.25">
      <c r="A22" s="94"/>
      <c r="B22">
        <f t="shared" si="34"/>
        <v>1</v>
      </c>
      <c r="C22" t="s">
        <v>127</v>
      </c>
      <c r="D22">
        <f t="shared" si="35"/>
        <v>3</v>
      </c>
      <c r="E22">
        <f t="shared" si="36"/>
        <v>1643760</v>
      </c>
      <c r="F22">
        <f t="shared" si="32"/>
        <v>0</v>
      </c>
      <c r="G22">
        <f t="shared" si="32"/>
        <v>0</v>
      </c>
      <c r="H22" t="str">
        <f t="shared" si="32"/>
        <v>True</v>
      </c>
      <c r="I22" t="str">
        <f t="shared" si="32"/>
        <v>False</v>
      </c>
      <c r="J22">
        <f t="shared" si="32"/>
        <v>2.894E-2</v>
      </c>
      <c r="K22">
        <f t="shared" si="32"/>
        <v>2.894E-2</v>
      </c>
      <c r="L22">
        <f t="shared" si="32"/>
        <v>3.1E-4</v>
      </c>
      <c r="M22">
        <f t="shared" si="32"/>
        <v>0</v>
      </c>
      <c r="N22">
        <f t="shared" si="32"/>
        <v>0</v>
      </c>
      <c r="O22">
        <f t="shared" si="32"/>
        <v>0</v>
      </c>
      <c r="P22">
        <f t="shared" si="32"/>
        <v>0</v>
      </c>
      <c r="Q22">
        <f t="shared" si="32"/>
        <v>0</v>
      </c>
      <c r="R22">
        <f t="shared" si="32"/>
        <v>0</v>
      </c>
      <c r="S22">
        <f t="shared" si="32"/>
        <v>0</v>
      </c>
      <c r="T22" t="str">
        <f t="shared" si="32"/>
        <v>NA</v>
      </c>
      <c r="U22" t="str">
        <f t="shared" si="32"/>
        <v>NA</v>
      </c>
      <c r="V22" t="str">
        <f t="shared" si="32"/>
        <v>NA</v>
      </c>
      <c r="W22" t="str">
        <f t="shared" si="32"/>
        <v>NA</v>
      </c>
      <c r="X22" t="str">
        <f t="shared" si="32"/>
        <v>NA</v>
      </c>
      <c r="Y22" t="str">
        <f t="shared" si="32"/>
        <v>NA</v>
      </c>
      <c r="Z22" t="str">
        <f t="shared" si="32"/>
        <v>False</v>
      </c>
      <c r="AA22" t="str">
        <f t="shared" si="32"/>
        <v>NA</v>
      </c>
      <c r="AB22" t="str">
        <f t="shared" si="32"/>
        <v>NA</v>
      </c>
      <c r="AC22" t="str">
        <f t="shared" si="32"/>
        <v>False</v>
      </c>
      <c r="AD22">
        <f t="shared" si="32"/>
        <v>1.2193691971899337E-2</v>
      </c>
      <c r="AE22">
        <f t="shared" si="32"/>
        <v>1.4249357683163858E-3</v>
      </c>
      <c r="AF22">
        <f t="shared" si="32"/>
        <v>1.2193691971899337E-2</v>
      </c>
      <c r="AG22">
        <f t="shared" si="32"/>
        <v>2.0356225261662652E-2</v>
      </c>
      <c r="AH22">
        <f t="shared" si="32"/>
        <v>2.7639035136305163E-6</v>
      </c>
      <c r="AI22">
        <f t="shared" si="32"/>
        <v>0</v>
      </c>
      <c r="AJ22">
        <f t="shared" si="32"/>
        <v>2.7639035136305163E-6</v>
      </c>
      <c r="AK22">
        <f t="shared" si="32"/>
        <v>1.3819517568152583E-8</v>
      </c>
      <c r="AL22">
        <f t="shared" si="32"/>
        <v>0</v>
      </c>
      <c r="AM22">
        <f t="shared" si="32"/>
        <v>1.3819517568152583E-8</v>
      </c>
      <c r="AN22" s="70">
        <f t="shared" si="21"/>
        <v>5.147397973007344E-6</v>
      </c>
      <c r="AO22" s="70">
        <f t="shared" si="15"/>
        <v>46.304841239704686</v>
      </c>
      <c r="AP22" s="70">
        <f t="shared" ref="AP22:AR22" si="38">AP9</f>
        <v>5.8</v>
      </c>
      <c r="AQ22" s="70">
        <f t="shared" si="38"/>
        <v>515.55192187033549</v>
      </c>
      <c r="AR22" s="70">
        <f t="shared" si="38"/>
        <v>7365.0274552905066</v>
      </c>
      <c r="AS22" s="9"/>
      <c r="AT22" s="10"/>
      <c r="AU22" s="9"/>
      <c r="AV22" s="10"/>
      <c r="AW22" s="10"/>
      <c r="AX22" s="9"/>
      <c r="AY22" s="9"/>
    </row>
    <row r="23" spans="1:51" x14ac:dyDescent="0.25">
      <c r="A23" s="94"/>
      <c r="B23">
        <f t="shared" si="34"/>
        <v>1</v>
      </c>
      <c r="C23" t="s">
        <v>127</v>
      </c>
      <c r="D23">
        <f t="shared" si="35"/>
        <v>4</v>
      </c>
      <c r="E23">
        <f t="shared" si="36"/>
        <v>1095840</v>
      </c>
      <c r="F23">
        <f t="shared" si="32"/>
        <v>0</v>
      </c>
      <c r="G23">
        <f t="shared" si="32"/>
        <v>0</v>
      </c>
      <c r="H23" t="str">
        <f t="shared" si="32"/>
        <v>True</v>
      </c>
      <c r="I23" t="str">
        <f t="shared" si="32"/>
        <v>False</v>
      </c>
      <c r="J23">
        <f t="shared" si="32"/>
        <v>2.894E-2</v>
      </c>
      <c r="K23">
        <f t="shared" si="32"/>
        <v>2.894E-2</v>
      </c>
      <c r="L23">
        <f t="shared" si="32"/>
        <v>1.6000000000000001E-4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 t="str">
        <f t="shared" si="32"/>
        <v>NA</v>
      </c>
      <c r="U23" t="str">
        <f t="shared" si="32"/>
        <v>NA</v>
      </c>
      <c r="V23" t="str">
        <f t="shared" si="32"/>
        <v>NA</v>
      </c>
      <c r="W23" t="str">
        <f t="shared" si="32"/>
        <v>NA</v>
      </c>
      <c r="X23" t="str">
        <f t="shared" si="32"/>
        <v>NA</v>
      </c>
      <c r="Y23" t="str">
        <f t="shared" si="32"/>
        <v>NA</v>
      </c>
      <c r="Z23" t="str">
        <f t="shared" si="32"/>
        <v>False</v>
      </c>
      <c r="AA23" t="str">
        <f t="shared" si="32"/>
        <v>NA</v>
      </c>
      <c r="AB23" t="str">
        <f t="shared" si="32"/>
        <v>NA</v>
      </c>
      <c r="AC23" t="str">
        <f t="shared" si="32"/>
        <v>False</v>
      </c>
      <c r="AD23">
        <f t="shared" si="32"/>
        <v>5.2963394285683064E-3</v>
      </c>
      <c r="AE23">
        <f t="shared" si="32"/>
        <v>6.1892194015589891E-4</v>
      </c>
      <c r="AF23">
        <f t="shared" si="32"/>
        <v>5.2963394285683064E-3</v>
      </c>
      <c r="AG23">
        <f t="shared" si="32"/>
        <v>8.8417420022271279E-3</v>
      </c>
      <c r="AH23">
        <f t="shared" si="32"/>
        <v>1.2005036038088161E-6</v>
      </c>
      <c r="AI23">
        <f t="shared" si="32"/>
        <v>0</v>
      </c>
      <c r="AJ23">
        <f t="shared" si="32"/>
        <v>1.2005036038088161E-6</v>
      </c>
      <c r="AK23">
        <f t="shared" si="32"/>
        <v>6.0025180190440811E-9</v>
      </c>
      <c r="AL23">
        <f t="shared" si="32"/>
        <v>0</v>
      </c>
      <c r="AM23">
        <f t="shared" si="32"/>
        <v>6.0025180190440811E-9</v>
      </c>
      <c r="AN23" s="70">
        <f t="shared" si="21"/>
        <v>2.235776244126731E-6</v>
      </c>
      <c r="AO23" s="70">
        <f t="shared" si="15"/>
        <v>46.304841239704672</v>
      </c>
      <c r="AP23" s="70">
        <f t="shared" ref="AP23:AR23" si="39">AP10</f>
        <v>5.8</v>
      </c>
      <c r="AQ23" s="70">
        <f t="shared" si="39"/>
        <v>515.55192187033549</v>
      </c>
      <c r="AR23" s="70">
        <f t="shared" si="39"/>
        <v>7365.0274552905066</v>
      </c>
      <c r="AS23" s="9"/>
      <c r="AT23" s="10"/>
      <c r="AU23" s="9"/>
      <c r="AV23" s="10"/>
      <c r="AW23" s="10"/>
      <c r="AX23" s="9"/>
      <c r="AY23" s="9"/>
    </row>
    <row r="24" spans="1:51" x14ac:dyDescent="0.25">
      <c r="A24" s="94"/>
      <c r="B24">
        <f t="shared" si="34"/>
        <v>1</v>
      </c>
      <c r="C24" t="s">
        <v>127</v>
      </c>
      <c r="D24">
        <f t="shared" si="35"/>
        <v>5</v>
      </c>
      <c r="E24">
        <f t="shared" si="36"/>
        <v>547920</v>
      </c>
      <c r="F24">
        <f t="shared" si="32"/>
        <v>0</v>
      </c>
      <c r="G24">
        <f t="shared" si="32"/>
        <v>0</v>
      </c>
      <c r="H24" t="str">
        <f t="shared" si="32"/>
        <v>True</v>
      </c>
      <c r="I24" t="str">
        <f t="shared" si="32"/>
        <v>False</v>
      </c>
      <c r="J24">
        <f t="shared" si="32"/>
        <v>2.894E-2</v>
      </c>
      <c r="K24">
        <f t="shared" si="32"/>
        <v>2.894E-2</v>
      </c>
      <c r="L24">
        <f t="shared" si="32"/>
        <v>6.9999999999999994E-5</v>
      </c>
      <c r="M24">
        <f t="shared" si="32"/>
        <v>0</v>
      </c>
      <c r="N24">
        <f t="shared" si="32"/>
        <v>0</v>
      </c>
      <c r="O24">
        <f t="shared" si="32"/>
        <v>0</v>
      </c>
      <c r="P24">
        <f t="shared" si="32"/>
        <v>0</v>
      </c>
      <c r="Q24">
        <f t="shared" si="32"/>
        <v>0</v>
      </c>
      <c r="R24">
        <f t="shared" si="32"/>
        <v>0</v>
      </c>
      <c r="S24">
        <f t="shared" si="32"/>
        <v>0</v>
      </c>
      <c r="T24" t="str">
        <f t="shared" si="32"/>
        <v>NA</v>
      </c>
      <c r="U24" t="str">
        <f t="shared" si="32"/>
        <v>NA</v>
      </c>
      <c r="V24" t="str">
        <f t="shared" si="32"/>
        <v>NA</v>
      </c>
      <c r="W24" t="str">
        <f t="shared" si="32"/>
        <v>NA</v>
      </c>
      <c r="X24" t="str">
        <f t="shared" si="32"/>
        <v>NA</v>
      </c>
      <c r="Y24" t="str">
        <f t="shared" si="32"/>
        <v>NA</v>
      </c>
      <c r="Z24" t="str">
        <f t="shared" si="32"/>
        <v>False</v>
      </c>
      <c r="AA24" t="str">
        <f t="shared" si="32"/>
        <v>NA</v>
      </c>
      <c r="AB24" t="str">
        <f t="shared" si="32"/>
        <v>NA</v>
      </c>
      <c r="AC24" t="str">
        <f t="shared" si="32"/>
        <v>False</v>
      </c>
      <c r="AD24">
        <f t="shared" si="32"/>
        <v>1.9146799290632522E-3</v>
      </c>
      <c r="AE24">
        <f t="shared" si="32"/>
        <v>2.2374650123089325E-4</v>
      </c>
      <c r="AF24">
        <f t="shared" si="32"/>
        <v>1.9146799290632522E-3</v>
      </c>
      <c r="AG24">
        <f t="shared" si="32"/>
        <v>3.1963785890127606E-3</v>
      </c>
      <c r="AH24">
        <f t="shared" si="32"/>
        <v>4.3399411725433714E-7</v>
      </c>
      <c r="AI24">
        <f t="shared" si="32"/>
        <v>0</v>
      </c>
      <c r="AJ24">
        <f t="shared" si="32"/>
        <v>4.3399411725433714E-7</v>
      </c>
      <c r="AK24">
        <f t="shared" si="32"/>
        <v>2.1699705862716857E-9</v>
      </c>
      <c r="AL24">
        <f t="shared" si="32"/>
        <v>0</v>
      </c>
      <c r="AM24">
        <f t="shared" si="32"/>
        <v>2.1699705862716857E-9</v>
      </c>
      <c r="AN24" s="70">
        <f t="shared" si="21"/>
        <v>8.0825558071587727E-7</v>
      </c>
      <c r="AO24" s="70">
        <f t="shared" si="15"/>
        <v>46.304841239704686</v>
      </c>
      <c r="AP24" s="70">
        <f t="shared" ref="AP24:AR24" si="40">AP11</f>
        <v>5.8</v>
      </c>
      <c r="AQ24" s="70">
        <f t="shared" si="40"/>
        <v>515.55192187033549</v>
      </c>
      <c r="AR24" s="70">
        <f t="shared" si="40"/>
        <v>7365.0274552905066</v>
      </c>
      <c r="AS24" s="9"/>
      <c r="AT24" s="10"/>
      <c r="AU24" s="9"/>
      <c r="AV24" s="10"/>
      <c r="AW24" s="10"/>
      <c r="AX24" s="9"/>
      <c r="AY24" s="9"/>
    </row>
    <row r="25" spans="1:51" x14ac:dyDescent="0.25">
      <c r="A25" s="94"/>
      <c r="B25">
        <f t="shared" si="34"/>
        <v>1</v>
      </c>
      <c r="C25" t="s">
        <v>127</v>
      </c>
      <c r="D25">
        <f t="shared" si="35"/>
        <v>6</v>
      </c>
      <c r="E25">
        <f t="shared" si="36"/>
        <v>0</v>
      </c>
      <c r="F25">
        <f t="shared" si="32"/>
        <v>0</v>
      </c>
      <c r="G25">
        <f t="shared" si="32"/>
        <v>0</v>
      </c>
      <c r="H25" t="str">
        <f t="shared" si="32"/>
        <v>True</v>
      </c>
      <c r="I25" t="str">
        <f t="shared" si="32"/>
        <v>False</v>
      </c>
      <c r="J25">
        <f t="shared" si="32"/>
        <v>2.894E-2</v>
      </c>
      <c r="K25">
        <f t="shared" si="32"/>
        <v>2.894E-2</v>
      </c>
      <c r="L25">
        <f t="shared" si="32"/>
        <v>5.0000000000000002E-5</v>
      </c>
      <c r="M25">
        <f t="shared" si="32"/>
        <v>0</v>
      </c>
      <c r="N25">
        <f t="shared" si="32"/>
        <v>0</v>
      </c>
      <c r="O25">
        <f t="shared" si="32"/>
        <v>0</v>
      </c>
      <c r="P25">
        <f t="shared" si="32"/>
        <v>0</v>
      </c>
      <c r="Q25">
        <f t="shared" si="32"/>
        <v>0</v>
      </c>
      <c r="R25">
        <f t="shared" si="32"/>
        <v>0</v>
      </c>
      <c r="S25">
        <f t="shared" si="32"/>
        <v>0</v>
      </c>
      <c r="T25" t="str">
        <f t="shared" si="32"/>
        <v>NA</v>
      </c>
      <c r="U25" t="str">
        <f t="shared" si="32"/>
        <v>NA</v>
      </c>
      <c r="V25" t="str">
        <f t="shared" si="32"/>
        <v>NA</v>
      </c>
      <c r="W25" t="str">
        <f t="shared" si="32"/>
        <v>NA</v>
      </c>
      <c r="X25" t="str">
        <f t="shared" si="32"/>
        <v>NA</v>
      </c>
      <c r="Y25" t="str">
        <f t="shared" si="32"/>
        <v>NA</v>
      </c>
      <c r="Z25" t="str">
        <f t="shared" si="32"/>
        <v>False</v>
      </c>
      <c r="AA25" t="str">
        <f t="shared" si="32"/>
        <v>NA</v>
      </c>
      <c r="AB25" t="str">
        <f t="shared" si="32"/>
        <v>NA</v>
      </c>
      <c r="AC25" t="str">
        <f t="shared" si="32"/>
        <v>False</v>
      </c>
      <c r="AD25">
        <f t="shared" si="32"/>
        <v>1.2855761246405892E-3</v>
      </c>
      <c r="AE25">
        <f t="shared" si="32"/>
        <v>1.5023041480099003E-4</v>
      </c>
      <c r="AF25">
        <f t="shared" si="32"/>
        <v>1.2855761246405892E-3</v>
      </c>
      <c r="AG25">
        <f t="shared" si="32"/>
        <v>2.1461487828712861E-3</v>
      </c>
      <c r="AH25">
        <f t="shared" si="32"/>
        <v>2.9139725491853351E-7</v>
      </c>
      <c r="AI25">
        <f t="shared" si="32"/>
        <v>0</v>
      </c>
      <c r="AJ25">
        <f t="shared" si="32"/>
        <v>2.9139725491853351E-7</v>
      </c>
      <c r="AK25">
        <f t="shared" si="32"/>
        <v>1.4569862745926675E-9</v>
      </c>
      <c r="AL25">
        <f t="shared" si="32"/>
        <v>0</v>
      </c>
      <c r="AM25">
        <f t="shared" si="32"/>
        <v>1.4569862745926675E-9</v>
      </c>
      <c r="AN25" s="70">
        <f t="shared" si="21"/>
        <v>5.4268813361625835E-7</v>
      </c>
      <c r="AO25" s="70">
        <f t="shared" si="15"/>
        <v>46.304841239704686</v>
      </c>
      <c r="AP25" s="70">
        <f t="shared" ref="AP25:AR25" si="41">AP12</f>
        <v>5.8</v>
      </c>
      <c r="AQ25" s="70">
        <f t="shared" si="41"/>
        <v>515.55192187033549</v>
      </c>
      <c r="AR25" s="70">
        <f t="shared" si="41"/>
        <v>7365.0274552905066</v>
      </c>
      <c r="AS25" s="9"/>
      <c r="AT25" s="10"/>
      <c r="AU25" s="9"/>
      <c r="AV25" s="10"/>
      <c r="AW25" s="10"/>
      <c r="AX25" s="9"/>
      <c r="AY25" s="9"/>
    </row>
    <row r="26" spans="1:51" x14ac:dyDescent="0.25">
      <c r="A26" s="94"/>
      <c r="B26">
        <f t="shared" si="34"/>
        <v>1</v>
      </c>
      <c r="C26" t="s">
        <v>143</v>
      </c>
      <c r="D26">
        <f>D8-5</f>
        <v>1</v>
      </c>
      <c r="E26">
        <f>E8</f>
        <v>2191680</v>
      </c>
      <c r="F26">
        <f t="shared" ref="F26:AM30" si="42">F8</f>
        <v>0</v>
      </c>
      <c r="G26">
        <f t="shared" si="42"/>
        <v>0</v>
      </c>
      <c r="H26" t="str">
        <f t="shared" si="42"/>
        <v>True</v>
      </c>
      <c r="I26" t="str">
        <f t="shared" si="42"/>
        <v>False</v>
      </c>
      <c r="J26">
        <f t="shared" si="42"/>
        <v>2.894E-2</v>
      </c>
      <c r="K26">
        <f t="shared" si="42"/>
        <v>2.894E-2</v>
      </c>
      <c r="L26">
        <f t="shared" si="42"/>
        <v>7.2000000000000005E-4</v>
      </c>
      <c r="M26">
        <f t="shared" si="42"/>
        <v>0</v>
      </c>
      <c r="N26">
        <f t="shared" si="42"/>
        <v>0</v>
      </c>
      <c r="O26">
        <f t="shared" si="42"/>
        <v>0</v>
      </c>
      <c r="P26">
        <f t="shared" si="42"/>
        <v>0</v>
      </c>
      <c r="Q26">
        <f t="shared" si="42"/>
        <v>0</v>
      </c>
      <c r="R26">
        <f t="shared" si="42"/>
        <v>0</v>
      </c>
      <c r="S26">
        <f t="shared" si="42"/>
        <v>0</v>
      </c>
      <c r="T26" t="str">
        <f t="shared" si="42"/>
        <v>NA</v>
      </c>
      <c r="U26" t="str">
        <f t="shared" si="42"/>
        <v>NA</v>
      </c>
      <c r="V26" t="str">
        <f t="shared" si="42"/>
        <v>NA</v>
      </c>
      <c r="W26" t="str">
        <f t="shared" si="42"/>
        <v>NA</v>
      </c>
      <c r="X26" t="str">
        <f t="shared" si="42"/>
        <v>NA</v>
      </c>
      <c r="Y26" t="str">
        <f t="shared" si="42"/>
        <v>NA</v>
      </c>
      <c r="Z26" t="str">
        <f t="shared" si="42"/>
        <v>False</v>
      </c>
      <c r="AA26" t="str">
        <f t="shared" si="42"/>
        <v>NA</v>
      </c>
      <c r="AB26" t="str">
        <f t="shared" si="42"/>
        <v>NA</v>
      </c>
      <c r="AC26" t="str">
        <f t="shared" si="42"/>
        <v>False</v>
      </c>
      <c r="AD26">
        <f t="shared" si="42"/>
        <v>3.5630437425207336E-2</v>
      </c>
      <c r="AE26">
        <f t="shared" si="42"/>
        <v>4.1637171781065104E-3</v>
      </c>
      <c r="AF26">
        <f t="shared" si="42"/>
        <v>3.5630437425207336E-2</v>
      </c>
      <c r="AG26">
        <f t="shared" si="42"/>
        <v>5.948167397295015E-2</v>
      </c>
      <c r="AH26">
        <f t="shared" si="42"/>
        <v>8.076232483046996E-6</v>
      </c>
      <c r="AI26">
        <f t="shared" si="42"/>
        <v>0</v>
      </c>
      <c r="AJ26">
        <f t="shared" si="42"/>
        <v>8.076232483046996E-6</v>
      </c>
      <c r="AK26">
        <f t="shared" si="42"/>
        <v>4.0381162415234981E-8</v>
      </c>
      <c r="AL26">
        <f t="shared" si="42"/>
        <v>0</v>
      </c>
      <c r="AM26">
        <f t="shared" si="42"/>
        <v>4.0381162415234981E-8</v>
      </c>
      <c r="AN26" s="70">
        <f t="shared" si="21"/>
        <v>1.5040895062999488E-5</v>
      </c>
      <c r="AO26" s="70">
        <f t="shared" si="15"/>
        <v>46.304841239704672</v>
      </c>
      <c r="AP26" s="70">
        <f t="shared" ref="AP26:AR26" si="43">AP8</f>
        <v>5.8</v>
      </c>
      <c r="AQ26" s="70">
        <f t="shared" si="43"/>
        <v>515.55192187033549</v>
      </c>
      <c r="AR26" s="70">
        <f t="shared" si="43"/>
        <v>7365.0274552905066</v>
      </c>
      <c r="AS26" s="9"/>
      <c r="AT26" s="10"/>
      <c r="AU26" s="9"/>
      <c r="AV26" s="10"/>
      <c r="AW26" s="10"/>
      <c r="AX26" s="9"/>
      <c r="AY26" s="9"/>
    </row>
    <row r="27" spans="1:51" x14ac:dyDescent="0.25">
      <c r="A27" s="94"/>
      <c r="B27">
        <f t="shared" si="34"/>
        <v>1</v>
      </c>
      <c r="C27" t="s">
        <v>143</v>
      </c>
      <c r="D27">
        <f t="shared" ref="D27:D30" si="44">D9-5</f>
        <v>2</v>
      </c>
      <c r="E27">
        <f t="shared" ref="E27:T30" si="45">E9</f>
        <v>1643760</v>
      </c>
      <c r="F27">
        <f t="shared" si="45"/>
        <v>0</v>
      </c>
      <c r="G27">
        <f t="shared" si="45"/>
        <v>0</v>
      </c>
      <c r="H27" t="str">
        <f t="shared" si="45"/>
        <v>True</v>
      </c>
      <c r="I27" t="str">
        <f t="shared" si="45"/>
        <v>False</v>
      </c>
      <c r="J27">
        <f t="shared" si="45"/>
        <v>2.894E-2</v>
      </c>
      <c r="K27">
        <f t="shared" si="45"/>
        <v>2.894E-2</v>
      </c>
      <c r="L27">
        <f t="shared" si="45"/>
        <v>3.1E-4</v>
      </c>
      <c r="M27">
        <f t="shared" si="45"/>
        <v>0</v>
      </c>
      <c r="N27">
        <f t="shared" si="45"/>
        <v>0</v>
      </c>
      <c r="O27">
        <f t="shared" si="45"/>
        <v>0</v>
      </c>
      <c r="P27">
        <f t="shared" si="45"/>
        <v>0</v>
      </c>
      <c r="Q27">
        <f t="shared" si="45"/>
        <v>0</v>
      </c>
      <c r="R27">
        <f t="shared" si="45"/>
        <v>0</v>
      </c>
      <c r="S27">
        <f t="shared" si="45"/>
        <v>0</v>
      </c>
      <c r="T27" t="str">
        <f t="shared" si="45"/>
        <v>NA</v>
      </c>
      <c r="U27" t="str">
        <f t="shared" si="42"/>
        <v>NA</v>
      </c>
      <c r="V27" t="str">
        <f t="shared" si="42"/>
        <v>NA</v>
      </c>
      <c r="W27" t="str">
        <f t="shared" si="42"/>
        <v>NA</v>
      </c>
      <c r="X27" t="str">
        <f t="shared" si="42"/>
        <v>NA</v>
      </c>
      <c r="Y27" t="str">
        <f t="shared" si="42"/>
        <v>NA</v>
      </c>
      <c r="Z27" t="str">
        <f t="shared" si="42"/>
        <v>False</v>
      </c>
      <c r="AA27" t="str">
        <f t="shared" si="42"/>
        <v>NA</v>
      </c>
      <c r="AB27" t="str">
        <f t="shared" si="42"/>
        <v>NA</v>
      </c>
      <c r="AC27" t="str">
        <f t="shared" si="42"/>
        <v>False</v>
      </c>
      <c r="AD27">
        <f t="shared" si="42"/>
        <v>1.2193691971899337E-2</v>
      </c>
      <c r="AE27">
        <f t="shared" si="42"/>
        <v>1.4249357683163858E-3</v>
      </c>
      <c r="AF27">
        <f t="shared" si="42"/>
        <v>1.2193691971899337E-2</v>
      </c>
      <c r="AG27">
        <f t="shared" si="42"/>
        <v>2.0356225261662652E-2</v>
      </c>
      <c r="AH27">
        <f t="shared" si="42"/>
        <v>2.7639035136305163E-6</v>
      </c>
      <c r="AI27">
        <f t="shared" si="42"/>
        <v>0</v>
      </c>
      <c r="AJ27">
        <f t="shared" si="42"/>
        <v>2.7639035136305163E-6</v>
      </c>
      <c r="AK27">
        <f t="shared" si="42"/>
        <v>1.3819517568152583E-8</v>
      </c>
      <c r="AL27">
        <f t="shared" si="42"/>
        <v>0</v>
      </c>
      <c r="AM27">
        <f t="shared" si="42"/>
        <v>1.3819517568152583E-8</v>
      </c>
      <c r="AN27" s="70">
        <f t="shared" si="21"/>
        <v>5.147397973007344E-6</v>
      </c>
      <c r="AO27" s="70">
        <f t="shared" si="15"/>
        <v>46.304841239704686</v>
      </c>
      <c r="AP27" s="70">
        <f t="shared" ref="AP27:AR27" si="46">AP9</f>
        <v>5.8</v>
      </c>
      <c r="AQ27" s="70">
        <f t="shared" si="46"/>
        <v>515.55192187033549</v>
      </c>
      <c r="AR27" s="70">
        <f t="shared" si="46"/>
        <v>7365.0274552905066</v>
      </c>
      <c r="AS27" s="9"/>
      <c r="AT27" s="10"/>
      <c r="AU27" s="9"/>
      <c r="AV27" s="10"/>
      <c r="AW27" s="10"/>
      <c r="AX27" s="9"/>
      <c r="AY27" s="9"/>
    </row>
    <row r="28" spans="1:51" x14ac:dyDescent="0.25">
      <c r="A28" s="94"/>
      <c r="B28">
        <f t="shared" si="34"/>
        <v>1</v>
      </c>
      <c r="C28" t="s">
        <v>143</v>
      </c>
      <c r="D28">
        <f t="shared" si="44"/>
        <v>3</v>
      </c>
      <c r="E28">
        <f t="shared" si="45"/>
        <v>1095840</v>
      </c>
      <c r="F28">
        <f t="shared" si="42"/>
        <v>0</v>
      </c>
      <c r="G28">
        <f t="shared" si="42"/>
        <v>0</v>
      </c>
      <c r="H28" t="str">
        <f t="shared" si="42"/>
        <v>True</v>
      </c>
      <c r="I28" t="str">
        <f t="shared" si="42"/>
        <v>False</v>
      </c>
      <c r="J28">
        <f t="shared" si="42"/>
        <v>2.894E-2</v>
      </c>
      <c r="K28">
        <f t="shared" si="42"/>
        <v>2.894E-2</v>
      </c>
      <c r="L28">
        <f t="shared" si="42"/>
        <v>1.6000000000000001E-4</v>
      </c>
      <c r="M28">
        <f t="shared" si="42"/>
        <v>0</v>
      </c>
      <c r="N28">
        <f t="shared" si="42"/>
        <v>0</v>
      </c>
      <c r="O28">
        <f t="shared" si="42"/>
        <v>0</v>
      </c>
      <c r="P28">
        <f t="shared" si="42"/>
        <v>0</v>
      </c>
      <c r="Q28">
        <f t="shared" si="42"/>
        <v>0</v>
      </c>
      <c r="R28">
        <f t="shared" si="42"/>
        <v>0</v>
      </c>
      <c r="S28">
        <f t="shared" si="42"/>
        <v>0</v>
      </c>
      <c r="T28" t="str">
        <f t="shared" si="42"/>
        <v>NA</v>
      </c>
      <c r="U28" t="str">
        <f t="shared" si="42"/>
        <v>NA</v>
      </c>
      <c r="V28" t="str">
        <f t="shared" si="42"/>
        <v>NA</v>
      </c>
      <c r="W28" t="str">
        <f t="shared" si="42"/>
        <v>NA</v>
      </c>
      <c r="X28" t="str">
        <f t="shared" si="42"/>
        <v>NA</v>
      </c>
      <c r="Y28" t="str">
        <f t="shared" si="42"/>
        <v>NA</v>
      </c>
      <c r="Z28" t="str">
        <f t="shared" si="42"/>
        <v>False</v>
      </c>
      <c r="AA28" t="str">
        <f t="shared" si="42"/>
        <v>NA</v>
      </c>
      <c r="AB28" t="str">
        <f t="shared" si="42"/>
        <v>NA</v>
      </c>
      <c r="AC28" t="str">
        <f t="shared" si="42"/>
        <v>False</v>
      </c>
      <c r="AD28">
        <f t="shared" si="42"/>
        <v>5.2963394285683064E-3</v>
      </c>
      <c r="AE28">
        <f t="shared" si="42"/>
        <v>6.1892194015589891E-4</v>
      </c>
      <c r="AF28">
        <f t="shared" si="42"/>
        <v>5.2963394285683064E-3</v>
      </c>
      <c r="AG28">
        <f t="shared" si="42"/>
        <v>8.8417420022271279E-3</v>
      </c>
      <c r="AH28">
        <f t="shared" si="42"/>
        <v>1.2005036038088161E-6</v>
      </c>
      <c r="AI28">
        <f t="shared" si="42"/>
        <v>0</v>
      </c>
      <c r="AJ28">
        <f t="shared" si="42"/>
        <v>1.2005036038088161E-6</v>
      </c>
      <c r="AK28">
        <f t="shared" si="42"/>
        <v>6.0025180190440811E-9</v>
      </c>
      <c r="AL28">
        <f t="shared" si="42"/>
        <v>0</v>
      </c>
      <c r="AM28">
        <f t="shared" si="42"/>
        <v>6.0025180190440811E-9</v>
      </c>
      <c r="AN28" s="70">
        <f t="shared" si="21"/>
        <v>2.235776244126731E-6</v>
      </c>
      <c r="AO28" s="70">
        <f t="shared" si="15"/>
        <v>46.304841239704672</v>
      </c>
      <c r="AP28" s="70">
        <f t="shared" ref="AP28:AR28" si="47">AP10</f>
        <v>5.8</v>
      </c>
      <c r="AQ28" s="70">
        <f t="shared" si="47"/>
        <v>515.55192187033549</v>
      </c>
      <c r="AR28" s="70">
        <f t="shared" si="47"/>
        <v>7365.0274552905066</v>
      </c>
      <c r="AS28" s="9"/>
      <c r="AT28" s="10"/>
      <c r="AU28" s="9"/>
      <c r="AV28" s="10"/>
      <c r="AW28" s="10"/>
      <c r="AX28" s="9"/>
      <c r="AY28" s="9"/>
    </row>
    <row r="29" spans="1:51" x14ac:dyDescent="0.25">
      <c r="A29" s="94"/>
      <c r="B29">
        <f t="shared" si="34"/>
        <v>1</v>
      </c>
      <c r="C29" t="s">
        <v>143</v>
      </c>
      <c r="D29">
        <f t="shared" si="44"/>
        <v>4</v>
      </c>
      <c r="E29">
        <f t="shared" si="45"/>
        <v>547920</v>
      </c>
      <c r="F29">
        <f t="shared" si="42"/>
        <v>0</v>
      </c>
      <c r="G29">
        <f t="shared" si="42"/>
        <v>0</v>
      </c>
      <c r="H29" t="str">
        <f t="shared" si="42"/>
        <v>True</v>
      </c>
      <c r="I29" t="str">
        <f t="shared" si="42"/>
        <v>False</v>
      </c>
      <c r="J29">
        <f t="shared" si="42"/>
        <v>2.894E-2</v>
      </c>
      <c r="K29">
        <f t="shared" si="42"/>
        <v>2.894E-2</v>
      </c>
      <c r="L29">
        <f t="shared" si="42"/>
        <v>6.9999999999999994E-5</v>
      </c>
      <c r="M29">
        <f t="shared" si="42"/>
        <v>0</v>
      </c>
      <c r="N29">
        <f t="shared" si="42"/>
        <v>0</v>
      </c>
      <c r="O29">
        <f t="shared" si="42"/>
        <v>0</v>
      </c>
      <c r="P29">
        <f t="shared" si="42"/>
        <v>0</v>
      </c>
      <c r="Q29">
        <f t="shared" si="42"/>
        <v>0</v>
      </c>
      <c r="R29">
        <f t="shared" si="42"/>
        <v>0</v>
      </c>
      <c r="S29">
        <f t="shared" si="42"/>
        <v>0</v>
      </c>
      <c r="T29" t="str">
        <f t="shared" si="42"/>
        <v>NA</v>
      </c>
      <c r="U29" t="str">
        <f t="shared" si="42"/>
        <v>NA</v>
      </c>
      <c r="V29" t="str">
        <f t="shared" si="42"/>
        <v>NA</v>
      </c>
      <c r="W29" t="str">
        <f t="shared" si="42"/>
        <v>NA</v>
      </c>
      <c r="X29" t="str">
        <f t="shared" si="42"/>
        <v>NA</v>
      </c>
      <c r="Y29" t="str">
        <f t="shared" si="42"/>
        <v>NA</v>
      </c>
      <c r="Z29" t="str">
        <f t="shared" si="42"/>
        <v>False</v>
      </c>
      <c r="AA29" t="str">
        <f t="shared" si="42"/>
        <v>NA</v>
      </c>
      <c r="AB29" t="str">
        <f t="shared" si="42"/>
        <v>NA</v>
      </c>
      <c r="AC29" t="str">
        <f t="shared" si="42"/>
        <v>False</v>
      </c>
      <c r="AD29">
        <f t="shared" si="42"/>
        <v>1.9146799290632522E-3</v>
      </c>
      <c r="AE29">
        <f t="shared" si="42"/>
        <v>2.2374650123089325E-4</v>
      </c>
      <c r="AF29">
        <f t="shared" si="42"/>
        <v>1.9146799290632522E-3</v>
      </c>
      <c r="AG29">
        <f t="shared" si="42"/>
        <v>3.1963785890127606E-3</v>
      </c>
      <c r="AH29">
        <f t="shared" si="42"/>
        <v>4.3399411725433714E-7</v>
      </c>
      <c r="AI29">
        <f t="shared" si="42"/>
        <v>0</v>
      </c>
      <c r="AJ29">
        <f t="shared" si="42"/>
        <v>4.3399411725433714E-7</v>
      </c>
      <c r="AK29">
        <f t="shared" si="42"/>
        <v>2.1699705862716857E-9</v>
      </c>
      <c r="AL29">
        <f t="shared" si="42"/>
        <v>0</v>
      </c>
      <c r="AM29">
        <f t="shared" si="42"/>
        <v>2.1699705862716857E-9</v>
      </c>
      <c r="AN29" s="70">
        <f t="shared" si="21"/>
        <v>8.0825558071587727E-7</v>
      </c>
      <c r="AO29" s="70">
        <f t="shared" si="15"/>
        <v>46.304841239704686</v>
      </c>
      <c r="AP29" s="70">
        <f t="shared" ref="AP29:AR29" si="48">AP11</f>
        <v>5.8</v>
      </c>
      <c r="AQ29" s="70">
        <f t="shared" si="48"/>
        <v>515.55192187033549</v>
      </c>
      <c r="AR29" s="70">
        <f t="shared" si="48"/>
        <v>7365.0274552905066</v>
      </c>
      <c r="AS29" s="9"/>
      <c r="AT29" s="10"/>
      <c r="AU29" s="9"/>
      <c r="AV29" s="10"/>
      <c r="AW29" s="10"/>
      <c r="AX29" s="9"/>
      <c r="AY29" s="9"/>
    </row>
    <row r="30" spans="1:51" x14ac:dyDescent="0.25">
      <c r="A30" s="94"/>
      <c r="B30">
        <f t="shared" si="34"/>
        <v>1</v>
      </c>
      <c r="C30" t="s">
        <v>143</v>
      </c>
      <c r="D30">
        <f t="shared" si="44"/>
        <v>5</v>
      </c>
      <c r="E30">
        <f t="shared" si="45"/>
        <v>0</v>
      </c>
      <c r="F30">
        <f t="shared" si="42"/>
        <v>0</v>
      </c>
      <c r="G30">
        <f t="shared" si="42"/>
        <v>0</v>
      </c>
      <c r="H30" t="str">
        <f t="shared" si="42"/>
        <v>True</v>
      </c>
      <c r="I30" t="str">
        <f t="shared" si="42"/>
        <v>False</v>
      </c>
      <c r="J30">
        <f t="shared" si="42"/>
        <v>2.894E-2</v>
      </c>
      <c r="K30">
        <f t="shared" si="42"/>
        <v>2.894E-2</v>
      </c>
      <c r="L30">
        <f t="shared" si="42"/>
        <v>5.0000000000000002E-5</v>
      </c>
      <c r="M30">
        <f t="shared" si="42"/>
        <v>0</v>
      </c>
      <c r="N30">
        <f t="shared" si="42"/>
        <v>0</v>
      </c>
      <c r="O30">
        <f t="shared" si="42"/>
        <v>0</v>
      </c>
      <c r="P30">
        <f t="shared" si="42"/>
        <v>0</v>
      </c>
      <c r="Q30">
        <f t="shared" si="42"/>
        <v>0</v>
      </c>
      <c r="R30">
        <f t="shared" si="42"/>
        <v>0</v>
      </c>
      <c r="S30">
        <f t="shared" si="42"/>
        <v>0</v>
      </c>
      <c r="T30" t="str">
        <f t="shared" si="42"/>
        <v>NA</v>
      </c>
      <c r="U30" t="str">
        <f t="shared" si="42"/>
        <v>NA</v>
      </c>
      <c r="V30" t="str">
        <f t="shared" si="42"/>
        <v>NA</v>
      </c>
      <c r="W30" t="str">
        <f t="shared" si="42"/>
        <v>NA</v>
      </c>
      <c r="X30" t="str">
        <f t="shared" si="42"/>
        <v>NA</v>
      </c>
      <c r="Y30" t="str">
        <f t="shared" si="42"/>
        <v>NA</v>
      </c>
      <c r="Z30" t="str">
        <f t="shared" si="42"/>
        <v>False</v>
      </c>
      <c r="AA30" t="str">
        <f t="shared" si="42"/>
        <v>NA</v>
      </c>
      <c r="AB30" t="str">
        <f t="shared" si="42"/>
        <v>NA</v>
      </c>
      <c r="AC30" t="str">
        <f t="shared" si="42"/>
        <v>False</v>
      </c>
      <c r="AD30">
        <f t="shared" si="42"/>
        <v>1.2855761246405892E-3</v>
      </c>
      <c r="AE30">
        <f t="shared" si="42"/>
        <v>1.5023041480099003E-4</v>
      </c>
      <c r="AF30">
        <f t="shared" si="42"/>
        <v>1.2855761246405892E-3</v>
      </c>
      <c r="AG30">
        <f t="shared" si="42"/>
        <v>2.1461487828712861E-3</v>
      </c>
      <c r="AH30">
        <f t="shared" si="42"/>
        <v>2.9139725491853351E-7</v>
      </c>
      <c r="AI30">
        <f t="shared" si="42"/>
        <v>0</v>
      </c>
      <c r="AJ30">
        <f t="shared" si="42"/>
        <v>2.9139725491853351E-7</v>
      </c>
      <c r="AK30">
        <f t="shared" si="42"/>
        <v>1.4569862745926675E-9</v>
      </c>
      <c r="AL30">
        <f t="shared" si="42"/>
        <v>0</v>
      </c>
      <c r="AM30">
        <f t="shared" si="42"/>
        <v>1.4569862745926675E-9</v>
      </c>
      <c r="AN30" s="70">
        <f t="shared" si="21"/>
        <v>5.4268813361625835E-7</v>
      </c>
      <c r="AO30" s="70">
        <f t="shared" si="15"/>
        <v>46.304841239704686</v>
      </c>
      <c r="AP30" s="70">
        <f t="shared" ref="AP30:AR30" si="49">AP12</f>
        <v>5.8</v>
      </c>
      <c r="AQ30" s="70">
        <f t="shared" si="49"/>
        <v>515.55192187033549</v>
      </c>
      <c r="AR30" s="70">
        <f t="shared" si="49"/>
        <v>7365.0274552905066</v>
      </c>
      <c r="AS30" s="9"/>
      <c r="AT30" s="10"/>
      <c r="AU30" s="9"/>
      <c r="AV30" s="10"/>
      <c r="AW30" s="10"/>
      <c r="AX30" s="9"/>
      <c r="AY30" s="9"/>
    </row>
    <row r="31" spans="1:51" x14ac:dyDescent="0.25">
      <c r="A31" s="94"/>
      <c r="B31">
        <f t="shared" si="34"/>
        <v>1</v>
      </c>
      <c r="C31" t="s">
        <v>144</v>
      </c>
      <c r="D31">
        <f>D9-6</f>
        <v>1</v>
      </c>
      <c r="E31">
        <f>E9</f>
        <v>1643760</v>
      </c>
      <c r="F31">
        <f t="shared" ref="F31:AM34" si="50">F9</f>
        <v>0</v>
      </c>
      <c r="G31">
        <f t="shared" si="50"/>
        <v>0</v>
      </c>
      <c r="H31" t="str">
        <f t="shared" si="50"/>
        <v>True</v>
      </c>
      <c r="I31" t="str">
        <f t="shared" si="50"/>
        <v>False</v>
      </c>
      <c r="J31">
        <f t="shared" si="50"/>
        <v>2.894E-2</v>
      </c>
      <c r="K31">
        <f t="shared" si="50"/>
        <v>2.894E-2</v>
      </c>
      <c r="L31">
        <f t="shared" si="50"/>
        <v>3.1E-4</v>
      </c>
      <c r="M31">
        <f t="shared" si="50"/>
        <v>0</v>
      </c>
      <c r="N31">
        <f t="shared" si="50"/>
        <v>0</v>
      </c>
      <c r="O31">
        <f t="shared" si="50"/>
        <v>0</v>
      </c>
      <c r="P31">
        <f t="shared" si="50"/>
        <v>0</v>
      </c>
      <c r="Q31">
        <f t="shared" si="50"/>
        <v>0</v>
      </c>
      <c r="R31">
        <f t="shared" si="50"/>
        <v>0</v>
      </c>
      <c r="S31">
        <f t="shared" si="50"/>
        <v>0</v>
      </c>
      <c r="T31" t="str">
        <f t="shared" si="50"/>
        <v>NA</v>
      </c>
      <c r="U31" t="str">
        <f t="shared" si="50"/>
        <v>NA</v>
      </c>
      <c r="V31" t="str">
        <f t="shared" si="50"/>
        <v>NA</v>
      </c>
      <c r="W31" t="str">
        <f t="shared" si="50"/>
        <v>NA</v>
      </c>
      <c r="X31" t="str">
        <f t="shared" si="50"/>
        <v>NA</v>
      </c>
      <c r="Y31" t="str">
        <f t="shared" si="50"/>
        <v>NA</v>
      </c>
      <c r="Z31" t="str">
        <f t="shared" si="50"/>
        <v>False</v>
      </c>
      <c r="AA31" t="str">
        <f t="shared" si="50"/>
        <v>NA</v>
      </c>
      <c r="AB31" t="str">
        <f t="shared" si="50"/>
        <v>NA</v>
      </c>
      <c r="AC31" t="str">
        <f t="shared" si="50"/>
        <v>False</v>
      </c>
      <c r="AD31">
        <f t="shared" si="50"/>
        <v>1.2193691971899337E-2</v>
      </c>
      <c r="AE31">
        <f t="shared" si="50"/>
        <v>1.4249357683163858E-3</v>
      </c>
      <c r="AF31">
        <f t="shared" si="50"/>
        <v>1.2193691971899337E-2</v>
      </c>
      <c r="AG31">
        <f t="shared" si="50"/>
        <v>2.0356225261662652E-2</v>
      </c>
      <c r="AH31">
        <f t="shared" si="50"/>
        <v>2.7639035136305163E-6</v>
      </c>
      <c r="AI31">
        <f t="shared" si="50"/>
        <v>0</v>
      </c>
      <c r="AJ31">
        <f t="shared" si="50"/>
        <v>2.7639035136305163E-6</v>
      </c>
      <c r="AK31">
        <f t="shared" si="50"/>
        <v>1.3819517568152583E-8</v>
      </c>
      <c r="AL31">
        <f t="shared" si="50"/>
        <v>0</v>
      </c>
      <c r="AM31">
        <f t="shared" si="50"/>
        <v>1.3819517568152583E-8</v>
      </c>
      <c r="AN31" s="70">
        <f t="shared" si="21"/>
        <v>5.147397973007344E-6</v>
      </c>
      <c r="AO31" s="70">
        <f t="shared" si="15"/>
        <v>46.304841239704686</v>
      </c>
      <c r="AP31" s="70">
        <f t="shared" ref="AP31:AR31" si="51">AP9</f>
        <v>5.8</v>
      </c>
      <c r="AQ31" s="70">
        <f t="shared" si="51"/>
        <v>515.55192187033549</v>
      </c>
      <c r="AR31" s="70">
        <f t="shared" si="51"/>
        <v>7365.0274552905066</v>
      </c>
      <c r="AS31" s="9"/>
      <c r="AT31" s="10"/>
      <c r="AU31" s="9"/>
      <c r="AV31" s="10"/>
      <c r="AW31" s="10"/>
      <c r="AX31" s="9"/>
      <c r="AY31" s="9"/>
    </row>
    <row r="32" spans="1:51" x14ac:dyDescent="0.25">
      <c r="A32" s="94"/>
      <c r="B32">
        <f t="shared" si="34"/>
        <v>1</v>
      </c>
      <c r="C32" t="s">
        <v>144</v>
      </c>
      <c r="D32">
        <f t="shared" ref="D32:D34" si="52">D10-6</f>
        <v>2</v>
      </c>
      <c r="E32">
        <f t="shared" ref="E32:T34" si="53">E10</f>
        <v>1095840</v>
      </c>
      <c r="F32">
        <f t="shared" si="53"/>
        <v>0</v>
      </c>
      <c r="G32">
        <f t="shared" si="53"/>
        <v>0</v>
      </c>
      <c r="H32" t="str">
        <f t="shared" si="53"/>
        <v>True</v>
      </c>
      <c r="I32" t="str">
        <f t="shared" si="53"/>
        <v>False</v>
      </c>
      <c r="J32">
        <f t="shared" si="53"/>
        <v>2.894E-2</v>
      </c>
      <c r="K32">
        <f t="shared" si="53"/>
        <v>2.894E-2</v>
      </c>
      <c r="L32">
        <f t="shared" si="53"/>
        <v>1.6000000000000001E-4</v>
      </c>
      <c r="M32">
        <f t="shared" si="53"/>
        <v>0</v>
      </c>
      <c r="N32">
        <f t="shared" si="53"/>
        <v>0</v>
      </c>
      <c r="O32">
        <f t="shared" si="53"/>
        <v>0</v>
      </c>
      <c r="P32">
        <f t="shared" si="53"/>
        <v>0</v>
      </c>
      <c r="Q32">
        <f t="shared" si="53"/>
        <v>0</v>
      </c>
      <c r="R32">
        <f t="shared" si="53"/>
        <v>0</v>
      </c>
      <c r="S32">
        <f t="shared" si="53"/>
        <v>0</v>
      </c>
      <c r="T32" t="str">
        <f t="shared" si="53"/>
        <v>NA</v>
      </c>
      <c r="U32" t="str">
        <f t="shared" si="50"/>
        <v>NA</v>
      </c>
      <c r="V32" t="str">
        <f t="shared" si="50"/>
        <v>NA</v>
      </c>
      <c r="W32" t="str">
        <f t="shared" si="50"/>
        <v>NA</v>
      </c>
      <c r="X32" t="str">
        <f t="shared" si="50"/>
        <v>NA</v>
      </c>
      <c r="Y32" t="str">
        <f t="shared" si="50"/>
        <v>NA</v>
      </c>
      <c r="Z32" t="str">
        <f t="shared" si="50"/>
        <v>False</v>
      </c>
      <c r="AA32" t="str">
        <f t="shared" si="50"/>
        <v>NA</v>
      </c>
      <c r="AB32" t="str">
        <f t="shared" si="50"/>
        <v>NA</v>
      </c>
      <c r="AC32" t="str">
        <f t="shared" si="50"/>
        <v>False</v>
      </c>
      <c r="AD32">
        <f t="shared" si="50"/>
        <v>5.2963394285683064E-3</v>
      </c>
      <c r="AE32">
        <f t="shared" si="50"/>
        <v>6.1892194015589891E-4</v>
      </c>
      <c r="AF32">
        <f t="shared" si="50"/>
        <v>5.2963394285683064E-3</v>
      </c>
      <c r="AG32">
        <f t="shared" si="50"/>
        <v>8.8417420022271279E-3</v>
      </c>
      <c r="AH32">
        <f t="shared" si="50"/>
        <v>1.2005036038088161E-6</v>
      </c>
      <c r="AI32">
        <f t="shared" si="50"/>
        <v>0</v>
      </c>
      <c r="AJ32">
        <f t="shared" si="50"/>
        <v>1.2005036038088161E-6</v>
      </c>
      <c r="AK32">
        <f t="shared" si="50"/>
        <v>6.0025180190440811E-9</v>
      </c>
      <c r="AL32">
        <f t="shared" si="50"/>
        <v>0</v>
      </c>
      <c r="AM32">
        <f t="shared" si="50"/>
        <v>6.0025180190440811E-9</v>
      </c>
      <c r="AN32" s="70">
        <f t="shared" si="21"/>
        <v>2.235776244126731E-6</v>
      </c>
      <c r="AO32" s="70">
        <f t="shared" si="15"/>
        <v>46.304841239704672</v>
      </c>
      <c r="AP32" s="70">
        <f t="shared" ref="AP32:AR32" si="54">AP10</f>
        <v>5.8</v>
      </c>
      <c r="AQ32" s="70">
        <f t="shared" si="54"/>
        <v>515.55192187033549</v>
      </c>
      <c r="AR32" s="70">
        <f t="shared" si="54"/>
        <v>7365.0274552905066</v>
      </c>
      <c r="AS32" s="9"/>
      <c r="AT32" s="10"/>
      <c r="AU32" s="9"/>
      <c r="AV32" s="10"/>
      <c r="AW32" s="10"/>
      <c r="AX32" s="9"/>
      <c r="AY32" s="9"/>
    </row>
    <row r="33" spans="1:51" x14ac:dyDescent="0.25">
      <c r="A33" s="94"/>
      <c r="B33">
        <f t="shared" si="34"/>
        <v>1</v>
      </c>
      <c r="C33" t="s">
        <v>144</v>
      </c>
      <c r="D33">
        <f t="shared" si="52"/>
        <v>3</v>
      </c>
      <c r="E33">
        <f t="shared" si="53"/>
        <v>547920</v>
      </c>
      <c r="F33">
        <f t="shared" si="50"/>
        <v>0</v>
      </c>
      <c r="G33">
        <f t="shared" si="50"/>
        <v>0</v>
      </c>
      <c r="H33" t="str">
        <f t="shared" si="50"/>
        <v>True</v>
      </c>
      <c r="I33" t="str">
        <f t="shared" si="50"/>
        <v>False</v>
      </c>
      <c r="J33">
        <f t="shared" si="50"/>
        <v>2.894E-2</v>
      </c>
      <c r="K33">
        <f t="shared" si="50"/>
        <v>2.894E-2</v>
      </c>
      <c r="L33">
        <f t="shared" si="50"/>
        <v>6.9999999999999994E-5</v>
      </c>
      <c r="M33">
        <f t="shared" si="50"/>
        <v>0</v>
      </c>
      <c r="N33">
        <f t="shared" si="50"/>
        <v>0</v>
      </c>
      <c r="O33">
        <f t="shared" si="50"/>
        <v>0</v>
      </c>
      <c r="P33">
        <f t="shared" si="50"/>
        <v>0</v>
      </c>
      <c r="Q33">
        <f t="shared" si="50"/>
        <v>0</v>
      </c>
      <c r="R33">
        <f t="shared" si="50"/>
        <v>0</v>
      </c>
      <c r="S33">
        <f t="shared" si="50"/>
        <v>0</v>
      </c>
      <c r="T33" t="str">
        <f t="shared" si="50"/>
        <v>NA</v>
      </c>
      <c r="U33" t="str">
        <f t="shared" si="50"/>
        <v>NA</v>
      </c>
      <c r="V33" t="str">
        <f t="shared" si="50"/>
        <v>NA</v>
      </c>
      <c r="W33" t="str">
        <f t="shared" si="50"/>
        <v>NA</v>
      </c>
      <c r="X33" t="str">
        <f t="shared" si="50"/>
        <v>NA</v>
      </c>
      <c r="Y33" t="str">
        <f t="shared" si="50"/>
        <v>NA</v>
      </c>
      <c r="Z33" t="str">
        <f t="shared" si="50"/>
        <v>False</v>
      </c>
      <c r="AA33" t="str">
        <f t="shared" si="50"/>
        <v>NA</v>
      </c>
      <c r="AB33" t="str">
        <f t="shared" si="50"/>
        <v>NA</v>
      </c>
      <c r="AC33" t="str">
        <f t="shared" si="50"/>
        <v>False</v>
      </c>
      <c r="AD33">
        <f t="shared" si="50"/>
        <v>1.9146799290632522E-3</v>
      </c>
      <c r="AE33">
        <f t="shared" si="50"/>
        <v>2.2374650123089325E-4</v>
      </c>
      <c r="AF33">
        <f t="shared" si="50"/>
        <v>1.9146799290632522E-3</v>
      </c>
      <c r="AG33">
        <f t="shared" si="50"/>
        <v>3.1963785890127606E-3</v>
      </c>
      <c r="AH33">
        <f t="shared" si="50"/>
        <v>4.3399411725433714E-7</v>
      </c>
      <c r="AI33">
        <f t="shared" si="50"/>
        <v>0</v>
      </c>
      <c r="AJ33">
        <f t="shared" si="50"/>
        <v>4.3399411725433714E-7</v>
      </c>
      <c r="AK33">
        <f t="shared" si="50"/>
        <v>2.1699705862716857E-9</v>
      </c>
      <c r="AL33">
        <f t="shared" si="50"/>
        <v>0</v>
      </c>
      <c r="AM33">
        <f t="shared" si="50"/>
        <v>2.1699705862716857E-9</v>
      </c>
      <c r="AN33" s="70">
        <f t="shared" si="21"/>
        <v>8.0825558071587727E-7</v>
      </c>
      <c r="AO33" s="70">
        <f t="shared" si="15"/>
        <v>46.304841239704686</v>
      </c>
      <c r="AP33" s="70">
        <f t="shared" ref="AP33:AR33" si="55">AP11</f>
        <v>5.8</v>
      </c>
      <c r="AQ33" s="70">
        <f t="shared" si="55"/>
        <v>515.55192187033549</v>
      </c>
      <c r="AR33" s="70">
        <f t="shared" si="55"/>
        <v>7365.0274552905066</v>
      </c>
      <c r="AS33" s="9"/>
      <c r="AT33" s="10"/>
      <c r="AU33" s="9"/>
      <c r="AV33" s="10"/>
      <c r="AW33" s="10"/>
      <c r="AX33" s="9"/>
      <c r="AY33" s="9"/>
    </row>
    <row r="34" spans="1:51" x14ac:dyDescent="0.25">
      <c r="A34" s="94"/>
      <c r="B34">
        <f t="shared" si="34"/>
        <v>1</v>
      </c>
      <c r="C34" t="s">
        <v>144</v>
      </c>
      <c r="D34">
        <f t="shared" si="52"/>
        <v>4</v>
      </c>
      <c r="E34">
        <f t="shared" si="53"/>
        <v>0</v>
      </c>
      <c r="F34">
        <f t="shared" si="50"/>
        <v>0</v>
      </c>
      <c r="G34">
        <f t="shared" si="50"/>
        <v>0</v>
      </c>
      <c r="H34" t="str">
        <f t="shared" si="50"/>
        <v>True</v>
      </c>
      <c r="I34" t="str">
        <f t="shared" si="50"/>
        <v>False</v>
      </c>
      <c r="J34">
        <f t="shared" si="50"/>
        <v>2.894E-2</v>
      </c>
      <c r="K34">
        <f t="shared" si="50"/>
        <v>2.894E-2</v>
      </c>
      <c r="L34">
        <f t="shared" si="50"/>
        <v>5.0000000000000002E-5</v>
      </c>
      <c r="M34">
        <f t="shared" si="50"/>
        <v>0</v>
      </c>
      <c r="N34">
        <f t="shared" si="50"/>
        <v>0</v>
      </c>
      <c r="O34">
        <f t="shared" si="50"/>
        <v>0</v>
      </c>
      <c r="P34">
        <f t="shared" si="50"/>
        <v>0</v>
      </c>
      <c r="Q34">
        <f t="shared" si="50"/>
        <v>0</v>
      </c>
      <c r="R34">
        <f t="shared" si="50"/>
        <v>0</v>
      </c>
      <c r="S34">
        <f t="shared" si="50"/>
        <v>0</v>
      </c>
      <c r="T34" t="str">
        <f t="shared" si="50"/>
        <v>NA</v>
      </c>
      <c r="U34" t="str">
        <f t="shared" si="50"/>
        <v>NA</v>
      </c>
      <c r="V34" t="str">
        <f t="shared" si="50"/>
        <v>NA</v>
      </c>
      <c r="W34" t="str">
        <f t="shared" si="50"/>
        <v>NA</v>
      </c>
      <c r="X34" t="str">
        <f t="shared" si="50"/>
        <v>NA</v>
      </c>
      <c r="Y34" t="str">
        <f t="shared" si="50"/>
        <v>NA</v>
      </c>
      <c r="Z34" t="str">
        <f t="shared" si="50"/>
        <v>False</v>
      </c>
      <c r="AA34" t="str">
        <f t="shared" si="50"/>
        <v>NA</v>
      </c>
      <c r="AB34" t="str">
        <f t="shared" si="50"/>
        <v>NA</v>
      </c>
      <c r="AC34" t="str">
        <f t="shared" si="50"/>
        <v>False</v>
      </c>
      <c r="AD34">
        <f t="shared" si="50"/>
        <v>1.2855761246405892E-3</v>
      </c>
      <c r="AE34">
        <f t="shared" si="50"/>
        <v>1.5023041480099003E-4</v>
      </c>
      <c r="AF34">
        <f t="shared" si="50"/>
        <v>1.2855761246405892E-3</v>
      </c>
      <c r="AG34">
        <f t="shared" si="50"/>
        <v>2.1461487828712861E-3</v>
      </c>
      <c r="AH34">
        <f t="shared" si="50"/>
        <v>2.9139725491853351E-7</v>
      </c>
      <c r="AI34">
        <f t="shared" si="50"/>
        <v>0</v>
      </c>
      <c r="AJ34">
        <f t="shared" si="50"/>
        <v>2.9139725491853351E-7</v>
      </c>
      <c r="AK34">
        <f t="shared" si="50"/>
        <v>1.4569862745926675E-9</v>
      </c>
      <c r="AL34">
        <f t="shared" si="50"/>
        <v>0</v>
      </c>
      <c r="AM34">
        <f t="shared" si="50"/>
        <v>1.4569862745926675E-9</v>
      </c>
      <c r="AN34" s="73">
        <f t="shared" si="21"/>
        <v>5.4268813361625835E-7</v>
      </c>
      <c r="AO34" s="73">
        <f t="shared" si="15"/>
        <v>46.304841239704686</v>
      </c>
      <c r="AP34" s="73">
        <f t="shared" ref="AP34:AR34" si="56">AP12</f>
        <v>5.8</v>
      </c>
      <c r="AQ34" s="73">
        <f t="shared" si="56"/>
        <v>515.55192187033549</v>
      </c>
      <c r="AR34" s="73">
        <f t="shared" si="56"/>
        <v>7365.0274552905066</v>
      </c>
      <c r="AS34" s="9"/>
      <c r="AT34" s="10"/>
      <c r="AU34" s="9"/>
      <c r="AV34" s="10"/>
      <c r="AW34" s="10"/>
      <c r="AX34" s="9"/>
      <c r="AY34" s="9"/>
    </row>
    <row r="35" spans="1:51" x14ac:dyDescent="0.25">
      <c r="A35" s="6"/>
      <c r="W35" s="1"/>
      <c r="X35" s="1"/>
      <c r="Y35" s="1"/>
      <c r="Z35" s="1"/>
      <c r="AA35" s="1"/>
      <c r="AB35" s="1"/>
      <c r="AC35" s="1"/>
      <c r="AD35" s="1"/>
      <c r="AE35" s="1"/>
    </row>
    <row r="36" spans="1:51" s="4" customFormat="1" x14ac:dyDescent="0.25">
      <c r="A36" s="94" t="s">
        <v>71</v>
      </c>
      <c r="B36" s="7" t="s">
        <v>0</v>
      </c>
      <c r="C36" s="7" t="s">
        <v>1</v>
      </c>
      <c r="D36" s="7" t="s">
        <v>2</v>
      </c>
      <c r="E36" s="7" t="s">
        <v>34</v>
      </c>
      <c r="F36" s="47" t="s">
        <v>35</v>
      </c>
      <c r="G36" s="47" t="s">
        <v>141</v>
      </c>
      <c r="H36" s="47" t="s">
        <v>36</v>
      </c>
      <c r="I36" s="47" t="s">
        <v>37</v>
      </c>
      <c r="J36" s="7" t="s">
        <v>27</v>
      </c>
      <c r="K36" s="7" t="s">
        <v>43</v>
      </c>
      <c r="L36" s="7" t="s">
        <v>22</v>
      </c>
      <c r="M36" s="7" t="s">
        <v>24</v>
      </c>
      <c r="N36" s="7" t="s">
        <v>23</v>
      </c>
      <c r="O36" s="7" t="s">
        <v>21</v>
      </c>
      <c r="P36" s="7" t="s">
        <v>44</v>
      </c>
      <c r="Q36" s="7" t="s">
        <v>45</v>
      </c>
      <c r="R36" s="7" t="s">
        <v>86</v>
      </c>
      <c r="S36" s="7" t="s">
        <v>66</v>
      </c>
      <c r="T36" s="7" t="s">
        <v>64</v>
      </c>
      <c r="U36" s="14" t="s">
        <v>62</v>
      </c>
      <c r="V36" s="14" t="s">
        <v>108</v>
      </c>
      <c r="W36" s="14" t="s">
        <v>22</v>
      </c>
      <c r="X36" s="14" t="s">
        <v>24</v>
      </c>
      <c r="AA36" s="14" t="s">
        <v>23</v>
      </c>
      <c r="AB36" s="5"/>
      <c r="AC36" s="14" t="s">
        <v>45</v>
      </c>
      <c r="AD36" s="14" t="s">
        <v>77</v>
      </c>
      <c r="AE36" s="14" t="s">
        <v>129</v>
      </c>
      <c r="AF36" s="5"/>
      <c r="AG36" s="5"/>
      <c r="AO36" s="25"/>
      <c r="AP36" s="80" t="s">
        <v>21</v>
      </c>
      <c r="AQ36" s="80" t="s">
        <v>139</v>
      </c>
      <c r="AR36" s="81" t="s">
        <v>116</v>
      </c>
    </row>
    <row r="37" spans="1:51" x14ac:dyDescent="0.25">
      <c r="A37" s="94"/>
      <c r="B37">
        <v>1</v>
      </c>
      <c r="C37" t="s">
        <v>30</v>
      </c>
      <c r="D37">
        <v>1</v>
      </c>
      <c r="E37" t="s">
        <v>38</v>
      </c>
      <c r="F37" s="48" t="s">
        <v>39</v>
      </c>
      <c r="G37" s="48">
        <f>280</f>
        <v>280</v>
      </c>
      <c r="H37" s="48">
        <v>8.2000000000000003E-2</v>
      </c>
      <c r="I37" s="48" t="s">
        <v>33</v>
      </c>
      <c r="J37">
        <f>P37*$U$37</f>
        <v>2.93340559653084E-3</v>
      </c>
      <c r="K37">
        <f>J37*0.005</f>
        <v>1.46670279826542E-5</v>
      </c>
      <c r="L37">
        <f>J37*$W37</f>
        <v>0.83472957663182923</v>
      </c>
      <c r="M37">
        <f t="shared" ref="M37:M42" si="57">J37*$X37</f>
        <v>11.92470823759756</v>
      </c>
      <c r="N37">
        <f t="shared" ref="N37:N42" si="58">AA37*$J37</f>
        <v>0</v>
      </c>
      <c r="O37" s="1">
        <f t="shared" ref="O37:O42" si="59">J37*$AB$38</f>
        <v>12.94149527881253</v>
      </c>
      <c r="P37">
        <v>1.9556037310205601E-4</v>
      </c>
      <c r="Q37" s="1">
        <f t="shared" ref="Q37:Q42" si="60">J37*$AC37</f>
        <v>0.19360476937103543</v>
      </c>
      <c r="R37">
        <v>0.8</v>
      </c>
      <c r="S37">
        <v>0</v>
      </c>
      <c r="T37">
        <v>0</v>
      </c>
      <c r="U37" s="15">
        <f>INPUTS!U15</f>
        <v>15</v>
      </c>
      <c r="V37" s="15">
        <f>INPUTS!V15</f>
        <v>4.3</v>
      </c>
      <c r="W37" s="15">
        <f t="shared" ref="W37:W42" si="61">(($V37/100)*(1+$AB$38*$E$53)-$Y$38)/(((1+1/$X$45)*(14*10^(-6)))-(($J$53/$X$45+$F$53)*$V37/100))</f>
        <v>284.55989094007765</v>
      </c>
      <c r="X37" s="15">
        <f>$W37/$X$45</f>
        <v>4065.1412991439661</v>
      </c>
      <c r="Y37" s="80" t="s">
        <v>43</v>
      </c>
      <c r="Z37" s="80" t="s">
        <v>27</v>
      </c>
      <c r="AA37" s="89">
        <f t="shared" ref="AA37:AA42" si="62">IF(F37="HiddenElement",$AA$44/100/(1-$X$55)*$X$54*10^6/$X$52,0)</f>
        <v>0</v>
      </c>
      <c r="AB37" s="88" t="s">
        <v>21</v>
      </c>
      <c r="AC37" s="15">
        <f t="shared" ref="AC37:AC42" si="63">ROUND(X37/$AR$6*120,0)</f>
        <v>66</v>
      </c>
      <c r="AD37" s="15">
        <f>J37+L37*$F$53+M37*$J$53+O37*$E$53</f>
        <v>4.4953292414387364E-3</v>
      </c>
      <c r="AE37" s="71">
        <f>(1-J37/AD37)*100</f>
        <v>34.74547827353355</v>
      </c>
      <c r="AF37" s="1"/>
      <c r="AO37" s="82"/>
      <c r="AP37" s="84">
        <f>$AP$38/100/(1-$X$55)*$X$54*10^6/$X$52</f>
        <v>4411.7647058823532</v>
      </c>
      <c r="AQ37" s="84">
        <f>$AQ$38/100/(1-$X$55)*$X$54*10^6/$X$52</f>
        <v>4411.7647058823532</v>
      </c>
      <c r="AR37" s="85">
        <f>AQ37+AP37</f>
        <v>8823.5294117647063</v>
      </c>
    </row>
    <row r="38" spans="1:51" x14ac:dyDescent="0.25">
      <c r="A38" s="94"/>
      <c r="B38">
        <v>1</v>
      </c>
      <c r="C38" t="s">
        <v>30</v>
      </c>
      <c r="D38">
        <v>1</v>
      </c>
      <c r="E38" t="s">
        <v>40</v>
      </c>
      <c r="F38" s="48" t="s">
        <v>41</v>
      </c>
      <c r="G38" s="48">
        <f>280</f>
        <v>280</v>
      </c>
      <c r="H38" s="48">
        <v>2.8500000000000001E-2</v>
      </c>
      <c r="I38" s="48" t="s">
        <v>33</v>
      </c>
      <c r="J38">
        <f>H38*$U$38</f>
        <v>1.7099999999999999E-3</v>
      </c>
      <c r="K38">
        <f t="shared" ref="K38:K42" si="64">J38*0.005</f>
        <v>8.5499999999999995E-6</v>
      </c>
      <c r="L38">
        <f>J38*$W38</f>
        <v>0.13866650720952142</v>
      </c>
      <c r="M38">
        <f t="shared" si="57"/>
        <v>1.9809501029931631</v>
      </c>
      <c r="N38">
        <f t="shared" si="58"/>
        <v>0</v>
      </c>
      <c r="O38" s="1">
        <f t="shared" si="59"/>
        <v>7.5441176470588234</v>
      </c>
      <c r="P38">
        <v>2.6899999999999998E-4</v>
      </c>
      <c r="Q38" s="1">
        <f t="shared" si="60"/>
        <v>3.2489999999999998E-2</v>
      </c>
      <c r="R38">
        <v>0.4</v>
      </c>
      <c r="S38">
        <v>0</v>
      </c>
      <c r="T38">
        <v>0</v>
      </c>
      <c r="U38" s="15">
        <f>INPUTS!U16</f>
        <v>0.06</v>
      </c>
      <c r="V38" s="15">
        <f>INPUTS!V16</f>
        <v>1.8</v>
      </c>
      <c r="W38" s="15">
        <f t="shared" si="61"/>
        <v>81.091524683930658</v>
      </c>
      <c r="X38" s="15">
        <f>$W38/$X$45</f>
        <v>1158.4503526275807</v>
      </c>
      <c r="Y38" s="19">
        <v>5.0000000000000001E-3</v>
      </c>
      <c r="Z38" s="19">
        <v>1</v>
      </c>
      <c r="AA38" s="89">
        <f t="shared" si="62"/>
        <v>0</v>
      </c>
      <c r="AB38" s="56">
        <f>$AB$39/100/(1-$X$55)*$X$54*10^6/$X$52</f>
        <v>4411.7647058823532</v>
      </c>
      <c r="AC38" s="15">
        <f t="shared" si="63"/>
        <v>19</v>
      </c>
      <c r="AD38" s="15">
        <f t="shared" ref="AD38:AD42" si="65">J38+L38*$F$53+M38*$J$53+O38*$E$53</f>
        <v>2.1235906968243095E-3</v>
      </c>
      <c r="AE38" s="71">
        <f t="shared" ref="AE38:AE42" si="66">(1-J38/AD38)*100</f>
        <v>19.476008132961187</v>
      </c>
      <c r="AF38" s="1"/>
      <c r="AO38" s="83" t="s">
        <v>140</v>
      </c>
      <c r="AP38" s="86">
        <v>10</v>
      </c>
      <c r="AQ38" s="86">
        <v>10</v>
      </c>
      <c r="AR38" s="87">
        <f>AQ38+AP38</f>
        <v>20</v>
      </c>
    </row>
    <row r="39" spans="1:51" x14ac:dyDescent="0.25">
      <c r="A39" s="94"/>
      <c r="B39">
        <v>1</v>
      </c>
      <c r="C39" t="s">
        <v>30</v>
      </c>
      <c r="D39">
        <v>2</v>
      </c>
      <c r="E39" t="s">
        <v>38</v>
      </c>
      <c r="F39" s="48" t="s">
        <v>39</v>
      </c>
      <c r="G39" s="48">
        <v>180</v>
      </c>
      <c r="H39" s="48">
        <v>9.1999999999999998E-2</v>
      </c>
      <c r="I39" s="48" t="s">
        <v>33</v>
      </c>
      <c r="J39">
        <f>P39*$U$39</f>
        <v>5.2983708800493851E-3</v>
      </c>
      <c r="K39">
        <f t="shared" si="64"/>
        <v>2.6491854400246927E-5</v>
      </c>
      <c r="L39">
        <f t="shared" ref="L39:L42" si="67">J39*$W39</f>
        <v>1.7868295092257087</v>
      </c>
      <c r="M39">
        <f t="shared" si="57"/>
        <v>25.526135846081548</v>
      </c>
      <c r="N39">
        <f t="shared" si="58"/>
        <v>0</v>
      </c>
      <c r="O39" s="1">
        <f t="shared" si="59"/>
        <v>23.375165647276699</v>
      </c>
      <c r="P39">
        <v>2.3036395130649501E-4</v>
      </c>
      <c r="Q39" s="1">
        <f t="shared" si="60"/>
        <v>0.41327292864385201</v>
      </c>
      <c r="R39">
        <v>1</v>
      </c>
      <c r="S39">
        <v>0</v>
      </c>
      <c r="T39">
        <v>0</v>
      </c>
      <c r="U39" s="15">
        <f>INPUTS!U17</f>
        <v>23</v>
      </c>
      <c r="V39" s="15">
        <f>INPUTS!V17</f>
        <v>4.8</v>
      </c>
      <c r="W39" s="15">
        <f t="shared" si="61"/>
        <v>337.24130486106213</v>
      </c>
      <c r="X39" s="15">
        <f t="shared" ref="X39:X42" si="68">$W39/$X$45</f>
        <v>4817.732926586601</v>
      </c>
      <c r="Z39" s="28"/>
      <c r="AA39" s="89">
        <f t="shared" si="62"/>
        <v>0</v>
      </c>
      <c r="AB39" s="53">
        <v>10</v>
      </c>
      <c r="AC39" s="15">
        <f t="shared" si="63"/>
        <v>78</v>
      </c>
      <c r="AD39" s="15">
        <f t="shared" si="65"/>
        <v>8.5181951953030941E-3</v>
      </c>
      <c r="AE39" s="71">
        <f t="shared" si="66"/>
        <v>37.799372301648006</v>
      </c>
      <c r="AF39" s="1"/>
      <c r="AG39" s="1"/>
    </row>
    <row r="40" spans="1:51" x14ac:dyDescent="0.25">
      <c r="A40" s="94"/>
      <c r="B40">
        <v>1</v>
      </c>
      <c r="C40" t="s">
        <v>30</v>
      </c>
      <c r="D40">
        <v>2</v>
      </c>
      <c r="E40" t="s">
        <v>40</v>
      </c>
      <c r="F40" s="48" t="s">
        <v>42</v>
      </c>
      <c r="G40" s="48">
        <v>180</v>
      </c>
      <c r="H40" s="48">
        <v>2.8500000000000001E-2</v>
      </c>
      <c r="I40" s="48" t="s">
        <v>33</v>
      </c>
      <c r="J40">
        <f>H40*$U$40</f>
        <v>2.2800000000000003E-3</v>
      </c>
      <c r="K40">
        <f t="shared" si="64"/>
        <v>1.1400000000000003E-5</v>
      </c>
      <c r="L40">
        <f t="shared" si="67"/>
        <v>0.26304034345651023</v>
      </c>
      <c r="M40">
        <f t="shared" si="57"/>
        <v>3.7577191922358604</v>
      </c>
      <c r="N40">
        <f t="shared" si="58"/>
        <v>3.0176470588235293</v>
      </c>
      <c r="O40" s="1">
        <f t="shared" si="59"/>
        <v>10.058823529411766</v>
      </c>
      <c r="P40">
        <v>2.4800000000000001E-4</v>
      </c>
      <c r="Q40" s="1">
        <f t="shared" si="60"/>
        <v>6.1560000000000011E-2</v>
      </c>
      <c r="R40">
        <v>0.5</v>
      </c>
      <c r="S40">
        <v>0</v>
      </c>
      <c r="T40">
        <v>0</v>
      </c>
      <c r="U40" s="15">
        <f>INPUTS!U18</f>
        <v>0.08</v>
      </c>
      <c r="V40" s="15">
        <f>INPUTS!V18</f>
        <v>2.2999999999999998</v>
      </c>
      <c r="W40" s="15">
        <f t="shared" si="61"/>
        <v>115.36857169145185</v>
      </c>
      <c r="X40" s="15">
        <f t="shared" si="68"/>
        <v>1648.1224527350262</v>
      </c>
      <c r="AA40" s="89">
        <f t="shared" si="62"/>
        <v>1323.5294117647056</v>
      </c>
      <c r="AB40" s="54" t="s">
        <v>121</v>
      </c>
      <c r="AC40" s="15">
        <f t="shared" si="63"/>
        <v>27</v>
      </c>
      <c r="AD40" s="15">
        <f t="shared" si="65"/>
        <v>2.9430710217257907E-3</v>
      </c>
      <c r="AE40" s="71">
        <f t="shared" si="66"/>
        <v>22.529902161075654</v>
      </c>
      <c r="AF40" s="1"/>
      <c r="AG40" s="1"/>
    </row>
    <row r="41" spans="1:51" x14ac:dyDescent="0.25">
      <c r="A41" s="94"/>
      <c r="B41">
        <v>1</v>
      </c>
      <c r="C41" t="s">
        <v>30</v>
      </c>
      <c r="D41">
        <v>2</v>
      </c>
      <c r="E41" t="s">
        <v>40</v>
      </c>
      <c r="F41" s="48" t="s">
        <v>41</v>
      </c>
      <c r="G41" s="48">
        <v>180</v>
      </c>
      <c r="H41" s="48">
        <v>5.0000000000000001E-4</v>
      </c>
      <c r="I41" s="48" t="s">
        <v>33</v>
      </c>
      <c r="J41">
        <f>H41*$U$41</f>
        <v>4.0000000000000003E-5</v>
      </c>
      <c r="K41">
        <f t="shared" si="64"/>
        <v>2.0000000000000002E-7</v>
      </c>
      <c r="L41">
        <f t="shared" si="67"/>
        <v>4.6147428676580745E-3</v>
      </c>
      <c r="M41">
        <f t="shared" si="57"/>
        <v>6.5924898109401053E-2</v>
      </c>
      <c r="N41">
        <f t="shared" si="58"/>
        <v>0</v>
      </c>
      <c r="O41" s="1">
        <f t="shared" si="59"/>
        <v>0.17647058823529413</v>
      </c>
      <c r="P41">
        <v>5.0000000000000004E-6</v>
      </c>
      <c r="Q41" s="1">
        <f t="shared" si="60"/>
        <v>1.08E-3</v>
      </c>
      <c r="R41">
        <v>0.5</v>
      </c>
      <c r="S41">
        <v>0</v>
      </c>
      <c r="T41">
        <v>0</v>
      </c>
      <c r="U41" s="15">
        <f>INPUTS!U19</f>
        <v>0.08</v>
      </c>
      <c r="V41" s="15">
        <f>INPUTS!V19</f>
        <v>2.2999999999999998</v>
      </c>
      <c r="W41" s="15">
        <f t="shared" si="61"/>
        <v>115.36857169145185</v>
      </c>
      <c r="X41" s="15">
        <f t="shared" si="68"/>
        <v>1648.1224527350262</v>
      </c>
      <c r="AA41" s="89">
        <f t="shared" si="62"/>
        <v>0</v>
      </c>
      <c r="AB41" s="1"/>
      <c r="AC41" s="15">
        <f t="shared" si="63"/>
        <v>27</v>
      </c>
      <c r="AD41" s="15">
        <f t="shared" si="65"/>
        <v>5.1632824942557729E-5</v>
      </c>
      <c r="AE41" s="71">
        <f t="shared" si="66"/>
        <v>22.529902161075654</v>
      </c>
      <c r="AS41" s="91" t="s">
        <v>57</v>
      </c>
      <c r="AT41" s="9" t="s">
        <v>47</v>
      </c>
      <c r="AU41" s="10">
        <v>0</v>
      </c>
    </row>
    <row r="42" spans="1:51" x14ac:dyDescent="0.25">
      <c r="A42" s="94"/>
      <c r="B42">
        <v>1</v>
      </c>
      <c r="C42" t="s">
        <v>30</v>
      </c>
      <c r="D42">
        <v>3</v>
      </c>
      <c r="E42" t="s">
        <v>38</v>
      </c>
      <c r="F42" s="48" t="s">
        <v>39</v>
      </c>
      <c r="G42" s="48">
        <v>80</v>
      </c>
      <c r="H42" s="48">
        <v>6.0421565000000003E-2</v>
      </c>
      <c r="I42" s="48" t="s">
        <v>31</v>
      </c>
      <c r="J42">
        <f>P42*$U$42</f>
        <v>4.96525E-3</v>
      </c>
      <c r="K42">
        <f t="shared" si="64"/>
        <v>2.482625E-5</v>
      </c>
      <c r="L42">
        <f t="shared" si="67"/>
        <v>1.8441364735333792</v>
      </c>
      <c r="M42">
        <f t="shared" si="57"/>
        <v>26.344806764762556</v>
      </c>
      <c r="N42">
        <f t="shared" si="58"/>
        <v>0</v>
      </c>
      <c r="O42" s="1">
        <f t="shared" si="59"/>
        <v>21.905514705882354</v>
      </c>
      <c r="P42">
        <v>1.9861E-4</v>
      </c>
      <c r="Q42" s="1">
        <f t="shared" si="60"/>
        <v>0.42701149999999999</v>
      </c>
      <c r="R42">
        <v>1.2</v>
      </c>
      <c r="S42">
        <v>0</v>
      </c>
      <c r="T42">
        <v>0</v>
      </c>
      <c r="U42" s="15">
        <f>INPUTS!U20</f>
        <v>25</v>
      </c>
      <c r="V42" s="15">
        <f>INPUTS!V20</f>
        <v>5.0999999999999996</v>
      </c>
      <c r="W42" s="16">
        <f t="shared" si="61"/>
        <v>371.40858436803364</v>
      </c>
      <c r="X42" s="16">
        <f t="shared" si="68"/>
        <v>5305.836919543337</v>
      </c>
      <c r="AA42" s="90">
        <f t="shared" si="62"/>
        <v>0</v>
      </c>
      <c r="AC42" s="16">
        <f t="shared" si="63"/>
        <v>86</v>
      </c>
      <c r="AD42" s="16">
        <f t="shared" si="65"/>
        <v>8.2249304967871185E-3</v>
      </c>
      <c r="AE42" s="72">
        <f t="shared" si="66"/>
        <v>39.631708718516691</v>
      </c>
      <c r="AS42" s="91"/>
      <c r="AT42" s="9" t="s">
        <v>48</v>
      </c>
      <c r="AU42" s="9">
        <v>0.106</v>
      </c>
    </row>
    <row r="43" spans="1:51" x14ac:dyDescent="0.25">
      <c r="A43" s="4"/>
      <c r="W43" s="15"/>
      <c r="X43" s="15"/>
      <c r="Z43" s="1"/>
      <c r="AN43" s="91"/>
      <c r="AO43" s="91"/>
      <c r="AP43" s="91"/>
      <c r="AQ43" s="91"/>
      <c r="AR43" s="91"/>
      <c r="AS43" s="9" t="s">
        <v>49</v>
      </c>
      <c r="AT43" s="9">
        <v>1.28</v>
      </c>
    </row>
    <row r="44" spans="1:51" x14ac:dyDescent="0.25">
      <c r="A44" s="4"/>
      <c r="W44" s="79"/>
      <c r="X44" s="20" t="s">
        <v>80</v>
      </c>
      <c r="Y44" s="40" t="s">
        <v>81</v>
      </c>
      <c r="AA44" s="53">
        <v>3</v>
      </c>
      <c r="AN44" s="91"/>
      <c r="AO44" s="91"/>
      <c r="AP44" s="91"/>
      <c r="AQ44" s="91"/>
      <c r="AR44" s="91"/>
      <c r="AS44" s="9" t="s">
        <v>50</v>
      </c>
      <c r="AT44" s="9">
        <v>0.8</v>
      </c>
    </row>
    <row r="45" spans="1:51" x14ac:dyDescent="0.25">
      <c r="A45" s="4"/>
      <c r="X45" s="16">
        <f>INPUTS!X23</f>
        <v>7.0000000000000007E-2</v>
      </c>
      <c r="Y45" s="74">
        <f>(SUMPRODUCT(V37:V42,AD37:AD42)+SUMPRODUCT(AP5:AP12,AN5:AN12))/SUM(AD37:AD42,AN5:AN12)</f>
        <v>4.3921455018637516</v>
      </c>
      <c r="AA45" s="54" t="s">
        <v>121</v>
      </c>
      <c r="AN45" s="91"/>
      <c r="AO45" s="91"/>
      <c r="AP45" s="91"/>
      <c r="AQ45" s="91"/>
      <c r="AR45" s="91"/>
      <c r="AS45" s="9" t="s">
        <v>60</v>
      </c>
      <c r="AT45" s="9">
        <f>210*3600*24/12</f>
        <v>1512000</v>
      </c>
    </row>
    <row r="46" spans="1:51" x14ac:dyDescent="0.25">
      <c r="A46" s="4"/>
      <c r="F46" s="1"/>
      <c r="G46" s="1"/>
      <c r="AN46" s="9"/>
      <c r="AO46" s="9"/>
      <c r="AP46" s="9"/>
      <c r="AQ46" s="9"/>
      <c r="AR46" s="9"/>
      <c r="AS46" s="9" t="s">
        <v>58</v>
      </c>
      <c r="AT46" s="9">
        <v>5</v>
      </c>
    </row>
    <row r="47" spans="1:51" x14ac:dyDescent="0.25">
      <c r="A47" s="94" t="s">
        <v>72</v>
      </c>
      <c r="B47" s="7" t="s">
        <v>0</v>
      </c>
      <c r="C47" s="7" t="s">
        <v>1</v>
      </c>
      <c r="D47" s="7" t="s">
        <v>34</v>
      </c>
      <c r="E47" s="7" t="s">
        <v>21</v>
      </c>
      <c r="F47" s="7" t="s">
        <v>22</v>
      </c>
      <c r="G47" s="7" t="s">
        <v>64</v>
      </c>
      <c r="H47" s="7" t="s">
        <v>65</v>
      </c>
      <c r="I47" s="7" t="s">
        <v>66</v>
      </c>
      <c r="J47" s="7" t="s">
        <v>24</v>
      </c>
      <c r="K47" s="7" t="s">
        <v>27</v>
      </c>
      <c r="L47" s="7" t="s">
        <v>43</v>
      </c>
      <c r="M47" s="7" t="s">
        <v>45</v>
      </c>
      <c r="AM47" s="11"/>
      <c r="AN47" s="11"/>
      <c r="AO47" s="11"/>
      <c r="AP47" s="11"/>
      <c r="AQ47" s="11"/>
      <c r="AR47" s="9" t="s">
        <v>59</v>
      </c>
      <c r="AS47" s="9">
        <f>1/59</f>
        <v>1.6949152542372881E-2</v>
      </c>
    </row>
    <row r="48" spans="1:51" x14ac:dyDescent="0.25">
      <c r="A48" s="94"/>
      <c r="B48">
        <v>1</v>
      </c>
      <c r="C48" t="s">
        <v>30</v>
      </c>
      <c r="D48" t="s">
        <v>67</v>
      </c>
      <c r="E48" s="28">
        <v>0</v>
      </c>
      <c r="F48" s="28">
        <v>0</v>
      </c>
      <c r="G48" s="28" t="s">
        <v>32</v>
      </c>
      <c r="H48" s="28" t="s">
        <v>32</v>
      </c>
      <c r="I48" s="28" t="s">
        <v>32</v>
      </c>
      <c r="J48" s="28" t="s">
        <v>32</v>
      </c>
      <c r="K48" s="28" t="s">
        <v>32</v>
      </c>
      <c r="L48" s="28" t="s">
        <v>32</v>
      </c>
      <c r="M48" s="28" t="s">
        <v>32</v>
      </c>
      <c r="AM48" s="12"/>
      <c r="AN48" s="12"/>
      <c r="AO48" s="12"/>
      <c r="AP48" s="12"/>
      <c r="AQ48" s="12"/>
      <c r="AR48" s="9"/>
      <c r="AS48" s="9"/>
    </row>
    <row r="49" spans="1:45" x14ac:dyDescent="0.25">
      <c r="A49" s="94"/>
      <c r="B49">
        <v>1</v>
      </c>
      <c r="C49" t="s">
        <v>30</v>
      </c>
      <c r="D49" t="s">
        <v>68</v>
      </c>
      <c r="E49" s="28">
        <f>E50*$K$49</f>
        <v>157.02970067046741</v>
      </c>
      <c r="F49" s="28">
        <f>F50*$K$49</f>
        <v>7.8369089556621496</v>
      </c>
      <c r="G49" s="28">
        <f>G50*$K$49</f>
        <v>15.673817911324299</v>
      </c>
      <c r="H49" s="28" t="s">
        <v>32</v>
      </c>
      <c r="I49" s="28" t="s">
        <v>32</v>
      </c>
      <c r="J49" s="28" t="s">
        <v>32</v>
      </c>
      <c r="K49" s="1">
        <f>$P$55/$O$50/(1+$E$50*$E$53+$F$50*$F$53+$G$50*$G$53)</f>
        <v>3.559339881863928E-2</v>
      </c>
      <c r="L49" s="28">
        <f>K49*$Y$38</f>
        <v>1.779669940931964E-4</v>
      </c>
      <c r="M49" s="28">
        <f>M50*$K$49</f>
        <v>0.17796699409319638</v>
      </c>
      <c r="N49" s="76" t="s">
        <v>134</v>
      </c>
      <c r="O49" s="20" t="s">
        <v>69</v>
      </c>
      <c r="P49" s="20" t="s">
        <v>83</v>
      </c>
      <c r="Q49" s="20" t="s">
        <v>82</v>
      </c>
      <c r="R49" s="95" t="s">
        <v>46</v>
      </c>
      <c r="S49" s="9" t="s">
        <v>47</v>
      </c>
      <c r="T49" s="10">
        <v>2.6499999999999999E-8</v>
      </c>
      <c r="AM49" s="12"/>
      <c r="AN49" s="12"/>
      <c r="AO49" s="12"/>
      <c r="AP49" s="12"/>
      <c r="AQ49" s="12"/>
      <c r="AR49" s="9"/>
      <c r="AS49" s="9"/>
    </row>
    <row r="50" spans="1:45" x14ac:dyDescent="0.25">
      <c r="E50" s="57">
        <f>AB38</f>
        <v>4411.7647058823532</v>
      </c>
      <c r="F50" s="58">
        <f>(($Q$50/100)*(1+$E$50*$E$53)-$Y$38)/((1+1/$P$50)*(14*10^-6-$J$53*$Q$50/100))</f>
        <v>220.17871896960222</v>
      </c>
      <c r="G50" s="58">
        <f>F50/$P$50</f>
        <v>440.35743793920443</v>
      </c>
      <c r="H50" s="21"/>
      <c r="I50" s="21"/>
      <c r="J50" s="21"/>
      <c r="K50" s="21"/>
      <c r="L50" s="21"/>
      <c r="M50" s="22">
        <v>5</v>
      </c>
      <c r="N50" s="77">
        <f>SUM(AJ5:AJ12,J37:J42)/K49</f>
        <v>0.56505870245862833</v>
      </c>
      <c r="O50" s="16">
        <f>INPUTS!O28</f>
        <v>0.8</v>
      </c>
      <c r="P50" s="16">
        <f>INPUTS!P28</f>
        <v>0.5</v>
      </c>
      <c r="Q50" s="16">
        <f>INPUTS!Q28</f>
        <v>1.2</v>
      </c>
      <c r="R50" s="95"/>
      <c r="S50" s="9" t="s">
        <v>48</v>
      </c>
      <c r="T50" s="9">
        <v>0.106</v>
      </c>
      <c r="AM50" s="12" t="s">
        <v>73</v>
      </c>
      <c r="AN50" s="12"/>
      <c r="AO50" s="12"/>
      <c r="AP50" s="12"/>
      <c r="AQ50" s="12"/>
      <c r="AR50" s="9"/>
      <c r="AS50" s="9"/>
    </row>
    <row r="51" spans="1:45" x14ac:dyDescent="0.25">
      <c r="F51" s="1"/>
      <c r="R51" s="95"/>
      <c r="S51" s="9" t="s">
        <v>49</v>
      </c>
      <c r="T51" s="9">
        <v>1.28</v>
      </c>
      <c r="W51" s="51" t="s">
        <v>120</v>
      </c>
      <c r="X51" s="52">
        <v>180</v>
      </c>
      <c r="AM51" s="13" t="s">
        <v>74</v>
      </c>
      <c r="AN51" s="13"/>
      <c r="AO51" s="13"/>
      <c r="AP51" s="13"/>
      <c r="AQ51" s="13"/>
      <c r="AR51" s="9"/>
      <c r="AS51" s="9"/>
    </row>
    <row r="52" spans="1:45" x14ac:dyDescent="0.25">
      <c r="D52" s="27" t="s">
        <v>78</v>
      </c>
      <c r="F52" s="1"/>
      <c r="O52" s="35" t="s">
        <v>138</v>
      </c>
      <c r="P52" s="36">
        <f>K49+SUM(J37:J42)+SUM(AJ5:AJ34)</f>
        <v>5.660205295951682E-2</v>
      </c>
      <c r="R52" s="95"/>
      <c r="S52" s="9" t="s">
        <v>50</v>
      </c>
      <c r="T52" s="9">
        <v>0.8</v>
      </c>
      <c r="W52" s="51" t="s">
        <v>117</v>
      </c>
      <c r="X52" s="52">
        <v>340</v>
      </c>
      <c r="AM52" s="13"/>
      <c r="AN52" s="13"/>
      <c r="AO52" s="13"/>
      <c r="AP52" s="13"/>
      <c r="AQ52" s="13"/>
      <c r="AR52" s="9"/>
      <c r="AS52" s="9"/>
    </row>
    <row r="53" spans="1:45" x14ac:dyDescent="0.25">
      <c r="D53" s="23" t="s">
        <v>79</v>
      </c>
      <c r="E53" s="23">
        <f xml:space="preserve"> (0.000001*12) / 0.42</f>
        <v>2.8571428571428574E-5</v>
      </c>
      <c r="F53" s="24">
        <f>( 0.000001*14) / 0.135</f>
        <v>1.037037037037037E-4</v>
      </c>
      <c r="G53" s="24">
        <f>62*10^-6</f>
        <v>6.2000000000000003E-5</v>
      </c>
      <c r="J53" s="24">
        <f>( 0.000001*14) / 0.151</f>
        <v>9.2715231788079476E-5</v>
      </c>
      <c r="R53" s="95"/>
      <c r="S53" s="9" t="s">
        <v>51</v>
      </c>
      <c r="T53" s="9">
        <f>271*3600 * 24 /12</f>
        <v>1951200</v>
      </c>
      <c r="W53" s="35" t="s">
        <v>118</v>
      </c>
      <c r="X53" s="37">
        <v>12</v>
      </c>
      <c r="AM53" s="12" t="s">
        <v>75</v>
      </c>
      <c r="AN53" s="12"/>
      <c r="AO53" s="12"/>
      <c r="AP53" s="12"/>
      <c r="AQ53" s="12"/>
      <c r="AR53" s="9"/>
      <c r="AS53" s="9"/>
    </row>
    <row r="54" spans="1:45" x14ac:dyDescent="0.25">
      <c r="D54" s="23" t="s">
        <v>76</v>
      </c>
      <c r="E54" s="23">
        <f>E48*E53</f>
        <v>0</v>
      </c>
      <c r="F54" s="24">
        <f>F48*F53</f>
        <v>0</v>
      </c>
      <c r="G54" s="24"/>
      <c r="O54" s="35" t="s">
        <v>133</v>
      </c>
      <c r="P54" s="69">
        <f>E48*E53+F48*F53</f>
        <v>0</v>
      </c>
      <c r="R54" s="95"/>
      <c r="S54" s="11" t="s">
        <v>52</v>
      </c>
      <c r="T54" s="9">
        <v>1.557936E-2</v>
      </c>
      <c r="W54" s="35" t="s">
        <v>119</v>
      </c>
      <c r="X54" s="37">
        <v>12</v>
      </c>
    </row>
    <row r="55" spans="1:45" x14ac:dyDescent="0.25">
      <c r="O55" s="35" t="s">
        <v>109</v>
      </c>
      <c r="P55" s="36">
        <f t="array" ref="P55">SUM(J37:J42,AJ5:AJ34)+SUM(AE5:AE34*F53,L37:L42*F53)+SUM(AG5:AG34*J53,M37:M42*J53)+SUM(AD5:AD34*E53,O37:O42*E53)+SUM(N37:N42*E53,AF5:AF34*E53)</f>
        <v>3.349156391178508E-2</v>
      </c>
      <c r="W55" s="35" t="s">
        <v>122</v>
      </c>
      <c r="X55" s="55">
        <v>0.2</v>
      </c>
    </row>
    <row r="56" spans="1:45" x14ac:dyDescent="0.25">
      <c r="O56" s="35" t="s">
        <v>110</v>
      </c>
      <c r="P56" s="36">
        <f>K49+E49*E53+F49*F53+G49*G53</f>
        <v>4.1864454889731346E-2</v>
      </c>
    </row>
    <row r="57" spans="1:45" ht="15" customHeight="1" x14ac:dyDescent="0.25">
      <c r="A57" s="96" t="s">
        <v>156</v>
      </c>
      <c r="B57" s="7" t="s">
        <v>0</v>
      </c>
      <c r="C57" s="7" t="s">
        <v>1</v>
      </c>
      <c r="D57" s="7" t="s">
        <v>145</v>
      </c>
      <c r="E57" s="7" t="s">
        <v>146</v>
      </c>
      <c r="F57" s="7" t="s">
        <v>147</v>
      </c>
      <c r="G57" s="7" t="s">
        <v>148</v>
      </c>
      <c r="H57" s="7" t="s">
        <v>149</v>
      </c>
      <c r="I57" s="7" t="s">
        <v>150</v>
      </c>
      <c r="J57" s="7" t="s">
        <v>151</v>
      </c>
      <c r="K57" s="7" t="s">
        <v>152</v>
      </c>
      <c r="L57" s="7" t="s">
        <v>153</v>
      </c>
      <c r="M57" s="7" t="s">
        <v>154</v>
      </c>
      <c r="O57" s="35" t="s">
        <v>130</v>
      </c>
      <c r="P57" s="36">
        <f>P56+P55+P54</f>
        <v>7.5356018801516433E-2</v>
      </c>
      <c r="Q57" s="32"/>
    </row>
    <row r="58" spans="1:45" x14ac:dyDescent="0.25">
      <c r="A58" s="96"/>
      <c r="B58">
        <v>1</v>
      </c>
      <c r="C58" t="s">
        <v>30</v>
      </c>
      <c r="D58" t="s">
        <v>155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7"/>
      <c r="P58" s="38"/>
      <c r="Q58" s="1"/>
    </row>
    <row r="59" spans="1:45" x14ac:dyDescent="0.25">
      <c r="A59" s="96"/>
      <c r="B59">
        <f>B58</f>
        <v>1</v>
      </c>
      <c r="C59" t="s">
        <v>126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69">G58</f>
        <v>0</v>
      </c>
      <c r="H59">
        <v>4</v>
      </c>
      <c r="I59">
        <f t="shared" si="69"/>
        <v>20</v>
      </c>
      <c r="J59">
        <f t="shared" si="69"/>
        <v>3600</v>
      </c>
      <c r="K59">
        <f t="shared" si="69"/>
        <v>3600</v>
      </c>
      <c r="L59">
        <f t="shared" si="69"/>
        <v>0</v>
      </c>
      <c r="M59">
        <f t="shared" si="69"/>
        <v>0</v>
      </c>
      <c r="O59" s="35" t="s">
        <v>136</v>
      </c>
      <c r="P59" s="39">
        <f>1-SUM($AJ$5:$AJ$12,$J$37:$J$42)/$P$55</f>
        <v>0.39947982705353424</v>
      </c>
    </row>
    <row r="60" spans="1:45" x14ac:dyDescent="0.25">
      <c r="A60" s="96"/>
      <c r="B60">
        <f>B59</f>
        <v>1</v>
      </c>
      <c r="C60" t="s">
        <v>127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70">G58</f>
        <v>0</v>
      </c>
      <c r="H60">
        <v>5</v>
      </c>
      <c r="I60">
        <f t="shared" si="70"/>
        <v>20</v>
      </c>
      <c r="J60">
        <f t="shared" si="70"/>
        <v>3600</v>
      </c>
      <c r="K60">
        <f t="shared" si="70"/>
        <v>3600</v>
      </c>
      <c r="L60">
        <f t="shared" si="70"/>
        <v>0</v>
      </c>
      <c r="M60">
        <f t="shared" si="70"/>
        <v>0</v>
      </c>
      <c r="O60" s="35" t="s">
        <v>137</v>
      </c>
      <c r="P60" s="39">
        <f>1-$K$49/$P$56</f>
        <v>0.14979428461709776</v>
      </c>
    </row>
    <row r="61" spans="1:45" x14ac:dyDescent="0.25">
      <c r="A61" s="96"/>
      <c r="B61">
        <f>B60</f>
        <v>1</v>
      </c>
      <c r="C61" t="s">
        <v>143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71">G58</f>
        <v>0</v>
      </c>
      <c r="H61">
        <v>6</v>
      </c>
      <c r="I61">
        <f t="shared" si="71"/>
        <v>20</v>
      </c>
      <c r="J61">
        <f t="shared" si="71"/>
        <v>3600</v>
      </c>
      <c r="K61">
        <f t="shared" si="71"/>
        <v>3600</v>
      </c>
      <c r="L61">
        <f t="shared" si="71"/>
        <v>0</v>
      </c>
      <c r="M61">
        <f t="shared" si="71"/>
        <v>0</v>
      </c>
      <c r="O61" s="35" t="s">
        <v>111</v>
      </c>
      <c r="P61" s="39">
        <f>1-SUM($AJ$5:$AJ$12,$J$37:$J$42)/($P$55+N50/(1+N50)*P54)</f>
        <v>0.39947982705353424</v>
      </c>
    </row>
    <row r="62" spans="1:45" x14ac:dyDescent="0.25">
      <c r="A62" s="96"/>
      <c r="B62">
        <f>B61</f>
        <v>1</v>
      </c>
      <c r="C62" t="s">
        <v>144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72">G58</f>
        <v>0</v>
      </c>
      <c r="H62">
        <v>7</v>
      </c>
      <c r="I62">
        <f t="shared" si="72"/>
        <v>20</v>
      </c>
      <c r="J62">
        <f t="shared" si="72"/>
        <v>3600</v>
      </c>
      <c r="K62">
        <f t="shared" si="72"/>
        <v>3600</v>
      </c>
      <c r="L62">
        <f t="shared" si="72"/>
        <v>0</v>
      </c>
      <c r="M62">
        <f t="shared" si="72"/>
        <v>0</v>
      </c>
      <c r="O62" s="35" t="s">
        <v>112</v>
      </c>
      <c r="P62" s="39">
        <f>1-$K$49/($P$56+1/(1+N50)*P54)</f>
        <v>0.14979428461709776</v>
      </c>
    </row>
    <row r="64" spans="1:45" x14ac:dyDescent="0.25">
      <c r="O64" s="35" t="s">
        <v>132</v>
      </c>
      <c r="P64" s="75" t="e">
        <f>(F48*14*10^-6)/(E48*E53+F48*F53)*100</f>
        <v>#DIV/0!</v>
      </c>
    </row>
    <row r="65" spans="15:16" x14ac:dyDescent="0.25">
      <c r="O65" s="35" t="s">
        <v>131</v>
      </c>
      <c r="P65" s="75" t="e">
        <f>($Y$45*$P$55+$Q$50*$P$56+$P$54*$P$64)/$P$57</f>
        <v>#DIV/0!</v>
      </c>
    </row>
    <row r="66" spans="15:16" x14ac:dyDescent="0.25">
      <c r="O66" s="35" t="s">
        <v>135</v>
      </c>
      <c r="P66" s="75">
        <f>($Y$45*$P$55+$Q$50*$P$56)/($P$55+$P$56)</f>
        <v>2.6187313341616671</v>
      </c>
    </row>
  </sheetData>
  <mergeCells count="5">
    <mergeCell ref="A36:A42"/>
    <mergeCell ref="A47:A49"/>
    <mergeCell ref="R49:R54"/>
    <mergeCell ref="A4:A34"/>
    <mergeCell ref="A57:A6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Y44"/>
  <sheetViews>
    <sheetView topLeftCell="C1" workbookViewId="0">
      <selection activeCell="P30" sqref="P30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94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94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25</v>
      </c>
      <c r="Y5">
        <v>0.09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0">AJ5*$AP$15</f>
        <v>9.0399389163552328</v>
      </c>
      <c r="AE5" s="1">
        <f t="shared" ref="AE5:AE12" si="1">AJ5*$AQ5</f>
        <v>0.72671268051491678</v>
      </c>
      <c r="AF5" s="1">
        <f t="shared" ref="AF5:AF12" si="2">AJ5*$AQ$15</f>
        <v>9.0399389163552328</v>
      </c>
      <c r="AG5" s="33">
        <f t="shared" ref="AG5:AG12" si="3">AJ5*$AR5</f>
        <v>10.381609721641667</v>
      </c>
      <c r="AH5" s="1">
        <f>AV5</f>
        <v>2.0477283347659267E-3</v>
      </c>
      <c r="AI5" s="1">
        <f>AY5</f>
        <v>1.3244862745926676E-6</v>
      </c>
      <c r="AJ5" s="1">
        <f>AH5+AI5</f>
        <v>2.0490528210405194E-3</v>
      </c>
      <c r="AK5" s="1">
        <f>AH5*0.005</f>
        <v>1.0238641673829634E-5</v>
      </c>
      <c r="AL5">
        <f>AI5*0.005</f>
        <v>6.6224313729633385E-9</v>
      </c>
      <c r="AM5">
        <f>AK5+AL5</f>
        <v>1.0245264105202596E-5</v>
      </c>
      <c r="AN5" s="70">
        <f>AJ5+AD5*$E$31+AE5*$F$31+AG5*$J$31</f>
        <v>3.3452329382524697E-3</v>
      </c>
      <c r="AO5" s="71">
        <f>(1-AJ5/AN5)*100</f>
        <v>38.747081029552078</v>
      </c>
      <c r="AP5" s="15">
        <v>4.5999999999999996</v>
      </c>
      <c r="AQ5" s="15">
        <f t="shared" ref="AQ5:AQ12" si="4">(($AP5/100)*(1+$AR$15*$E$31)-$Y$16)/(((1+1/$X$23)*(14*10^(-6)))-(($J$31/$X$23+$F$31)*$AP5/100))</f>
        <v>354.65785608488528</v>
      </c>
      <c r="AR5" s="15">
        <f t="shared" ref="AR5:AR12" si="5">$AQ5/$X$23</f>
        <v>5066.5408012126463</v>
      </c>
      <c r="AS5" s="9">
        <v>851425</v>
      </c>
      <c r="AT5" s="10">
        <f>$T$27+$T$28*$T$30*(J5)^$T$29</f>
        <v>9.1058115591388438E-4</v>
      </c>
      <c r="AU5" s="9">
        <f t="shared" ref="AU5:AU12" si="6">J5*Y5</f>
        <v>2.6054999999999997E-3</v>
      </c>
      <c r="AV5" s="10">
        <f>((AU5-AT5)/($T$31-AS5))*(F5-$T$31)+AU5</f>
        <v>2.0477283347659267E-3</v>
      </c>
      <c r="AW5" s="10">
        <f t="shared" ref="AW5:AW12" si="7">$T$27+$T$28*$T$30*(L5)^$T$29</f>
        <v>4.0277279389003447E-3</v>
      </c>
      <c r="AX5" s="9"/>
      <c r="AY5" s="9">
        <f t="shared" ref="AY5:AY12" si="8">$AU$20*$AT$22*$AT$24*(M5)^$AT$21</f>
        <v>1.3244862745926676E-6</v>
      </c>
    </row>
    <row r="6" spans="1:51" x14ac:dyDescent="0.25">
      <c r="A6" s="94"/>
      <c r="B6">
        <v>1</v>
      </c>
      <c r="C6" t="s">
        <v>30</v>
      </c>
      <c r="D6">
        <v>4</v>
      </c>
      <c r="E6">
        <f t="shared" ref="E6:E11" si="9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0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24</v>
      </c>
      <c r="Y6">
        <v>0.14000000000000001</v>
      </c>
      <c r="Z6" t="s">
        <v>33</v>
      </c>
      <c r="AA6" t="s">
        <v>32</v>
      </c>
      <c r="AB6" t="s">
        <v>32</v>
      </c>
      <c r="AC6" t="s">
        <v>33</v>
      </c>
      <c r="AD6" s="1">
        <f t="shared" si="0"/>
        <v>3.5017162544188412</v>
      </c>
      <c r="AE6" s="1">
        <f t="shared" si="1"/>
        <v>0.40920508349031792</v>
      </c>
      <c r="AF6" s="1">
        <f t="shared" si="2"/>
        <v>3.5017162544188412</v>
      </c>
      <c r="AG6" s="33">
        <f t="shared" si="3"/>
        <v>5.8457869070045412</v>
      </c>
      <c r="AH6" s="1">
        <f>AW6</f>
        <v>7.9355355356128927E-4</v>
      </c>
      <c r="AI6" s="1">
        <f>AY6</f>
        <v>1.6879744031468265E-7</v>
      </c>
      <c r="AJ6">
        <f t="shared" ref="AJ6:AJ12" si="11">AH6+AI6</f>
        <v>7.9372235100160394E-4</v>
      </c>
      <c r="AK6">
        <f t="shared" ref="AK6:AL12" si="12">AH6*0.005</f>
        <v>3.9677677678064465E-6</v>
      </c>
      <c r="AL6">
        <f t="shared" si="12"/>
        <v>8.4398720157341326E-10</v>
      </c>
      <c r="AM6">
        <f t="shared" ref="AM6:AM12" si="13">AK6+AL6</f>
        <v>3.9686117550080197E-6</v>
      </c>
      <c r="AN6" s="70">
        <f t="shared" ref="AN6:AN12" si="14">AJ6+AD6*$E$31+AE6*$F$31+AG6*$J$31</f>
        <v>1.4782009576411177E-3</v>
      </c>
      <c r="AO6" s="71">
        <f>(1-AJ6/AN6)*100</f>
        <v>46.304841239704672</v>
      </c>
      <c r="AP6" s="15">
        <v>5.8</v>
      </c>
      <c r="AQ6" s="15">
        <f t="shared" si="4"/>
        <v>515.55192187033549</v>
      </c>
      <c r="AR6" s="15">
        <f t="shared" si="5"/>
        <v>7365.0274552905066</v>
      </c>
      <c r="AS6" s="9">
        <v>818263</v>
      </c>
      <c r="AT6" s="10">
        <f>$T$27+$T$28*$T$30*(J6)^$T$29</f>
        <v>9.1017858127080242E-4</v>
      </c>
      <c r="AU6" s="9">
        <f t="shared" si="6"/>
        <v>4.0516000000000007E-3</v>
      </c>
      <c r="AV6" s="10">
        <f>((AU6-AT6)/($T$31-AS6))*(F6-$T$31)+AU6</f>
        <v>7.9411698532703143E-4</v>
      </c>
      <c r="AW6" s="10">
        <f t="shared" si="7"/>
        <v>7.9355355356128927E-4</v>
      </c>
      <c r="AX6" s="9"/>
      <c r="AY6" s="9">
        <f t="shared" si="8"/>
        <v>1.6879744031468265E-7</v>
      </c>
    </row>
    <row r="7" spans="1:51" x14ac:dyDescent="0.25">
      <c r="A7" s="94"/>
      <c r="B7">
        <v>1</v>
      </c>
      <c r="C7" t="s">
        <v>30</v>
      </c>
      <c r="D7">
        <v>5</v>
      </c>
      <c r="E7">
        <f t="shared" si="9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0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0"/>
        <v>0.13143561599020981</v>
      </c>
      <c r="AE7" s="1">
        <f t="shared" si="1"/>
        <v>1.5359360469885189E-2</v>
      </c>
      <c r="AF7" s="1">
        <f t="shared" si="2"/>
        <v>0.13143561599020981</v>
      </c>
      <c r="AG7" s="33">
        <f t="shared" si="3"/>
        <v>0.21941943528407412</v>
      </c>
      <c r="AH7" s="1">
        <f>AW7</f>
        <v>2.9792072957780891E-5</v>
      </c>
      <c r="AI7" s="1">
        <v>0</v>
      </c>
      <c r="AJ7">
        <f t="shared" si="11"/>
        <v>2.9792072957780891E-5</v>
      </c>
      <c r="AK7">
        <f t="shared" si="12"/>
        <v>1.4896036478890447E-7</v>
      </c>
      <c r="AL7">
        <f t="shared" si="12"/>
        <v>0</v>
      </c>
      <c r="AM7">
        <f t="shared" si="13"/>
        <v>1.4896036478890447E-7</v>
      </c>
      <c r="AN7" s="70">
        <f t="shared" si="14"/>
        <v>5.5483722640206677E-5</v>
      </c>
      <c r="AO7" s="71">
        <f t="shared" ref="AO7:AO12" si="15">(1-AJ7/AN7)*100</f>
        <v>46.304841239704686</v>
      </c>
      <c r="AP7" s="15">
        <v>5.8</v>
      </c>
      <c r="AQ7" s="15">
        <f t="shared" si="4"/>
        <v>515.55192187033549</v>
      </c>
      <c r="AR7" s="15">
        <f t="shared" si="5"/>
        <v>7365.0274552905066</v>
      </c>
      <c r="AS7" s="9"/>
      <c r="AT7" s="10" t="e">
        <f t="shared" ref="AT7:AT12" si="16">$T$27+$T$28*$T$30*(T7*$T$32)^$T$29</f>
        <v>#VALUE!</v>
      </c>
      <c r="AU7" s="9" t="e">
        <f t="shared" si="6"/>
        <v>#VALUE!</v>
      </c>
      <c r="AV7" s="10" t="e">
        <f t="shared" ref="AV7:AV12" si="17">AT7+((AU7-AT7)/$T$31)*F7</f>
        <v>#VALUE!</v>
      </c>
      <c r="AW7" s="10">
        <f t="shared" si="7"/>
        <v>2.9792072957780891E-5</v>
      </c>
      <c r="AX7" s="9"/>
      <c r="AY7" s="9">
        <f t="shared" si="8"/>
        <v>0</v>
      </c>
    </row>
    <row r="8" spans="1:51" x14ac:dyDescent="0.25">
      <c r="A8" s="94"/>
      <c r="B8">
        <v>1</v>
      </c>
      <c r="C8" t="s">
        <v>30</v>
      </c>
      <c r="D8">
        <v>6</v>
      </c>
      <c r="E8">
        <f t="shared" si="9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8">J7-M8</f>
        <v>2.894E-2</v>
      </c>
      <c r="K8" s="48">
        <f t="shared" si="10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0"/>
        <v>3.5630437425207336E-2</v>
      </c>
      <c r="AE8" s="1">
        <f t="shared" si="1"/>
        <v>4.1637171781065104E-3</v>
      </c>
      <c r="AF8" s="1">
        <f t="shared" si="2"/>
        <v>3.5630437425207336E-2</v>
      </c>
      <c r="AG8" s="33">
        <f t="shared" si="3"/>
        <v>5.948167397295015E-2</v>
      </c>
      <c r="AH8" s="1">
        <f t="shared" ref="AH8:AH12" si="19">AW8</f>
        <v>8.076232483046996E-6</v>
      </c>
      <c r="AI8" s="1">
        <v>0</v>
      </c>
      <c r="AJ8">
        <f t="shared" si="11"/>
        <v>8.076232483046996E-6</v>
      </c>
      <c r="AK8">
        <f t="shared" si="12"/>
        <v>4.0381162415234981E-8</v>
      </c>
      <c r="AL8">
        <f t="shared" si="12"/>
        <v>0</v>
      </c>
      <c r="AM8">
        <f t="shared" si="13"/>
        <v>4.0381162415234981E-8</v>
      </c>
      <c r="AN8" s="70">
        <f t="shared" si="14"/>
        <v>1.5040895062999488E-5</v>
      </c>
      <c r="AO8" s="71">
        <f t="shared" si="15"/>
        <v>46.304841239704672</v>
      </c>
      <c r="AP8" s="15">
        <v>5.8</v>
      </c>
      <c r="AQ8" s="15">
        <f t="shared" si="4"/>
        <v>515.55192187033549</v>
      </c>
      <c r="AR8" s="15">
        <f t="shared" si="5"/>
        <v>7365.0274552905066</v>
      </c>
      <c r="AS8" s="9"/>
      <c r="AT8" s="10" t="e">
        <f t="shared" si="16"/>
        <v>#VALUE!</v>
      </c>
      <c r="AU8" s="9" t="e">
        <f t="shared" si="6"/>
        <v>#VALUE!</v>
      </c>
      <c r="AV8" s="10" t="e">
        <f t="shared" si="17"/>
        <v>#VALUE!</v>
      </c>
      <c r="AW8" s="10">
        <f t="shared" si="7"/>
        <v>8.076232483046996E-6</v>
      </c>
      <c r="AX8" s="9"/>
      <c r="AY8" s="9">
        <f t="shared" si="8"/>
        <v>0</v>
      </c>
    </row>
    <row r="9" spans="1:51" x14ac:dyDescent="0.25">
      <c r="A9" s="94"/>
      <c r="B9">
        <v>1</v>
      </c>
      <c r="C9" t="s">
        <v>30</v>
      </c>
      <c r="D9">
        <v>7</v>
      </c>
      <c r="E9">
        <f t="shared" si="9"/>
        <v>1643760</v>
      </c>
      <c r="F9">
        <v>0</v>
      </c>
      <c r="G9">
        <v>0</v>
      </c>
      <c r="H9" t="s">
        <v>31</v>
      </c>
      <c r="I9" t="s">
        <v>33</v>
      </c>
      <c r="J9">
        <f t="shared" si="18"/>
        <v>2.894E-2</v>
      </c>
      <c r="K9" s="48">
        <f t="shared" si="10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0"/>
        <v>1.2193691971899337E-2</v>
      </c>
      <c r="AE9" s="1">
        <f t="shared" si="1"/>
        <v>1.4249357683163858E-3</v>
      </c>
      <c r="AF9" s="1">
        <f t="shared" si="2"/>
        <v>1.2193691971899337E-2</v>
      </c>
      <c r="AG9" s="33">
        <f t="shared" si="3"/>
        <v>2.0356225261662652E-2</v>
      </c>
      <c r="AH9" s="1">
        <f t="shared" si="19"/>
        <v>2.7639035136305163E-6</v>
      </c>
      <c r="AI9" s="1">
        <v>0</v>
      </c>
      <c r="AJ9">
        <f t="shared" si="11"/>
        <v>2.7639035136305163E-6</v>
      </c>
      <c r="AK9">
        <f t="shared" si="12"/>
        <v>1.3819517568152583E-8</v>
      </c>
      <c r="AL9">
        <f t="shared" si="12"/>
        <v>0</v>
      </c>
      <c r="AM9">
        <f t="shared" si="13"/>
        <v>1.3819517568152583E-8</v>
      </c>
      <c r="AN9" s="70">
        <f t="shared" si="14"/>
        <v>5.147397973007344E-6</v>
      </c>
      <c r="AO9" s="71">
        <f t="shared" si="15"/>
        <v>46.304841239704686</v>
      </c>
      <c r="AP9" s="15">
        <v>5.8</v>
      </c>
      <c r="AQ9" s="15">
        <f t="shared" si="4"/>
        <v>515.55192187033549</v>
      </c>
      <c r="AR9" s="15">
        <f t="shared" si="5"/>
        <v>7365.0274552905066</v>
      </c>
      <c r="AS9" s="9"/>
      <c r="AT9" s="10" t="e">
        <f t="shared" si="16"/>
        <v>#VALUE!</v>
      </c>
      <c r="AU9" s="9" t="e">
        <f t="shared" si="6"/>
        <v>#VALUE!</v>
      </c>
      <c r="AV9" s="10" t="e">
        <f t="shared" si="17"/>
        <v>#VALUE!</v>
      </c>
      <c r="AW9" s="10">
        <f t="shared" si="7"/>
        <v>2.7639035136305163E-6</v>
      </c>
      <c r="AX9" s="9"/>
      <c r="AY9" s="9">
        <f t="shared" si="8"/>
        <v>0</v>
      </c>
    </row>
    <row r="10" spans="1:51" x14ac:dyDescent="0.25">
      <c r="A10" s="94"/>
      <c r="B10">
        <v>1</v>
      </c>
      <c r="C10" t="s">
        <v>30</v>
      </c>
      <c r="D10">
        <v>8</v>
      </c>
      <c r="E10">
        <f t="shared" si="9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8"/>
        <v>2.894E-2</v>
      </c>
      <c r="K10" s="48">
        <f t="shared" si="10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0"/>
        <v>5.2963394285683064E-3</v>
      </c>
      <c r="AE10" s="1">
        <f t="shared" si="1"/>
        <v>6.1892194015589891E-4</v>
      </c>
      <c r="AF10" s="1">
        <f t="shared" si="2"/>
        <v>5.2963394285683064E-3</v>
      </c>
      <c r="AG10" s="33">
        <f t="shared" si="3"/>
        <v>8.8417420022271279E-3</v>
      </c>
      <c r="AH10" s="1">
        <f t="shared" si="19"/>
        <v>1.2005036038088161E-6</v>
      </c>
      <c r="AI10" s="1">
        <v>0</v>
      </c>
      <c r="AJ10">
        <f t="shared" si="11"/>
        <v>1.2005036038088161E-6</v>
      </c>
      <c r="AK10">
        <f t="shared" si="12"/>
        <v>6.0025180190440811E-9</v>
      </c>
      <c r="AL10">
        <f t="shared" si="12"/>
        <v>0</v>
      </c>
      <c r="AM10">
        <f t="shared" si="13"/>
        <v>6.0025180190440811E-9</v>
      </c>
      <c r="AN10" s="70">
        <f t="shared" si="14"/>
        <v>2.235776244126731E-6</v>
      </c>
      <c r="AO10" s="71">
        <f t="shared" si="15"/>
        <v>46.304841239704672</v>
      </c>
      <c r="AP10" s="15">
        <v>5.8</v>
      </c>
      <c r="AQ10" s="15">
        <f t="shared" si="4"/>
        <v>515.55192187033549</v>
      </c>
      <c r="AR10" s="15">
        <f t="shared" si="5"/>
        <v>7365.0274552905066</v>
      </c>
      <c r="AS10" s="9"/>
      <c r="AT10" s="10" t="e">
        <f t="shared" si="16"/>
        <v>#VALUE!</v>
      </c>
      <c r="AU10" s="9" t="e">
        <f t="shared" si="6"/>
        <v>#VALUE!</v>
      </c>
      <c r="AV10" s="10" t="e">
        <f t="shared" si="17"/>
        <v>#VALUE!</v>
      </c>
      <c r="AW10" s="10">
        <f t="shared" si="7"/>
        <v>1.2005036038088161E-6</v>
      </c>
      <c r="AX10" s="9"/>
      <c r="AY10" s="9">
        <f t="shared" si="8"/>
        <v>0</v>
      </c>
    </row>
    <row r="11" spans="1:51" x14ac:dyDescent="0.25">
      <c r="A11" s="94"/>
      <c r="B11">
        <v>1</v>
      </c>
      <c r="C11" t="s">
        <v>30</v>
      </c>
      <c r="D11">
        <v>9</v>
      </c>
      <c r="E11">
        <f t="shared" si="9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8"/>
        <v>2.894E-2</v>
      </c>
      <c r="K11" s="48">
        <f t="shared" si="10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0"/>
        <v>1.9146799290632522E-3</v>
      </c>
      <c r="AE11" s="1">
        <f t="shared" si="1"/>
        <v>2.2374650123089325E-4</v>
      </c>
      <c r="AF11" s="1">
        <f t="shared" si="2"/>
        <v>1.9146799290632522E-3</v>
      </c>
      <c r="AG11" s="33">
        <f t="shared" si="3"/>
        <v>3.1963785890127606E-3</v>
      </c>
      <c r="AH11" s="1">
        <f t="shared" si="19"/>
        <v>4.3399411725433714E-7</v>
      </c>
      <c r="AI11" s="1">
        <v>0</v>
      </c>
      <c r="AJ11">
        <f t="shared" si="11"/>
        <v>4.3399411725433714E-7</v>
      </c>
      <c r="AK11">
        <f t="shared" si="12"/>
        <v>2.1699705862716857E-9</v>
      </c>
      <c r="AL11">
        <f t="shared" si="12"/>
        <v>0</v>
      </c>
      <c r="AM11">
        <f t="shared" si="13"/>
        <v>2.1699705862716857E-9</v>
      </c>
      <c r="AN11" s="70">
        <f t="shared" si="14"/>
        <v>8.0825558071587727E-7</v>
      </c>
      <c r="AO11" s="71">
        <f t="shared" si="15"/>
        <v>46.304841239704686</v>
      </c>
      <c r="AP11" s="15">
        <v>5.8</v>
      </c>
      <c r="AQ11" s="15">
        <f t="shared" si="4"/>
        <v>515.55192187033549</v>
      </c>
      <c r="AR11" s="15">
        <f t="shared" si="5"/>
        <v>7365.0274552905066</v>
      </c>
      <c r="AS11" s="9"/>
      <c r="AT11" s="10" t="e">
        <f t="shared" si="16"/>
        <v>#VALUE!</v>
      </c>
      <c r="AU11" s="9" t="e">
        <f t="shared" si="6"/>
        <v>#VALUE!</v>
      </c>
      <c r="AV11" s="10" t="e">
        <f t="shared" si="17"/>
        <v>#VALUE!</v>
      </c>
      <c r="AW11" s="10">
        <f t="shared" si="7"/>
        <v>4.3399411725433714E-7</v>
      </c>
      <c r="AX11" s="9"/>
      <c r="AY11" s="9">
        <f t="shared" si="8"/>
        <v>0</v>
      </c>
    </row>
    <row r="12" spans="1:51" x14ac:dyDescent="0.25">
      <c r="A12" s="94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8"/>
        <v>2.894E-2</v>
      </c>
      <c r="K12" s="48">
        <f t="shared" si="10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0"/>
        <v>1.2855761246405892E-3</v>
      </c>
      <c r="AE12" s="1">
        <f t="shared" si="1"/>
        <v>1.5023041480099003E-4</v>
      </c>
      <c r="AF12" s="1">
        <f t="shared" si="2"/>
        <v>1.2855761246405892E-3</v>
      </c>
      <c r="AG12" s="33">
        <f t="shared" si="3"/>
        <v>2.1461487828712861E-3</v>
      </c>
      <c r="AH12" s="1">
        <f t="shared" si="19"/>
        <v>2.9139725491853351E-7</v>
      </c>
      <c r="AI12" s="1">
        <v>0</v>
      </c>
      <c r="AJ12">
        <f t="shared" si="11"/>
        <v>2.9139725491853351E-7</v>
      </c>
      <c r="AK12">
        <f t="shared" si="12"/>
        <v>1.4569862745926675E-9</v>
      </c>
      <c r="AL12">
        <f t="shared" si="12"/>
        <v>0</v>
      </c>
      <c r="AM12">
        <f t="shared" si="13"/>
        <v>1.4569862745926675E-9</v>
      </c>
      <c r="AN12" s="73">
        <f t="shared" si="14"/>
        <v>5.4268813361625835E-7</v>
      </c>
      <c r="AO12" s="72">
        <f t="shared" si="15"/>
        <v>46.304841239704686</v>
      </c>
      <c r="AP12" s="16">
        <v>5.8</v>
      </c>
      <c r="AQ12" s="16">
        <f t="shared" si="4"/>
        <v>515.55192187033549</v>
      </c>
      <c r="AR12" s="16">
        <f t="shared" si="5"/>
        <v>7365.0274552905066</v>
      </c>
      <c r="AS12" s="9"/>
      <c r="AT12" s="10" t="e">
        <f t="shared" si="16"/>
        <v>#VALUE!</v>
      </c>
      <c r="AU12" s="9" t="e">
        <f t="shared" si="6"/>
        <v>#VALUE!</v>
      </c>
      <c r="AV12" s="10" t="e">
        <f t="shared" si="17"/>
        <v>#VALUE!</v>
      </c>
      <c r="AW12" s="10">
        <f t="shared" si="7"/>
        <v>2.9139725491853351E-7</v>
      </c>
      <c r="AX12" s="9"/>
      <c r="AY12" s="9">
        <f t="shared" si="8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94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141</v>
      </c>
      <c r="H14" s="47" t="s">
        <v>36</v>
      </c>
      <c r="I14" s="47" t="s">
        <v>37</v>
      </c>
      <c r="J14" s="7" t="s">
        <v>27</v>
      </c>
      <c r="K14" s="7" t="s">
        <v>43</v>
      </c>
      <c r="L14" s="7" t="s">
        <v>22</v>
      </c>
      <c r="M14" s="7" t="s">
        <v>24</v>
      </c>
      <c r="N14" s="7" t="s">
        <v>23</v>
      </c>
      <c r="O14" s="7" t="s">
        <v>21</v>
      </c>
      <c r="P14" s="7" t="s">
        <v>44</v>
      </c>
      <c r="Q14" s="7" t="s">
        <v>45</v>
      </c>
      <c r="R14" s="7" t="s">
        <v>86</v>
      </c>
      <c r="S14" s="7" t="s">
        <v>66</v>
      </c>
      <c r="T14" s="7" t="s">
        <v>64</v>
      </c>
      <c r="U14" s="14" t="s">
        <v>62</v>
      </c>
      <c r="V14" s="14" t="s">
        <v>108</v>
      </c>
      <c r="W14" s="14" t="s">
        <v>22</v>
      </c>
      <c r="X14" s="14" t="s">
        <v>24</v>
      </c>
      <c r="AA14" s="14" t="s">
        <v>23</v>
      </c>
      <c r="AB14" s="5"/>
      <c r="AC14" s="14" t="s">
        <v>45</v>
      </c>
      <c r="AD14" s="14" t="s">
        <v>77</v>
      </c>
      <c r="AE14" s="14" t="s">
        <v>129</v>
      </c>
      <c r="AF14" s="5"/>
      <c r="AG14" s="5"/>
      <c r="AO14" s="25"/>
      <c r="AP14" s="80" t="s">
        <v>21</v>
      </c>
      <c r="AQ14" s="80" t="s">
        <v>139</v>
      </c>
      <c r="AR14" s="81" t="s">
        <v>116</v>
      </c>
    </row>
    <row r="15" spans="1:51" x14ac:dyDescent="0.25">
      <c r="A15" s="94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f>280</f>
        <v>280</v>
      </c>
      <c r="H15" s="48">
        <v>8.2000000000000003E-2</v>
      </c>
      <c r="I15" s="48" t="s">
        <v>33</v>
      </c>
      <c r="J15">
        <f>P15*$U$15</f>
        <v>2.9299499999999997E-3</v>
      </c>
      <c r="K15">
        <f>J15*0.005</f>
        <v>1.464975E-5</v>
      </c>
      <c r="L15">
        <f>J15*$W15</f>
        <v>0.83374625245988043</v>
      </c>
      <c r="M15">
        <f t="shared" ref="M15:M20" si="20">J15*$X15</f>
        <v>11.910660749426862</v>
      </c>
      <c r="N15">
        <f t="shared" ref="N15:N20" si="21">AA15*$J15</f>
        <v>0</v>
      </c>
      <c r="O15" s="1">
        <f t="shared" ref="O15:O20" si="22">J15*$AB$16</f>
        <v>12.92625</v>
      </c>
      <c r="P15">
        <v>1.9532999999999999E-4</v>
      </c>
      <c r="Q15" s="1">
        <f t="shared" ref="Q15:Q20" si="23">J15*$AC15</f>
        <v>0.19337669999999998</v>
      </c>
      <c r="R15">
        <v>0.8</v>
      </c>
      <c r="S15">
        <v>0</v>
      </c>
      <c r="T15">
        <v>0</v>
      </c>
      <c r="U15" s="15">
        <v>15</v>
      </c>
      <c r="V15" s="15">
        <v>4.3</v>
      </c>
      <c r="W15" s="15">
        <f t="shared" ref="W15:W20" si="24">(($V15/100)*(1+$AB$16*$E$31)-$Y$16)/(((1+1/$X$23)*(14*10^(-6)))-(($J$31/$X$23+$F$31)*$V15/100))</f>
        <v>284.55989094007765</v>
      </c>
      <c r="X15" s="15">
        <f>$W15/$X$23</f>
        <v>4065.1412991439661</v>
      </c>
      <c r="Y15" s="80" t="s">
        <v>43</v>
      </c>
      <c r="Z15" s="80" t="s">
        <v>27</v>
      </c>
      <c r="AA15" s="89">
        <f t="shared" ref="AA15:AA20" si="25">IF(F15="HiddenElement",$AA$22/100/(1-$X$33)*$X$32*10^6/$X$30,0)</f>
        <v>0</v>
      </c>
      <c r="AB15" s="88" t="s">
        <v>21</v>
      </c>
      <c r="AC15" s="15">
        <f t="shared" ref="AC15:AC20" si="26">ROUND(X15/$AR$6*120,0)</f>
        <v>66</v>
      </c>
      <c r="AD15" s="15">
        <f>J15+L15*$F$31+M15*$J$31+O15*$E$31</f>
        <v>4.4900336750328933E-3</v>
      </c>
      <c r="AE15" s="71">
        <f>(1-J15/AD15)*100</f>
        <v>34.745478273533536</v>
      </c>
      <c r="AF15" s="1"/>
      <c r="AO15" s="82"/>
      <c r="AP15" s="84">
        <f>$AP$16/100/(1-$X$33)*$X$32*10^6/$X$30</f>
        <v>4411.7647058823532</v>
      </c>
      <c r="AQ15" s="84">
        <f>$AQ$16/100/(1-$X$33)*$X$32*10^6/$X$30</f>
        <v>4411.7647058823532</v>
      </c>
      <c r="AR15" s="85">
        <f>AQ15+AP15</f>
        <v>8823.5294117647063</v>
      </c>
    </row>
    <row r="16" spans="1:51" x14ac:dyDescent="0.25">
      <c r="A16" s="94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f>280</f>
        <v>280</v>
      </c>
      <c r="H16" s="48">
        <v>2.8500000000000001E-2</v>
      </c>
      <c r="I16" s="48" t="s">
        <v>33</v>
      </c>
      <c r="J16">
        <f>H16*$U$16</f>
        <v>1.7099999999999999E-3</v>
      </c>
      <c r="K16">
        <f t="shared" ref="K16:K20" si="27">J16*0.005</f>
        <v>8.5499999999999995E-6</v>
      </c>
      <c r="L16">
        <f>J16*$W16</f>
        <v>0.13866650720952142</v>
      </c>
      <c r="M16">
        <f t="shared" si="20"/>
        <v>1.9809501029931631</v>
      </c>
      <c r="N16">
        <f t="shared" si="21"/>
        <v>0</v>
      </c>
      <c r="O16" s="1">
        <f t="shared" si="22"/>
        <v>7.5441176470588234</v>
      </c>
      <c r="P16">
        <v>2.6861000000000002E-4</v>
      </c>
      <c r="Q16" s="1">
        <f t="shared" si="23"/>
        <v>3.2489999999999998E-2</v>
      </c>
      <c r="R16">
        <v>0.4</v>
      </c>
      <c r="S16">
        <v>0</v>
      </c>
      <c r="T16">
        <v>0</v>
      </c>
      <c r="U16" s="15">
        <v>0.06</v>
      </c>
      <c r="V16" s="15">
        <v>1.8</v>
      </c>
      <c r="W16" s="15">
        <f t="shared" si="24"/>
        <v>81.091524683930658</v>
      </c>
      <c r="X16" s="15">
        <f>$W16/$X$23</f>
        <v>1158.4503526275807</v>
      </c>
      <c r="Y16" s="19">
        <v>5.0000000000000001E-3</v>
      </c>
      <c r="Z16" s="19">
        <v>1</v>
      </c>
      <c r="AA16" s="89">
        <f t="shared" si="25"/>
        <v>0</v>
      </c>
      <c r="AB16" s="56">
        <f>$AB$17/100/(1-$X$33)*$X$32*10^6/$X$30</f>
        <v>4411.7647058823532</v>
      </c>
      <c r="AC16" s="15">
        <f t="shared" si="26"/>
        <v>19</v>
      </c>
      <c r="AD16" s="15">
        <f t="shared" ref="AD16:AD20" si="28">J16+L16*$F$31+M16*$J$31+O16*$E$31</f>
        <v>2.1235906968243095E-3</v>
      </c>
      <c r="AE16" s="71">
        <f t="shared" ref="AE16:AE20" si="29">(1-J16/AD16)*100</f>
        <v>19.476008132961187</v>
      </c>
      <c r="AF16" s="1"/>
      <c r="AO16" s="83" t="s">
        <v>140</v>
      </c>
      <c r="AP16" s="86">
        <v>10</v>
      </c>
      <c r="AQ16" s="86">
        <v>10</v>
      </c>
      <c r="AR16" s="87">
        <f>AQ16+AP16</f>
        <v>20</v>
      </c>
    </row>
    <row r="17" spans="1:47" x14ac:dyDescent="0.25">
      <c r="A17" s="94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180</v>
      </c>
      <c r="H17" s="48">
        <v>9.1999999999999998E-2</v>
      </c>
      <c r="I17" s="48" t="s">
        <v>33</v>
      </c>
      <c r="J17">
        <f>P17*$U$17</f>
        <v>5.5446100000000002E-3</v>
      </c>
      <c r="K17">
        <f t="shared" si="27"/>
        <v>2.7723050000000002E-5</v>
      </c>
      <c r="L17">
        <f t="shared" ref="L17:L20" si="30">J17*$W17</f>
        <v>1.8698715113456938</v>
      </c>
      <c r="M17">
        <f t="shared" si="20"/>
        <v>26.712450162081335</v>
      </c>
      <c r="N17">
        <f t="shared" si="21"/>
        <v>0</v>
      </c>
      <c r="O17" s="1">
        <f t="shared" si="22"/>
        <v>24.461514705882355</v>
      </c>
      <c r="P17">
        <v>2.4106999999999999E-4</v>
      </c>
      <c r="Q17" s="1">
        <f t="shared" si="23"/>
        <v>0.43247958000000003</v>
      </c>
      <c r="R17">
        <v>1</v>
      </c>
      <c r="S17">
        <v>0</v>
      </c>
      <c r="T17">
        <v>0</v>
      </c>
      <c r="U17" s="15">
        <v>23</v>
      </c>
      <c r="V17" s="15">
        <v>4.8</v>
      </c>
      <c r="W17" s="15">
        <f t="shared" si="24"/>
        <v>337.24130486106213</v>
      </c>
      <c r="X17" s="15">
        <f t="shared" ref="X17:X20" si="31">$W17/$X$23</f>
        <v>4817.732926586601</v>
      </c>
      <c r="Z17" s="28"/>
      <c r="AA17" s="89">
        <f t="shared" si="25"/>
        <v>0</v>
      </c>
      <c r="AB17" s="53">
        <v>10</v>
      </c>
      <c r="AC17" s="15">
        <f t="shared" si="26"/>
        <v>78</v>
      </c>
      <c r="AD17" s="15">
        <f t="shared" si="28"/>
        <v>8.9140740297495493E-3</v>
      </c>
      <c r="AE17" s="71">
        <f t="shared" si="29"/>
        <v>37.799372301648006</v>
      </c>
      <c r="AF17" s="1"/>
      <c r="AG17" s="1"/>
    </row>
    <row r="18" spans="1:47" x14ac:dyDescent="0.25">
      <c r="A18" s="94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180</v>
      </c>
      <c r="H18" s="48">
        <v>2.8500000000000001E-2</v>
      </c>
      <c r="I18" s="48" t="s">
        <v>33</v>
      </c>
      <c r="J18">
        <f>H18*$U$18</f>
        <v>2.2800000000000003E-3</v>
      </c>
      <c r="K18">
        <f t="shared" si="27"/>
        <v>1.1400000000000003E-5</v>
      </c>
      <c r="L18">
        <f t="shared" si="30"/>
        <v>0.26304034345651023</v>
      </c>
      <c r="M18">
        <f t="shared" si="20"/>
        <v>3.7577191922358604</v>
      </c>
      <c r="N18">
        <f t="shared" si="21"/>
        <v>3.0176470588235293</v>
      </c>
      <c r="O18" s="1">
        <f t="shared" si="22"/>
        <v>10.058823529411766</v>
      </c>
      <c r="P18">
        <v>2.4800000000000001E-4</v>
      </c>
      <c r="Q18" s="1">
        <f t="shared" si="23"/>
        <v>6.1560000000000011E-2</v>
      </c>
      <c r="R18">
        <v>0.5</v>
      </c>
      <c r="S18">
        <v>0</v>
      </c>
      <c r="T18">
        <v>0</v>
      </c>
      <c r="U18" s="15">
        <v>0.08</v>
      </c>
      <c r="V18" s="15">
        <v>2.2999999999999998</v>
      </c>
      <c r="W18" s="15">
        <f t="shared" si="24"/>
        <v>115.36857169145185</v>
      </c>
      <c r="X18" s="15">
        <f t="shared" si="31"/>
        <v>1648.1224527350262</v>
      </c>
      <c r="AA18" s="89">
        <f t="shared" si="25"/>
        <v>1323.5294117647056</v>
      </c>
      <c r="AB18" s="54" t="s">
        <v>121</v>
      </c>
      <c r="AC18" s="15">
        <f t="shared" si="26"/>
        <v>27</v>
      </c>
      <c r="AD18" s="15">
        <f t="shared" si="28"/>
        <v>2.9430710217257907E-3</v>
      </c>
      <c r="AE18" s="71">
        <f t="shared" si="29"/>
        <v>22.529902161075654</v>
      </c>
      <c r="AF18" s="1"/>
      <c r="AG18" s="1"/>
    </row>
    <row r="19" spans="1:47" x14ac:dyDescent="0.25">
      <c r="A19" s="94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180</v>
      </c>
      <c r="H19" s="48">
        <v>5.0000000000000001E-4</v>
      </c>
      <c r="I19" s="48" t="s">
        <v>33</v>
      </c>
      <c r="J19">
        <f>H19*$U$19</f>
        <v>4.0000000000000003E-5</v>
      </c>
      <c r="K19">
        <f t="shared" si="27"/>
        <v>2.0000000000000002E-7</v>
      </c>
      <c r="L19">
        <f t="shared" si="30"/>
        <v>4.6147428676580745E-3</v>
      </c>
      <c r="M19">
        <f t="shared" si="20"/>
        <v>6.5924898109401053E-2</v>
      </c>
      <c r="N19">
        <f t="shared" si="21"/>
        <v>0</v>
      </c>
      <c r="O19" s="1">
        <f t="shared" si="22"/>
        <v>0.17647058823529413</v>
      </c>
      <c r="P19">
        <v>4.7099999999999998E-6</v>
      </c>
      <c r="Q19" s="1">
        <f t="shared" si="23"/>
        <v>1.08E-3</v>
      </c>
      <c r="R19">
        <v>0.5</v>
      </c>
      <c r="S19">
        <v>0</v>
      </c>
      <c r="T19">
        <v>0</v>
      </c>
      <c r="U19" s="15">
        <v>0.08</v>
      </c>
      <c r="V19" s="15">
        <v>2.2999999999999998</v>
      </c>
      <c r="W19" s="15">
        <f t="shared" si="24"/>
        <v>115.36857169145185</v>
      </c>
      <c r="X19" s="15">
        <f t="shared" si="31"/>
        <v>1648.1224527350262</v>
      </c>
      <c r="AA19" s="89">
        <f t="shared" si="25"/>
        <v>0</v>
      </c>
      <c r="AB19" s="1"/>
      <c r="AC19" s="15">
        <f t="shared" si="26"/>
        <v>27</v>
      </c>
      <c r="AD19" s="15">
        <f t="shared" si="28"/>
        <v>5.1632824942557729E-5</v>
      </c>
      <c r="AE19" s="71">
        <f t="shared" si="29"/>
        <v>22.529902161075654</v>
      </c>
      <c r="AS19" s="78" t="s">
        <v>57</v>
      </c>
      <c r="AT19" s="9" t="s">
        <v>47</v>
      </c>
      <c r="AU19" s="10">
        <v>0</v>
      </c>
    </row>
    <row r="20" spans="1:47" x14ac:dyDescent="0.25">
      <c r="A20" s="94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80</v>
      </c>
      <c r="H20" s="48">
        <v>6.0421565000000003E-2</v>
      </c>
      <c r="I20" s="48" t="s">
        <v>31</v>
      </c>
      <c r="J20">
        <f>P20*$U$20</f>
        <v>4.8002499999999998E-3</v>
      </c>
      <c r="K20">
        <f t="shared" si="27"/>
        <v>2.400125E-5</v>
      </c>
      <c r="L20">
        <f t="shared" si="30"/>
        <v>1.7828540571126534</v>
      </c>
      <c r="M20">
        <f t="shared" si="20"/>
        <v>25.469343673037901</v>
      </c>
      <c r="N20">
        <f t="shared" si="21"/>
        <v>0</v>
      </c>
      <c r="O20" s="1">
        <f t="shared" si="22"/>
        <v>21.177573529411767</v>
      </c>
      <c r="P20">
        <v>1.9201E-4</v>
      </c>
      <c r="Q20" s="1">
        <f t="shared" si="23"/>
        <v>0.41282150000000001</v>
      </c>
      <c r="R20">
        <v>1.2</v>
      </c>
      <c r="S20">
        <v>0</v>
      </c>
      <c r="T20">
        <v>0</v>
      </c>
      <c r="U20" s="16">
        <v>25</v>
      </c>
      <c r="V20" s="16">
        <v>5.0999999999999996</v>
      </c>
      <c r="W20" s="16">
        <f t="shared" si="24"/>
        <v>371.40858436803364</v>
      </c>
      <c r="X20" s="16">
        <f t="shared" si="31"/>
        <v>5305.836919543337</v>
      </c>
      <c r="AA20" s="90">
        <f t="shared" si="25"/>
        <v>0</v>
      </c>
      <c r="AC20" s="16">
        <f t="shared" si="26"/>
        <v>86</v>
      </c>
      <c r="AD20" s="16">
        <f t="shared" si="28"/>
        <v>7.9516082004334864E-3</v>
      </c>
      <c r="AE20" s="72">
        <f t="shared" si="29"/>
        <v>39.631708718516698</v>
      </c>
      <c r="AS20" s="78"/>
      <c r="AT20" s="9" t="s">
        <v>48</v>
      </c>
      <c r="AU20" s="9">
        <v>0.106</v>
      </c>
    </row>
    <row r="21" spans="1:47" x14ac:dyDescent="0.25">
      <c r="A21" s="4"/>
      <c r="V21" s="92"/>
      <c r="W21" s="17"/>
      <c r="X21" s="59"/>
      <c r="Z21" s="1"/>
      <c r="AN21" s="78"/>
      <c r="AO21" s="78"/>
      <c r="AP21" s="78"/>
      <c r="AQ21" s="78"/>
      <c r="AR21" s="78"/>
      <c r="AS21" s="9" t="s">
        <v>49</v>
      </c>
      <c r="AT21" s="9">
        <v>1.28</v>
      </c>
    </row>
    <row r="22" spans="1:47" x14ac:dyDescent="0.25">
      <c r="A22" s="4"/>
      <c r="V22" s="34"/>
      <c r="W22" s="93"/>
      <c r="X22" s="20" t="s">
        <v>80</v>
      </c>
      <c r="Y22" s="40" t="s">
        <v>81</v>
      </c>
      <c r="AA22" s="53">
        <v>3</v>
      </c>
      <c r="AN22" s="78"/>
      <c r="AO22" s="78"/>
      <c r="AP22" s="78"/>
      <c r="AQ22" s="78"/>
      <c r="AR22" s="78"/>
      <c r="AS22" s="9" t="s">
        <v>50</v>
      </c>
      <c r="AT22" s="9">
        <v>0.8</v>
      </c>
    </row>
    <row r="23" spans="1:47" x14ac:dyDescent="0.25">
      <c r="A23" s="4"/>
      <c r="X23" s="16">
        <v>7.0000000000000007E-2</v>
      </c>
      <c r="Y23" s="74">
        <f>(SUMPRODUCT(V15:V20,AD15:AD20)+SUMPRODUCT(AP5:AP12,AN5:AN12))/SUM(AD15:AD20,AN5:AN12)</f>
        <v>4.3911408236200167</v>
      </c>
      <c r="AA23" s="54" t="s">
        <v>121</v>
      </c>
      <c r="AN23" s="78"/>
      <c r="AO23" s="78"/>
      <c r="AP23" s="78"/>
      <c r="AQ23" s="78"/>
      <c r="AR23" s="78"/>
      <c r="AS23" s="9" t="s">
        <v>60</v>
      </c>
      <c r="AT23" s="9">
        <f>210*3600*24/12</f>
        <v>1512000</v>
      </c>
    </row>
    <row r="24" spans="1:47" x14ac:dyDescent="0.25">
      <c r="A24" s="4"/>
      <c r="F24" s="1"/>
      <c r="G24" s="1"/>
      <c r="AN24" s="9"/>
      <c r="AO24" s="9"/>
      <c r="AP24" s="9"/>
      <c r="AQ24" s="9"/>
      <c r="AR24" s="9"/>
      <c r="AS24" s="9" t="s">
        <v>58</v>
      </c>
      <c r="AT24" s="9">
        <v>5</v>
      </c>
    </row>
    <row r="25" spans="1:47" x14ac:dyDescent="0.25">
      <c r="A25" s="94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AM25" s="11"/>
      <c r="AN25" s="11"/>
      <c r="AO25" s="11"/>
      <c r="AP25" s="11"/>
      <c r="AQ25" s="11"/>
      <c r="AR25" s="9" t="s">
        <v>59</v>
      </c>
      <c r="AS25" s="9">
        <f>1/59</f>
        <v>1.6949152542372881E-2</v>
      </c>
    </row>
    <row r="26" spans="1:47" x14ac:dyDescent="0.25">
      <c r="A26" s="94"/>
      <c r="B26">
        <v>1</v>
      </c>
      <c r="C26" t="s">
        <v>30</v>
      </c>
      <c r="D26" t="s">
        <v>67</v>
      </c>
      <c r="E26" s="28">
        <v>0</v>
      </c>
      <c r="F26" s="28">
        <v>0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</row>
    <row r="27" spans="1:47" x14ac:dyDescent="0.25">
      <c r="A27" s="94"/>
      <c r="B27">
        <v>1</v>
      </c>
      <c r="C27" t="s">
        <v>30</v>
      </c>
      <c r="D27" t="s">
        <v>68</v>
      </c>
      <c r="E27" s="28">
        <f>E28*$K$27</f>
        <v>149.22338276804928</v>
      </c>
      <c r="F27" s="28">
        <f>F28*$K$27</f>
        <v>7.4473176718540657</v>
      </c>
      <c r="G27" s="28">
        <f>G28*$K$27</f>
        <v>14.894635343708131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3.3823966760757836E-2</v>
      </c>
      <c r="L27" s="28">
        <f>K27*$Y$16</f>
        <v>1.6911983380378919E-4</v>
      </c>
      <c r="M27" s="28">
        <f>M28*$K$27</f>
        <v>0.16911983380378917</v>
      </c>
      <c r="N27" s="76" t="s">
        <v>134</v>
      </c>
      <c r="O27" s="20" t="s">
        <v>69</v>
      </c>
      <c r="P27" s="20" t="s">
        <v>83</v>
      </c>
      <c r="Q27" s="20" t="s">
        <v>82</v>
      </c>
      <c r="R27" s="95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</row>
    <row r="28" spans="1:47" x14ac:dyDescent="0.25">
      <c r="E28" s="57">
        <f>AB16</f>
        <v>4411.7647058823532</v>
      </c>
      <c r="F28" s="58">
        <f>(($Q$28/100)*(1+$E$28*$E$31)-$Y$16)/((1+1/$P$28)*(14*10^-6-$J$31*$Q$28/100))</f>
        <v>220.17871896960222</v>
      </c>
      <c r="G28" s="58">
        <f>F28/$P$28</f>
        <v>440.35743793920443</v>
      </c>
      <c r="H28" s="21"/>
      <c r="I28" s="21"/>
      <c r="J28" s="21"/>
      <c r="K28" s="21"/>
      <c r="L28" s="21"/>
      <c r="M28" s="22">
        <v>5</v>
      </c>
      <c r="N28" s="77">
        <f>SUM(AJ5:AJ12,J15:J20)/K27</f>
        <v>0.59691825677279609</v>
      </c>
      <c r="O28" s="16">
        <v>0.8</v>
      </c>
      <c r="P28" s="16">
        <v>0.5</v>
      </c>
      <c r="Q28" s="16">
        <v>1.2</v>
      </c>
      <c r="R28" s="95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</row>
    <row r="29" spans="1:47" x14ac:dyDescent="0.25">
      <c r="F29" s="1"/>
      <c r="R29" s="95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</row>
    <row r="30" spans="1:47" x14ac:dyDescent="0.25">
      <c r="D30" s="27" t="s">
        <v>78</v>
      </c>
      <c r="F30" s="1"/>
      <c r="O30" s="35" t="s">
        <v>138</v>
      </c>
      <c r="P30" s="69">
        <f>K27+SUM(J15:J20)+SUM(AJ5:AJ12)</f>
        <v>5.4014110036730394E-2</v>
      </c>
      <c r="R30" s="95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</row>
    <row r="31" spans="1:47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95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</row>
    <row r="32" spans="1:47" x14ac:dyDescent="0.25">
      <c r="D32" s="23" t="s">
        <v>76</v>
      </c>
      <c r="E32" s="23">
        <f>E26*E31</f>
        <v>0</v>
      </c>
      <c r="F32" s="24">
        <f>F26*F31</f>
        <v>0</v>
      </c>
      <c r="G32" s="24"/>
      <c r="O32" s="35" t="s">
        <v>133</v>
      </c>
      <c r="P32" s="69">
        <f>E26*E31+F26*F31</f>
        <v>0</v>
      </c>
      <c r="R32" s="95"/>
      <c r="S32" s="11" t="s">
        <v>52</v>
      </c>
      <c r="T32" s="9">
        <v>1.557936E-2</v>
      </c>
      <c r="W32" s="35" t="s">
        <v>119</v>
      </c>
      <c r="X32" s="37">
        <v>12</v>
      </c>
    </row>
    <row r="33" spans="1:24" x14ac:dyDescent="0.25">
      <c r="O33" s="35" t="s">
        <v>109</v>
      </c>
      <c r="P33" s="69">
        <f t="array" ref="P33">SUM(J15:J20,AJ5:AJ12)+SUM(AE5:AE12*F31,L15:L20*F31)+SUM(AG5:AG12*J31,M15:M20*J31)+SUM(AD5:AD12*E31,O15:O20*E31)+SUM(N15:N20*E31,AF5:AF12*E31)</f>
        <v>3.1826619039393052E-2</v>
      </c>
      <c r="W33" s="35" t="s">
        <v>122</v>
      </c>
      <c r="X33" s="55">
        <v>0.2</v>
      </c>
    </row>
    <row r="34" spans="1:24" x14ac:dyDescent="0.25">
      <c r="O34" s="35" t="s">
        <v>110</v>
      </c>
      <c r="P34" s="36">
        <f>K27+E27*E31+F27*F31+G27*G31</f>
        <v>3.978327379924132E-2</v>
      </c>
    </row>
    <row r="35" spans="1:24" ht="15" customHeight="1" x14ac:dyDescent="0.25">
      <c r="A35" s="97" t="s">
        <v>156</v>
      </c>
      <c r="B35" s="7" t="s">
        <v>0</v>
      </c>
      <c r="C35" s="7" t="s">
        <v>1</v>
      </c>
      <c r="D35" s="7" t="s">
        <v>145</v>
      </c>
      <c r="E35" s="7" t="s">
        <v>146</v>
      </c>
      <c r="F35" s="7" t="s">
        <v>147</v>
      </c>
      <c r="G35" s="7" t="s">
        <v>148</v>
      </c>
      <c r="H35" s="7" t="s">
        <v>149</v>
      </c>
      <c r="I35" s="7" t="s">
        <v>150</v>
      </c>
      <c r="J35" s="7" t="s">
        <v>151</v>
      </c>
      <c r="K35" s="7" t="s">
        <v>152</v>
      </c>
      <c r="L35" s="7" t="s">
        <v>153</v>
      </c>
      <c r="M35" s="7" t="s">
        <v>154</v>
      </c>
      <c r="O35" s="35" t="s">
        <v>130</v>
      </c>
      <c r="P35" s="36">
        <f>P34+P33+P32</f>
        <v>7.1609892838634365E-2</v>
      </c>
      <c r="Q35" s="32"/>
    </row>
    <row r="36" spans="1:24" x14ac:dyDescent="0.25">
      <c r="A36" s="97"/>
      <c r="B36">
        <v>1</v>
      </c>
      <c r="C36" t="s">
        <v>30</v>
      </c>
      <c r="D36" t="s">
        <v>155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7"/>
      <c r="P36" s="38"/>
      <c r="Q36" s="1"/>
    </row>
    <row r="37" spans="1:24" x14ac:dyDescent="0.25">
      <c r="O37" s="35" t="s">
        <v>136</v>
      </c>
      <c r="P37" s="39">
        <f>1-SUM($AJ$5:$AJ$12,$J$15:$J$20)/$P$33</f>
        <v>0.36562085809421241</v>
      </c>
    </row>
    <row r="38" spans="1:24" x14ac:dyDescent="0.25">
      <c r="O38" s="35" t="s">
        <v>137</v>
      </c>
      <c r="P38" s="39">
        <f>1-$K$27/$P$34</f>
        <v>0.14979428461709776</v>
      </c>
    </row>
    <row r="39" spans="1:24" x14ac:dyDescent="0.25">
      <c r="O39" s="35" t="s">
        <v>111</v>
      </c>
      <c r="P39" s="39">
        <f>1-SUM($AJ$5:$AJ$12,$J$15:$J$20)/($P$33+N28/(1+N28)*P32)</f>
        <v>0.36562085809421241</v>
      </c>
    </row>
    <row r="40" spans="1:24" x14ac:dyDescent="0.25">
      <c r="O40" s="35" t="s">
        <v>112</v>
      </c>
      <c r="P40" s="39">
        <f>1-$K$27/($P$34+1/(1+N28)*P32)</f>
        <v>0.14979428461709776</v>
      </c>
    </row>
    <row r="42" spans="1:24" x14ac:dyDescent="0.25">
      <c r="O42" s="35" t="s">
        <v>132</v>
      </c>
      <c r="P42" s="75" t="e">
        <f>(F26*14*10^-6)/(E26*E31+F26*F31)*100</f>
        <v>#DIV/0!</v>
      </c>
    </row>
    <row r="43" spans="1:24" x14ac:dyDescent="0.25">
      <c r="O43" s="35" t="s">
        <v>131</v>
      </c>
      <c r="P43" s="75" t="e">
        <f>($Y$23*$P$33+$Q$28*$P$34+$P$32*$P$42)/$P$35</f>
        <v>#DIV/0!</v>
      </c>
    </row>
    <row r="44" spans="1:24" x14ac:dyDescent="0.25">
      <c r="O44" s="35" t="s">
        <v>135</v>
      </c>
      <c r="P44" s="75">
        <f>($Y$23*$P$33+$Q$28*$P$34)/($P$33+$P$34)</f>
        <v>2.6182848104977849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44"/>
  <sheetViews>
    <sheetView workbookViewId="0">
      <selection activeCell="E2" sqref="E2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94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94"/>
      <c r="B5">
        <v>1</v>
      </c>
      <c r="C5" t="s">
        <v>30</v>
      </c>
      <c r="D5">
        <v>3</v>
      </c>
      <c r="E5">
        <f t="shared" ref="E5:E11" si="0"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G16+G19-M5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27.6</v>
      </c>
      <c r="Y5">
        <v>0.08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1">AJ5*$AA$16</f>
        <v>8.1830418023733635</v>
      </c>
      <c r="AE5" s="1">
        <f t="shared" ref="AE5:AE12" si="2">AJ5*$AQ5</f>
        <v>0.58530775522953393</v>
      </c>
      <c r="AF5">
        <v>0</v>
      </c>
      <c r="AG5" s="33">
        <f t="shared" ref="AG5:AG12" si="3">AJ5*$AR5</f>
        <v>8.3615393604219133</v>
      </c>
      <c r="AH5" s="1">
        <f>AV5</f>
        <v>1.8534983222633695E-3</v>
      </c>
      <c r="AI5" s="1">
        <f>AY5</f>
        <v>1.3244862745926676E-6</v>
      </c>
      <c r="AJ5" s="1">
        <f>AH5+AI5</f>
        <v>1.8548228085379622E-3</v>
      </c>
      <c r="AK5" s="1">
        <f>AH5*0.005</f>
        <v>9.267491611316847E-6</v>
      </c>
      <c r="AL5">
        <f>AI5*0.005</f>
        <v>6.6224313729633385E-9</v>
      </c>
      <c r="AM5">
        <f>AK5+AL5</f>
        <v>9.2741140426898098E-6</v>
      </c>
      <c r="AN5" s="70">
        <f>AJ5+AD5*$E$31+AE5*$F$31+AG5*$J$31</f>
        <v>2.9245646448219577E-3</v>
      </c>
      <c r="AO5" s="71">
        <f>(1-AJ5/AN5)*100</f>
        <v>36.577814690402221</v>
      </c>
      <c r="AP5" s="15">
        <v>4.5999999999999996</v>
      </c>
      <c r="AQ5" s="15">
        <f t="shared" ref="AQ5:AQ12" si="4">(($AP5/100)*(1+$AA$16*$E$31)-$X$16)/(((1+1/$W$23)*(14*10^(-6)))-(($J$31/$W$23+$F$31)*$AP5/100))</f>
        <v>315.55992978698299</v>
      </c>
      <c r="AR5" s="15">
        <f t="shared" ref="AR5:AR12" si="5">$AQ5/$W$23</f>
        <v>4507.9989969568996</v>
      </c>
      <c r="AS5" s="9">
        <v>851425</v>
      </c>
      <c r="AT5" s="10">
        <f>$T$27+$T$28*$T$30*(J5)^$T$29</f>
        <v>9.1058115591388438E-4</v>
      </c>
      <c r="AU5" s="9">
        <f t="shared" ref="AU5:AU12" si="6">J5*Y5</f>
        <v>2.3159999999999999E-3</v>
      </c>
      <c r="AV5" s="10">
        <f>((AU5-AT5)/($T$31-AS5))*(F5-$T$31)+AU5</f>
        <v>1.8534983222633695E-3</v>
      </c>
      <c r="AW5" s="10">
        <f t="shared" ref="AW5:AW12" si="7">$T$27+$T$28*$T$30*(L5)^$T$29</f>
        <v>4.0277279389003447E-3</v>
      </c>
      <c r="AX5" s="9"/>
      <c r="AY5" s="9">
        <f t="shared" ref="AY5:AY12" si="8">$AT$20*$AS$22*$AS$24*(M5)^$AS$21</f>
        <v>1.3244862745926676E-6</v>
      </c>
    </row>
    <row r="6" spans="1:51" x14ac:dyDescent="0.25">
      <c r="A6" s="94"/>
      <c r="B6">
        <v>1</v>
      </c>
      <c r="C6" t="s">
        <v>30</v>
      </c>
      <c r="D6">
        <v>4</v>
      </c>
      <c r="E6">
        <f t="shared" si="0"/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9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27.6</v>
      </c>
      <c r="Y6">
        <v>0.08</v>
      </c>
      <c r="Z6" t="s">
        <v>33</v>
      </c>
      <c r="AA6" t="s">
        <v>32</v>
      </c>
      <c r="AB6" t="s">
        <v>32</v>
      </c>
      <c r="AC6" t="s">
        <v>33</v>
      </c>
      <c r="AD6" s="1">
        <f t="shared" si="1"/>
        <v>3.5017162544188412</v>
      </c>
      <c r="AE6" s="1">
        <f t="shared" si="2"/>
        <v>0.36496394733565457</v>
      </c>
      <c r="AF6">
        <v>0</v>
      </c>
      <c r="AG6" s="33">
        <f t="shared" si="3"/>
        <v>5.2137706762236364</v>
      </c>
      <c r="AH6" s="1">
        <f>AW6</f>
        <v>7.9355355356128927E-4</v>
      </c>
      <c r="AI6" s="1">
        <f>AY6</f>
        <v>1.6879744031468265E-7</v>
      </c>
      <c r="AJ6">
        <f t="shared" ref="AJ6:AJ12" si="10">AH6+AI6</f>
        <v>7.9372235100160394E-4</v>
      </c>
      <c r="AK6">
        <f t="shared" ref="AK6:AL12" si="11">AH6*0.005</f>
        <v>3.9677677678064465E-6</v>
      </c>
      <c r="AL6">
        <f t="shared" si="11"/>
        <v>8.4398720157341326E-10</v>
      </c>
      <c r="AM6">
        <f t="shared" ref="AM6:AM12" si="12">AK6+AL6</f>
        <v>3.9686117550080197E-6</v>
      </c>
      <c r="AN6" s="70">
        <f t="shared" ref="AN6:AN12" si="13">AJ6+AD6*$E$31+AE6*$F$31+AG6*$J$31</f>
        <v>1.4150154566351394E-3</v>
      </c>
      <c r="AO6" s="71">
        <f t="shared" ref="AO6:AO12" si="14">(1-AJ6/AN6)*100</f>
        <v>43.907160357876954</v>
      </c>
      <c r="AP6" s="15">
        <v>5.8</v>
      </c>
      <c r="AQ6" s="15">
        <f t="shared" si="4"/>
        <v>459.81311585229264</v>
      </c>
      <c r="AR6" s="15">
        <f t="shared" si="5"/>
        <v>6568.7587978898946</v>
      </c>
      <c r="AS6" s="9">
        <v>818263</v>
      </c>
      <c r="AT6" s="10">
        <f>$T$27+$T$28*$T$30*(J6)^$T$29</f>
        <v>9.1017858127080242E-4</v>
      </c>
      <c r="AU6" s="9">
        <f t="shared" si="6"/>
        <v>2.3151999999999999E-3</v>
      </c>
      <c r="AV6" s="10">
        <f>((AU6-AT6)/($T$31-AS6))*(F6-$T$31)+AU6</f>
        <v>8.5826926811062858E-4</v>
      </c>
      <c r="AW6" s="10">
        <f t="shared" si="7"/>
        <v>7.9355355356128927E-4</v>
      </c>
      <c r="AX6" s="9"/>
      <c r="AY6" s="9">
        <f t="shared" si="8"/>
        <v>1.6879744031468265E-7</v>
      </c>
    </row>
    <row r="7" spans="1:51" x14ac:dyDescent="0.25">
      <c r="A7" s="94"/>
      <c r="B7">
        <v>1</v>
      </c>
      <c r="C7" t="s">
        <v>30</v>
      </c>
      <c r="D7">
        <v>5</v>
      </c>
      <c r="E7">
        <f t="shared" si="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9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1"/>
        <v>0.13143561599020981</v>
      </c>
      <c r="AE7" s="1">
        <f t="shared" si="2"/>
        <v>1.369878589441606E-2</v>
      </c>
      <c r="AF7">
        <v>0</v>
      </c>
      <c r="AG7" s="33">
        <f t="shared" si="3"/>
        <v>0.19569694134880083</v>
      </c>
      <c r="AH7" s="1">
        <f>AW7</f>
        <v>2.9792072957780891E-5</v>
      </c>
      <c r="AI7" s="1">
        <v>0</v>
      </c>
      <c r="AJ7">
        <f t="shared" si="10"/>
        <v>2.9792072957780891E-5</v>
      </c>
      <c r="AK7">
        <f t="shared" si="11"/>
        <v>1.4896036478890447E-7</v>
      </c>
      <c r="AL7">
        <f t="shared" si="11"/>
        <v>0</v>
      </c>
      <c r="AM7">
        <f t="shared" si="12"/>
        <v>1.4896036478890447E-7</v>
      </c>
      <c r="AN7" s="70">
        <f t="shared" si="13"/>
        <v>5.3112078382654143E-5</v>
      </c>
      <c r="AO7" s="71">
        <f t="shared" si="14"/>
        <v>43.907160357876954</v>
      </c>
      <c r="AP7" s="15">
        <v>5.8</v>
      </c>
      <c r="AQ7" s="15">
        <f t="shared" si="4"/>
        <v>459.81311585229264</v>
      </c>
      <c r="AR7" s="15">
        <f t="shared" si="5"/>
        <v>6568.7587978898946</v>
      </c>
      <c r="AS7" s="9"/>
      <c r="AT7" s="10" t="e">
        <f t="shared" ref="AT7:AT12" si="15">$T$27+$T$28*$T$30*(T7*$T$32)^$T$29</f>
        <v>#VALUE!</v>
      </c>
      <c r="AU7" s="9" t="e">
        <f t="shared" si="6"/>
        <v>#VALUE!</v>
      </c>
      <c r="AV7" s="10" t="e">
        <f t="shared" ref="AV7:AV12" si="16">AT7+((AU7-AT7)/$T$31)*F7</f>
        <v>#VALUE!</v>
      </c>
      <c r="AW7" s="10">
        <f t="shared" si="7"/>
        <v>2.9792072957780891E-5</v>
      </c>
      <c r="AX7" s="9"/>
      <c r="AY7" s="9">
        <f t="shared" si="8"/>
        <v>0</v>
      </c>
    </row>
    <row r="8" spans="1:51" x14ac:dyDescent="0.25">
      <c r="A8" s="94"/>
      <c r="B8">
        <v>1</v>
      </c>
      <c r="C8" t="s">
        <v>30</v>
      </c>
      <c r="D8">
        <v>6</v>
      </c>
      <c r="E8">
        <f t="shared" si="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7">J7-M8</f>
        <v>2.894E-2</v>
      </c>
      <c r="K8" s="48">
        <f t="shared" si="9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1"/>
        <v>3.5630437425207336E-2</v>
      </c>
      <c r="AE8" s="1">
        <f t="shared" si="2"/>
        <v>3.7135576223773373E-3</v>
      </c>
      <c r="AF8">
        <v>0</v>
      </c>
      <c r="AG8" s="33">
        <f t="shared" si="3"/>
        <v>5.3050823176819105E-2</v>
      </c>
      <c r="AH8" s="1">
        <f t="shared" ref="AH8:AH12" si="18">AW8</f>
        <v>8.076232483046996E-6</v>
      </c>
      <c r="AI8" s="1">
        <v>0</v>
      </c>
      <c r="AJ8">
        <f t="shared" si="10"/>
        <v>8.076232483046996E-6</v>
      </c>
      <c r="AK8">
        <f t="shared" si="11"/>
        <v>4.0381162415234981E-8</v>
      </c>
      <c r="AL8">
        <f t="shared" si="11"/>
        <v>0</v>
      </c>
      <c r="AM8">
        <f t="shared" si="12"/>
        <v>4.0381162415234981E-8</v>
      </c>
      <c r="AN8" s="70">
        <f t="shared" si="13"/>
        <v>1.4397974027654913E-5</v>
      </c>
      <c r="AO8" s="71">
        <f t="shared" si="14"/>
        <v>43.907160357876954</v>
      </c>
      <c r="AP8" s="15">
        <v>5.8</v>
      </c>
      <c r="AQ8" s="15">
        <f t="shared" si="4"/>
        <v>459.81311585229264</v>
      </c>
      <c r="AR8" s="15">
        <f t="shared" si="5"/>
        <v>6568.7587978898946</v>
      </c>
      <c r="AS8" s="9"/>
      <c r="AT8" s="10" t="e">
        <f t="shared" si="15"/>
        <v>#VALUE!</v>
      </c>
      <c r="AU8" s="9" t="e">
        <f t="shared" si="6"/>
        <v>#VALUE!</v>
      </c>
      <c r="AV8" s="10" t="e">
        <f t="shared" si="16"/>
        <v>#VALUE!</v>
      </c>
      <c r="AW8" s="10">
        <f t="shared" si="7"/>
        <v>8.076232483046996E-6</v>
      </c>
      <c r="AX8" s="9"/>
      <c r="AY8" s="9">
        <f t="shared" si="8"/>
        <v>0</v>
      </c>
    </row>
    <row r="9" spans="1:51" x14ac:dyDescent="0.25">
      <c r="A9" s="94"/>
      <c r="B9">
        <v>1</v>
      </c>
      <c r="C9" t="s">
        <v>30</v>
      </c>
      <c r="D9">
        <v>7</v>
      </c>
      <c r="E9">
        <f t="shared" si="0"/>
        <v>1643760</v>
      </c>
      <c r="F9">
        <v>0</v>
      </c>
      <c r="G9">
        <v>0</v>
      </c>
      <c r="H9" t="s">
        <v>31</v>
      </c>
      <c r="I9" t="s">
        <v>33</v>
      </c>
      <c r="J9">
        <f t="shared" si="17"/>
        <v>2.894E-2</v>
      </c>
      <c r="K9" s="48">
        <f t="shared" si="9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1"/>
        <v>1.2193691971899337E-2</v>
      </c>
      <c r="AE9" s="1">
        <f t="shared" si="2"/>
        <v>1.2708790865175474E-3</v>
      </c>
      <c r="AF9">
        <v>0</v>
      </c>
      <c r="AG9" s="33">
        <f t="shared" si="3"/>
        <v>1.8155415521679246E-2</v>
      </c>
      <c r="AH9" s="1">
        <f t="shared" si="18"/>
        <v>2.7639035136305163E-6</v>
      </c>
      <c r="AI9" s="1">
        <v>0</v>
      </c>
      <c r="AJ9">
        <f t="shared" si="10"/>
        <v>2.7639035136305163E-6</v>
      </c>
      <c r="AK9">
        <f t="shared" si="11"/>
        <v>1.3819517568152583E-8</v>
      </c>
      <c r="AL9">
        <f t="shared" si="11"/>
        <v>0</v>
      </c>
      <c r="AM9">
        <f t="shared" si="12"/>
        <v>1.3819517568152583E-8</v>
      </c>
      <c r="AN9" s="70">
        <f t="shared" si="13"/>
        <v>4.9273731393604766E-6</v>
      </c>
      <c r="AO9" s="71">
        <f t="shared" si="14"/>
        <v>43.907160357876954</v>
      </c>
      <c r="AP9" s="15">
        <v>5.8</v>
      </c>
      <c r="AQ9" s="15">
        <f t="shared" si="4"/>
        <v>459.81311585229264</v>
      </c>
      <c r="AR9" s="15">
        <f t="shared" si="5"/>
        <v>6568.7587978898946</v>
      </c>
      <c r="AS9" s="9"/>
      <c r="AT9" s="10" t="e">
        <f t="shared" si="15"/>
        <v>#VALUE!</v>
      </c>
      <c r="AU9" s="9" t="e">
        <f t="shared" si="6"/>
        <v>#VALUE!</v>
      </c>
      <c r="AV9" s="10" t="e">
        <f t="shared" si="16"/>
        <v>#VALUE!</v>
      </c>
      <c r="AW9" s="10">
        <f t="shared" si="7"/>
        <v>2.7639035136305163E-6</v>
      </c>
      <c r="AX9" s="9"/>
      <c r="AY9" s="9">
        <f t="shared" si="8"/>
        <v>0</v>
      </c>
    </row>
    <row r="10" spans="1:51" x14ac:dyDescent="0.25">
      <c r="A10" s="94"/>
      <c r="B10">
        <v>1</v>
      </c>
      <c r="C10" t="s">
        <v>30</v>
      </c>
      <c r="D10">
        <v>8</v>
      </c>
      <c r="E10">
        <f t="shared" si="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7"/>
        <v>2.894E-2</v>
      </c>
      <c r="K10" s="48">
        <f t="shared" si="9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1"/>
        <v>5.2963394285683064E-3</v>
      </c>
      <c r="AE10" s="1">
        <f t="shared" si="2"/>
        <v>5.5200730265923803E-4</v>
      </c>
      <c r="AF10">
        <v>0</v>
      </c>
      <c r="AG10" s="33">
        <f t="shared" si="3"/>
        <v>7.8858186094176858E-3</v>
      </c>
      <c r="AH10" s="1">
        <f t="shared" si="18"/>
        <v>1.2005036038088161E-6</v>
      </c>
      <c r="AI10" s="1">
        <v>0</v>
      </c>
      <c r="AJ10">
        <f t="shared" si="10"/>
        <v>1.2005036038088161E-6</v>
      </c>
      <c r="AK10">
        <f t="shared" si="11"/>
        <v>6.0025180190440811E-9</v>
      </c>
      <c r="AL10">
        <f t="shared" si="11"/>
        <v>0</v>
      </c>
      <c r="AM10">
        <f t="shared" si="12"/>
        <v>6.0025180190440811E-9</v>
      </c>
      <c r="AN10" s="70">
        <f t="shared" si="13"/>
        <v>2.1402082894503617E-6</v>
      </c>
      <c r="AO10" s="71">
        <f t="shared" si="14"/>
        <v>43.907160357876954</v>
      </c>
      <c r="AP10" s="15">
        <v>5.8</v>
      </c>
      <c r="AQ10" s="15">
        <f t="shared" si="4"/>
        <v>459.81311585229264</v>
      </c>
      <c r="AR10" s="15">
        <f t="shared" si="5"/>
        <v>6568.7587978898946</v>
      </c>
      <c r="AS10" s="9"/>
      <c r="AT10" s="10" t="e">
        <f t="shared" si="15"/>
        <v>#VALUE!</v>
      </c>
      <c r="AU10" s="9" t="e">
        <f t="shared" si="6"/>
        <v>#VALUE!</v>
      </c>
      <c r="AV10" s="10" t="e">
        <f t="shared" si="16"/>
        <v>#VALUE!</v>
      </c>
      <c r="AW10" s="10">
        <f t="shared" si="7"/>
        <v>1.2005036038088161E-6</v>
      </c>
      <c r="AX10" s="9"/>
      <c r="AY10" s="9">
        <f t="shared" si="8"/>
        <v>0</v>
      </c>
    </row>
    <row r="11" spans="1:51" x14ac:dyDescent="0.25">
      <c r="A11" s="94"/>
      <c r="B11">
        <v>1</v>
      </c>
      <c r="C11" t="s">
        <v>30</v>
      </c>
      <c r="D11">
        <v>9</v>
      </c>
      <c r="E11">
        <f t="shared" si="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7"/>
        <v>2.894E-2</v>
      </c>
      <c r="K11" s="48">
        <f t="shared" si="9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1"/>
        <v>1.9146799290632522E-3</v>
      </c>
      <c r="AE11" s="1">
        <f t="shared" si="2"/>
        <v>1.9955618731628199E-4</v>
      </c>
      <c r="AF11">
        <v>0</v>
      </c>
      <c r="AG11" s="33">
        <f t="shared" si="3"/>
        <v>2.8508026759468856E-3</v>
      </c>
      <c r="AH11" s="1">
        <f t="shared" si="18"/>
        <v>4.3399411725433714E-7</v>
      </c>
      <c r="AI11" s="1">
        <v>0</v>
      </c>
      <c r="AJ11">
        <f t="shared" si="10"/>
        <v>4.3399411725433714E-7</v>
      </c>
      <c r="AK11">
        <f t="shared" si="11"/>
        <v>2.1699705862716857E-9</v>
      </c>
      <c r="AL11">
        <f t="shared" si="11"/>
        <v>0</v>
      </c>
      <c r="AM11">
        <f t="shared" si="12"/>
        <v>2.1699705862716857E-9</v>
      </c>
      <c r="AN11" s="70">
        <f t="shared" si="13"/>
        <v>7.737068046888971E-7</v>
      </c>
      <c r="AO11" s="71">
        <f t="shared" si="14"/>
        <v>43.907160357876961</v>
      </c>
      <c r="AP11" s="15">
        <v>5.8</v>
      </c>
      <c r="AQ11" s="15">
        <f t="shared" si="4"/>
        <v>459.81311585229264</v>
      </c>
      <c r="AR11" s="15">
        <f t="shared" si="5"/>
        <v>6568.7587978898946</v>
      </c>
      <c r="AS11" s="9"/>
      <c r="AT11" s="10" t="e">
        <f t="shared" si="15"/>
        <v>#VALUE!</v>
      </c>
      <c r="AU11" s="9" t="e">
        <f t="shared" si="6"/>
        <v>#VALUE!</v>
      </c>
      <c r="AV11" s="10" t="e">
        <f t="shared" si="16"/>
        <v>#VALUE!</v>
      </c>
      <c r="AW11" s="10">
        <f t="shared" si="7"/>
        <v>4.3399411725433714E-7</v>
      </c>
      <c r="AX11" s="9"/>
      <c r="AY11" s="9">
        <f t="shared" si="8"/>
        <v>0</v>
      </c>
    </row>
    <row r="12" spans="1:51" x14ac:dyDescent="0.25">
      <c r="A12" s="94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7"/>
        <v>2.894E-2</v>
      </c>
      <c r="K12" s="48">
        <f t="shared" si="9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1"/>
        <v>1.2855761246405892E-3</v>
      </c>
      <c r="AE12" s="1">
        <f t="shared" si="2"/>
        <v>1.3398827973489571E-4</v>
      </c>
      <c r="AF12">
        <v>0</v>
      </c>
      <c r="AG12" s="33">
        <f t="shared" si="3"/>
        <v>1.9141182819270813E-3</v>
      </c>
      <c r="AH12" s="1">
        <f t="shared" si="18"/>
        <v>2.9139725491853351E-7</v>
      </c>
      <c r="AI12" s="1">
        <v>0</v>
      </c>
      <c r="AJ12">
        <f t="shared" si="10"/>
        <v>2.9139725491853351E-7</v>
      </c>
      <c r="AK12">
        <f t="shared" si="11"/>
        <v>1.4569862745926675E-9</v>
      </c>
      <c r="AL12">
        <f t="shared" si="11"/>
        <v>0</v>
      </c>
      <c r="AM12">
        <f t="shared" si="12"/>
        <v>1.4569862745926675E-9</v>
      </c>
      <c r="AN12" s="73">
        <f t="shared" si="13"/>
        <v>5.1949100237690249E-7</v>
      </c>
      <c r="AO12" s="72">
        <f t="shared" si="14"/>
        <v>43.907160357876961</v>
      </c>
      <c r="AP12" s="16">
        <v>5.8</v>
      </c>
      <c r="AQ12" s="16">
        <f t="shared" si="4"/>
        <v>459.81311585229264</v>
      </c>
      <c r="AR12" s="16">
        <f t="shared" si="5"/>
        <v>6568.7587978898946</v>
      </c>
      <c r="AS12" s="9"/>
      <c r="AT12" s="10" t="e">
        <f t="shared" si="15"/>
        <v>#VALUE!</v>
      </c>
      <c r="AU12" s="9" t="e">
        <f t="shared" si="6"/>
        <v>#VALUE!</v>
      </c>
      <c r="AV12" s="10" t="e">
        <f t="shared" si="16"/>
        <v>#VALUE!</v>
      </c>
      <c r="AW12" s="10">
        <f t="shared" si="7"/>
        <v>2.9139725491853351E-7</v>
      </c>
      <c r="AX12" s="9"/>
      <c r="AY12" s="9">
        <f t="shared" si="8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94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AA14" s="5"/>
      <c r="AB14" s="14" t="s">
        <v>45</v>
      </c>
      <c r="AC14" s="14" t="s">
        <v>77</v>
      </c>
      <c r="AD14" s="14" t="s">
        <v>129</v>
      </c>
      <c r="AE14" s="5"/>
      <c r="AF14" s="5"/>
      <c r="AO14" s="42"/>
      <c r="AP14" s="42"/>
      <c r="AQ14" s="35"/>
    </row>
    <row r="15" spans="1:51" x14ac:dyDescent="0.25">
      <c r="A15" s="94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1.5581618763794147</v>
      </c>
      <c r="L15">
        <f>I15*$W15</f>
        <v>22.259455376848781</v>
      </c>
      <c r="M15">
        <v>0</v>
      </c>
      <c r="N15" s="1">
        <f t="shared" ref="N15:N20" si="19">I15*$AA$16</f>
        <v>24.157457853783391</v>
      </c>
      <c r="O15">
        <v>1.9556037310205601E-4</v>
      </c>
      <c r="P15" s="1">
        <f>I15*$AB15</f>
        <v>0.40520109306746005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 t="shared" ref="V15:V20" si="20">(($U15/100)*(1+$AA$16*$E$31)-$X$16)/(((1+1/$W$23)*(14*10^(-6)))-(($J$31/$W$23+$F$31)*$U15/100))</f>
        <v>284.55989094007765</v>
      </c>
      <c r="W15" s="15">
        <f>$V15/$W$23</f>
        <v>4065.1412991439661</v>
      </c>
      <c r="X15" s="17" t="s">
        <v>43</v>
      </c>
      <c r="Y15" s="17" t="s">
        <v>27</v>
      </c>
      <c r="Z15" s="17" t="s">
        <v>23</v>
      </c>
      <c r="AA15" s="18" t="s">
        <v>21</v>
      </c>
      <c r="AB15" s="15">
        <f t="shared" ref="AB15:AB20" si="21">ROUND(W15/$AR$6*120,0)</f>
        <v>74</v>
      </c>
      <c r="AC15" s="15">
        <f>I15+K15*$F$31+L15*$J$31+N15*$E$31</f>
        <v>8.3912812506856411E-3</v>
      </c>
      <c r="AD15" s="71">
        <f>(1-I15/AC15)*100</f>
        <v>34.745478273533536</v>
      </c>
      <c r="AE15" s="1"/>
      <c r="AO15" s="37"/>
      <c r="AP15" s="37"/>
      <c r="AQ15" s="37"/>
    </row>
    <row r="16" spans="1:51" x14ac:dyDescent="0.25">
      <c r="A16" s="94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2">I16*0.005</f>
        <v>1.1400000000000003E-5</v>
      </c>
      <c r="K16">
        <f>I16*$V16</f>
        <v>0.18488867627936192</v>
      </c>
      <c r="L16">
        <f t="shared" ref="L16:L20" si="23">I16*$W16</f>
        <v>2.6412668039908844</v>
      </c>
      <c r="M16">
        <v>0</v>
      </c>
      <c r="N16" s="1">
        <f t="shared" si="19"/>
        <v>10.058823529411766</v>
      </c>
      <c r="O16">
        <v>2.6899999999999998E-4</v>
      </c>
      <c r="P16" s="1">
        <f t="shared" ref="P16:P20" si="24">I16*$AB16</f>
        <v>4.7880000000000006E-2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si="20"/>
        <v>81.091524683930658</v>
      </c>
      <c r="W16" s="15">
        <f>$V16/$W$23</f>
        <v>1158.4503526275807</v>
      </c>
      <c r="X16" s="19">
        <v>5.0000000000000001E-3</v>
      </c>
      <c r="Y16" s="19">
        <v>1</v>
      </c>
      <c r="Z16" s="19">
        <v>0</v>
      </c>
      <c r="AA16" s="56">
        <f>$AA$17/100/(1-$X$33)*$X$32*10^6/$X$30</f>
        <v>4411.7647058823532</v>
      </c>
      <c r="AB16" s="15">
        <f t="shared" si="21"/>
        <v>21</v>
      </c>
      <c r="AC16" s="15">
        <f t="shared" ref="AC16:AC20" si="25">I16+K16*$F$31+L16*$J$31+N16*$E$31</f>
        <v>2.8314542624324136E-3</v>
      </c>
      <c r="AD16" s="71">
        <f t="shared" ref="AD16:AD20" si="26">(1-I16/AC16)*100</f>
        <v>19.476008132961198</v>
      </c>
      <c r="AE16" s="1"/>
      <c r="AN16" s="46"/>
      <c r="AO16" s="46"/>
      <c r="AP16" s="46"/>
      <c r="AQ16" s="37"/>
    </row>
    <row r="17" spans="1:46" x14ac:dyDescent="0.25">
      <c r="A17" s="94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2"/>
        <v>3.2250953182909302E-5</v>
      </c>
      <c r="K17">
        <f t="shared" ref="K17:K20" si="27">I17*$V17</f>
        <v>2.1752707068834716</v>
      </c>
      <c r="L17">
        <f t="shared" si="23"/>
        <v>31.075295812621015</v>
      </c>
      <c r="M17">
        <v>0</v>
      </c>
      <c r="N17" s="1">
        <f t="shared" si="19"/>
        <v>28.456723396684676</v>
      </c>
      <c r="O17">
        <v>2.3036395130649501E-4</v>
      </c>
      <c r="P17" s="1">
        <f t="shared" si="24"/>
        <v>0.56761677601920368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0"/>
        <v>337.24130486106213</v>
      </c>
      <c r="W17" s="15">
        <f t="shared" ref="W17:W20" si="28">$V17/$W$23</f>
        <v>4817.732926586601</v>
      </c>
      <c r="Y17" s="28"/>
      <c r="AA17" s="53">
        <v>10</v>
      </c>
      <c r="AB17" s="15">
        <f t="shared" si="21"/>
        <v>88</v>
      </c>
      <c r="AC17" s="15">
        <f t="shared" si="25"/>
        <v>1.0369976759499418E-2</v>
      </c>
      <c r="AD17" s="71">
        <f t="shared" si="26"/>
        <v>37.799372301648006</v>
      </c>
      <c r="AE17" s="1"/>
      <c r="AF17" s="1"/>
    </row>
    <row r="18" spans="1:46" x14ac:dyDescent="0.25">
      <c r="A18" s="94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2"/>
        <v>1.1400000000000003E-5</v>
      </c>
      <c r="K18">
        <f t="shared" si="27"/>
        <v>0.26304034345651023</v>
      </c>
      <c r="L18">
        <f t="shared" si="23"/>
        <v>3.7577191922358604</v>
      </c>
      <c r="M18">
        <v>0</v>
      </c>
      <c r="N18" s="1">
        <f t="shared" si="19"/>
        <v>10.058823529411766</v>
      </c>
      <c r="O18">
        <v>2.4800000000000001E-4</v>
      </c>
      <c r="P18" s="1">
        <f t="shared" si="24"/>
        <v>6.8400000000000016E-2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0"/>
        <v>115.36857169145185</v>
      </c>
      <c r="W18" s="15">
        <f t="shared" si="28"/>
        <v>1648.1224527350262</v>
      </c>
      <c r="AA18" s="54" t="s">
        <v>121</v>
      </c>
      <c r="AB18" s="15">
        <f t="shared" si="21"/>
        <v>30</v>
      </c>
      <c r="AC18" s="15">
        <f t="shared" si="25"/>
        <v>2.9430710217257907E-3</v>
      </c>
      <c r="AD18" s="71">
        <f t="shared" si="26"/>
        <v>22.529902161075654</v>
      </c>
      <c r="AE18" s="1"/>
      <c r="AF18" s="1"/>
    </row>
    <row r="19" spans="1:46" x14ac:dyDescent="0.25">
      <c r="A19" s="94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2"/>
        <v>2.0000000000000002E-7</v>
      </c>
      <c r="K19">
        <f t="shared" si="27"/>
        <v>4.6147428676580745E-3</v>
      </c>
      <c r="L19">
        <f t="shared" si="23"/>
        <v>6.5924898109401053E-2</v>
      </c>
      <c r="M19">
        <v>0</v>
      </c>
      <c r="N19" s="1">
        <f t="shared" si="19"/>
        <v>0.17647058823529413</v>
      </c>
      <c r="O19">
        <v>5.0000000000000004E-6</v>
      </c>
      <c r="P19" s="1">
        <f t="shared" si="24"/>
        <v>1.2000000000000001E-3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0"/>
        <v>115.36857169145185</v>
      </c>
      <c r="W19" s="15">
        <f t="shared" si="28"/>
        <v>1648.1224527350262</v>
      </c>
      <c r="AA19" s="1"/>
      <c r="AB19" s="15">
        <f t="shared" si="21"/>
        <v>30</v>
      </c>
      <c r="AC19" s="15">
        <f t="shared" si="25"/>
        <v>5.1632824942557729E-5</v>
      </c>
      <c r="AD19" s="71">
        <f t="shared" si="26"/>
        <v>22.529902161075654</v>
      </c>
      <c r="AR19" s="29" t="s">
        <v>57</v>
      </c>
      <c r="AS19" s="9" t="s">
        <v>47</v>
      </c>
      <c r="AT19" s="10">
        <v>0</v>
      </c>
    </row>
    <row r="20" spans="1:46" x14ac:dyDescent="0.25">
      <c r="A20" s="94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2"/>
        <v>2.7805399999999996E-5</v>
      </c>
      <c r="K20">
        <f t="shared" si="27"/>
        <v>2.0654328503573844</v>
      </c>
      <c r="L20">
        <f t="shared" si="23"/>
        <v>29.506183576534056</v>
      </c>
      <c r="M20">
        <v>0</v>
      </c>
      <c r="N20" s="1">
        <f t="shared" si="19"/>
        <v>24.534176470588235</v>
      </c>
      <c r="O20">
        <v>1.9861E-4</v>
      </c>
      <c r="P20" s="1">
        <f t="shared" si="24"/>
        <v>0.53942475999999995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0"/>
        <v>371.40858436803364</v>
      </c>
      <c r="W20" s="16">
        <f t="shared" si="28"/>
        <v>5305.836919543337</v>
      </c>
      <c r="AB20" s="16">
        <f t="shared" si="21"/>
        <v>97</v>
      </c>
      <c r="AC20" s="16">
        <f t="shared" si="25"/>
        <v>9.2119221564015731E-3</v>
      </c>
      <c r="AD20" s="72">
        <f t="shared" si="26"/>
        <v>39.631708718516698</v>
      </c>
      <c r="AR20" s="29"/>
      <c r="AS20" s="9" t="s">
        <v>48</v>
      </c>
      <c r="AT20" s="9">
        <v>0.106</v>
      </c>
    </row>
    <row r="21" spans="1:46" x14ac:dyDescent="0.25">
      <c r="A21" s="4"/>
      <c r="V21" s="15">
        <f>(($U15/100)*(1+$AA$16*$E$31*(1+1/$P$30))-$X$16)/((1+1/$P$30)*(((1+1/$W$23)*(14*10^(-6)))-(($J$31/$W$23+$F$31)*$U15/100)))</f>
        <v>50.764389392958748</v>
      </c>
      <c r="W21" s="15">
        <f>$V21*(1+1/P30)/$W$23</f>
        <v>11848.628908954028</v>
      </c>
      <c r="Y21" s="1">
        <f>(J15+(V21*I15+W21*I15+V21*I15/P30)*14*10^-6)/(I15+V21*I15*F31+V21*I15/P30*F31+W21*I15*J31+AA16*I15*E31+I15*AA16/P30*E31)*100</f>
        <v>4.3000000000000007</v>
      </c>
      <c r="AM21" s="29"/>
      <c r="AN21" s="60"/>
      <c r="AO21" s="60"/>
      <c r="AP21" s="29"/>
      <c r="AQ21" s="29"/>
      <c r="AR21" s="9" t="s">
        <v>49</v>
      </c>
      <c r="AS21" s="9">
        <v>1.28</v>
      </c>
    </row>
    <row r="22" spans="1:46" x14ac:dyDescent="0.25">
      <c r="A22" s="4"/>
      <c r="V22" s="79">
        <f>V21*I15/P30</f>
        <v>4.2635896067188179</v>
      </c>
      <c r="W22" s="20" t="s">
        <v>80</v>
      </c>
      <c r="X22" s="40" t="s">
        <v>81</v>
      </c>
      <c r="AM22" s="29"/>
      <c r="AN22" s="60"/>
      <c r="AO22" s="60"/>
      <c r="AP22" s="29"/>
      <c r="AQ22" s="29"/>
      <c r="AR22" s="9" t="s">
        <v>50</v>
      </c>
      <c r="AS22" s="9">
        <v>0.8</v>
      </c>
    </row>
    <row r="23" spans="1:46" x14ac:dyDescent="0.25">
      <c r="A23" s="4"/>
      <c r="V23">
        <f>V21*I15</f>
        <v>0.2779700820395819</v>
      </c>
      <c r="W23" s="16">
        <v>7.0000000000000007E-2</v>
      </c>
      <c r="X23" s="74">
        <f>(SUMPRODUCT(U15:U20,AC15:AC20)+SUMPRODUCT(AP5:AP12,AN5:AN12))/SUM(AC15:AC20,AN5:AN12)</f>
        <v>4.3680412383571046</v>
      </c>
      <c r="AM23" s="29"/>
      <c r="AN23" s="60"/>
      <c r="AO23" s="60"/>
      <c r="AP23" s="29"/>
      <c r="AQ23" s="29"/>
      <c r="AR23" s="9" t="s">
        <v>60</v>
      </c>
      <c r="AS23" s="9">
        <f>210*3600*24/12</f>
        <v>1512000</v>
      </c>
    </row>
    <row r="24" spans="1:46" x14ac:dyDescent="0.25">
      <c r="A24" s="4"/>
      <c r="F24" s="1"/>
      <c r="V24">
        <f>(V22+V23)/I15</f>
        <v>829.40402362678219</v>
      </c>
      <c r="AM24" s="9"/>
      <c r="AN24" s="9"/>
      <c r="AO24" s="9"/>
      <c r="AP24" s="9"/>
      <c r="AQ24" s="9"/>
      <c r="AR24" s="9" t="s">
        <v>58</v>
      </c>
      <c r="AS24" s="9">
        <v>5</v>
      </c>
    </row>
    <row r="25" spans="1:46" x14ac:dyDescent="0.25">
      <c r="A25" s="94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V25">
        <f>V24/W21</f>
        <v>7.0000000000000021E-2</v>
      </c>
      <c r="AM25" s="11"/>
      <c r="AN25" s="11"/>
      <c r="AO25" s="11"/>
      <c r="AP25" s="11"/>
      <c r="AQ25" s="11"/>
      <c r="AR25" s="9" t="s">
        <v>59</v>
      </c>
      <c r="AS25" s="9">
        <f>1/59</f>
        <v>1.6949152542372881E-2</v>
      </c>
    </row>
    <row r="26" spans="1:46" x14ac:dyDescent="0.25">
      <c r="A26" s="94"/>
      <c r="B26">
        <v>1</v>
      </c>
      <c r="C26" t="s">
        <v>30</v>
      </c>
      <c r="D26" t="s">
        <v>67</v>
      </c>
      <c r="E26" s="28">
        <f>SUM($K$27,$I$15:$I$20,$AJ$5:$AJ$12)*AA16</f>
        <v>287.63054382647715</v>
      </c>
      <c r="F26" s="28">
        <f>SUM(K15:K20,F27,AD5:AD12)*1.2</f>
        <v>39.022228608616963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</row>
    <row r="27" spans="1:46" x14ac:dyDescent="0.25">
      <c r="A27" s="94"/>
      <c r="B27">
        <v>1</v>
      </c>
      <c r="C27" t="s">
        <v>30</v>
      </c>
      <c r="D27" t="s">
        <v>68</v>
      </c>
      <c r="E27" s="28">
        <f>E28*$K$27</f>
        <v>178.31555406070026</v>
      </c>
      <c r="F27" s="28">
        <f>F28*$K$27</f>
        <v>14.39460024662854</v>
      </c>
      <c r="G27" s="28">
        <f>G28*$K$27</f>
        <v>12.303077133870547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4.0418192253758728E-2</v>
      </c>
      <c r="L27" s="28">
        <f>K27*$X$16</f>
        <v>2.0209096126879363E-4</v>
      </c>
      <c r="M27" s="28">
        <f>M28*$K$27</f>
        <v>0.20209096126879364</v>
      </c>
      <c r="N27" s="76" t="s">
        <v>134</v>
      </c>
      <c r="O27" s="20" t="s">
        <v>69</v>
      </c>
      <c r="P27" s="20" t="s">
        <v>83</v>
      </c>
      <c r="Q27" s="20" t="s">
        <v>82</v>
      </c>
      <c r="R27" s="95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</row>
    <row r="28" spans="1:46" x14ac:dyDescent="0.25">
      <c r="E28" s="57">
        <f>AA16</f>
        <v>4411.7647058823532</v>
      </c>
      <c r="F28" s="58">
        <f>(($Q$28/100)*(1+$E$28*$E$31)-$X$16)/((1+1/$P$28)*(14*10^-6-$J$31*$Q$28/100))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21"/>
      <c r="M28" s="22">
        <v>5</v>
      </c>
      <c r="N28" s="77">
        <f>SUM(AJ5:AJ12,I15:I20)/K27</f>
        <v>0.61304236941980439</v>
      </c>
      <c r="O28" s="16">
        <v>0.8</v>
      </c>
      <c r="P28" s="16">
        <v>1.17</v>
      </c>
      <c r="Q28" s="16">
        <v>1.2</v>
      </c>
      <c r="R28" s="95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</row>
    <row r="29" spans="1:46" x14ac:dyDescent="0.25">
      <c r="F29" s="1"/>
      <c r="R29" s="95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</row>
    <row r="30" spans="1:46" x14ac:dyDescent="0.25">
      <c r="D30" s="27" t="s">
        <v>78</v>
      </c>
      <c r="F30" s="1"/>
      <c r="O30" s="35" t="s">
        <v>138</v>
      </c>
      <c r="P30" s="69">
        <f>K27+SUM(I15:I20)+SUM(AJ5:AJ12)</f>
        <v>6.5196256600668162E-2</v>
      </c>
      <c r="R30" s="95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</row>
    <row r="31" spans="1:46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95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</row>
    <row r="32" spans="1:46" x14ac:dyDescent="0.25">
      <c r="D32" s="23" t="s">
        <v>76</v>
      </c>
      <c r="E32" s="23">
        <f>E26*E31</f>
        <v>8.2180155378993487E-3</v>
      </c>
      <c r="F32" s="24">
        <f>F26*F31</f>
        <v>4.0467496334862033E-3</v>
      </c>
      <c r="G32" s="24"/>
      <c r="O32" s="35" t="s">
        <v>133</v>
      </c>
      <c r="P32" s="69">
        <f>E26*E31+F26*F31</f>
        <v>1.2264765171385552E-2</v>
      </c>
      <c r="R32" s="95"/>
      <c r="S32" s="11" t="s">
        <v>52</v>
      </c>
      <c r="T32" s="9">
        <v>1.557936E-2</v>
      </c>
      <c r="W32" s="35" t="s">
        <v>119</v>
      </c>
      <c r="X32" s="37">
        <v>12</v>
      </c>
    </row>
    <row r="33" spans="15:24" x14ac:dyDescent="0.25">
      <c r="O33" s="35" t="s">
        <v>109</v>
      </c>
      <c r="P33" s="69">
        <f t="array" ref="P33">SUM(I15:I20,AJ5:AJ12)+SUM(AE5:AE12*F31,K15:K20*F31)+SUM(AG5:AG12*J31,L15:L20*J31)+SUM(AD5:AD12*E31,N15:N20*E31)</f>
        <v>3.8214789208790671E-2</v>
      </c>
      <c r="W33" s="35" t="s">
        <v>122</v>
      </c>
      <c r="X33" s="55">
        <v>0.2</v>
      </c>
    </row>
    <row r="34" spans="15:24" x14ac:dyDescent="0.25">
      <c r="O34" s="35" t="s">
        <v>110</v>
      </c>
      <c r="P34" s="36">
        <f>K27+E27*E31+F27*F31+G27*G31</f>
        <v>4.7768486510988334E-2</v>
      </c>
    </row>
    <row r="35" spans="15:24" x14ac:dyDescent="0.25">
      <c r="O35" s="35" t="s">
        <v>130</v>
      </c>
      <c r="P35" s="36">
        <f>P34+P33+P32</f>
        <v>9.8248040891164568E-2</v>
      </c>
      <c r="Q35" s="32"/>
    </row>
    <row r="36" spans="15:24" x14ac:dyDescent="0.25">
      <c r="O36" s="37"/>
      <c r="P36" s="38"/>
      <c r="Q36" s="1"/>
    </row>
    <row r="37" spans="15:24" x14ac:dyDescent="0.25">
      <c r="O37" s="35" t="s">
        <v>136</v>
      </c>
      <c r="P37" s="39">
        <f>1-SUM($AJ$5:$AJ$12,$I$15:$I$20)/$P$33</f>
        <v>0.35161059736502076</v>
      </c>
    </row>
    <row r="38" spans="15:24" x14ac:dyDescent="0.25">
      <c r="O38" s="35" t="s">
        <v>137</v>
      </c>
      <c r="P38" s="39">
        <f>1-$K$27/$P$34</f>
        <v>0.15387329166350694</v>
      </c>
    </row>
    <row r="39" spans="15:24" x14ac:dyDescent="0.25">
      <c r="O39" s="35" t="s">
        <v>111</v>
      </c>
      <c r="P39" s="39">
        <f>1-SUM($AJ$5:$AJ$12,$I$15:$I$20)/($P$33+N28/(1+N28)*P32)</f>
        <v>0.42210019520238218</v>
      </c>
    </row>
    <row r="40" spans="15:24" x14ac:dyDescent="0.25">
      <c r="O40" s="35" t="s">
        <v>112</v>
      </c>
      <c r="P40" s="39">
        <f>1-$K$27/($P$34+1/(1+N28)*P32)</f>
        <v>0.27006062226011518</v>
      </c>
    </row>
    <row r="42" spans="15:24" x14ac:dyDescent="0.25">
      <c r="O42" s="35" t="s">
        <v>132</v>
      </c>
      <c r="P42" s="75">
        <f>(F26*14*10^-6)/(E26*E31+F26*F31)*100</f>
        <v>4.4543143948260413</v>
      </c>
    </row>
    <row r="43" spans="15:24" x14ac:dyDescent="0.25">
      <c r="O43" s="35" t="s">
        <v>131</v>
      </c>
      <c r="P43" s="75">
        <f>($X$23*$P$33+$Q$28*$P$34+$P$32*$P$42)/$P$35</f>
        <v>2.8385001524183147</v>
      </c>
    </row>
    <row r="44" spans="15:24" x14ac:dyDescent="0.25">
      <c r="O44" s="35" t="s">
        <v>135</v>
      </c>
      <c r="P44" s="75">
        <f>($X$23*$P$33+$Q$28*$P$34)/($P$33+$P$34)</f>
        <v>2.6080183281587126</v>
      </c>
    </row>
  </sheetData>
  <mergeCells count="4">
    <mergeCell ref="A25:A27"/>
    <mergeCell ref="A4:A12"/>
    <mergeCell ref="A14:A20"/>
    <mergeCell ref="R27:R3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36"/>
  <sheetViews>
    <sheetView topLeftCell="B1" workbookViewId="0">
      <selection activeCell="E43" sqref="E4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</cols>
  <sheetData>
    <row r="1" spans="1:51" x14ac:dyDescent="0.25">
      <c r="A1" s="42" t="s">
        <v>113</v>
      </c>
      <c r="B1" s="43" t="s">
        <v>114</v>
      </c>
    </row>
    <row r="2" spans="1:51" s="26" customFormat="1" x14ac:dyDescent="0.25">
      <c r="A2" s="44" t="s">
        <v>113</v>
      </c>
      <c r="B2" s="45" t="s">
        <v>115</v>
      </c>
    </row>
    <row r="4" spans="1:51" s="4" customFormat="1" ht="15" customHeight="1" x14ac:dyDescent="0.25">
      <c r="A4" s="94" t="s">
        <v>70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47" t="s">
        <v>8</v>
      </c>
      <c r="K4" s="47" t="s">
        <v>9</v>
      </c>
      <c r="L4" s="47" t="s">
        <v>10</v>
      </c>
      <c r="M4" s="7" t="s">
        <v>91</v>
      </c>
      <c r="N4" s="7" t="s">
        <v>92</v>
      </c>
      <c r="O4" s="7" t="s">
        <v>87</v>
      </c>
      <c r="P4" s="7" t="s">
        <v>88</v>
      </c>
      <c r="Q4" s="7" t="s">
        <v>89</v>
      </c>
      <c r="R4" s="7" t="s">
        <v>90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  <c r="AB4" s="7" t="s">
        <v>20</v>
      </c>
      <c r="AC4" s="7" t="s">
        <v>21</v>
      </c>
      <c r="AD4" s="7" t="s">
        <v>22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29</v>
      </c>
      <c r="AL4" s="7" t="s">
        <v>43</v>
      </c>
      <c r="AM4" s="14" t="s">
        <v>108</v>
      </c>
      <c r="AN4" s="14" t="s">
        <v>123</v>
      </c>
      <c r="AO4" s="14" t="s">
        <v>124</v>
      </c>
      <c r="AP4" s="14" t="s">
        <v>125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94"/>
      <c r="B5">
        <v>1</v>
      </c>
      <c r="C5" t="s">
        <v>30</v>
      </c>
      <c r="D5">
        <v>3</v>
      </c>
      <c r="E5">
        <v>1589281</v>
      </c>
      <c r="F5">
        <f>432000*24/12</f>
        <v>864000</v>
      </c>
      <c r="G5" t="s">
        <v>31</v>
      </c>
      <c r="H5" t="s">
        <v>31</v>
      </c>
      <c r="I5">
        <f>G16+G19-L5</f>
        <v>2.895E-2</v>
      </c>
      <c r="J5" s="48">
        <f>I5-L5</f>
        <v>2.8899999999999999E-2</v>
      </c>
      <c r="K5" s="48">
        <v>9.2499999999999999E-2</v>
      </c>
      <c r="L5" s="48">
        <v>5.0000000000000002E-5</v>
      </c>
      <c r="M5">
        <v>3600</v>
      </c>
      <c r="N5">
        <v>3600</v>
      </c>
      <c r="O5">
        <v>0</v>
      </c>
      <c r="P5">
        <v>0</v>
      </c>
      <c r="Q5">
        <v>0</v>
      </c>
      <c r="R5">
        <v>0</v>
      </c>
      <c r="S5">
        <v>0.12280000000000001</v>
      </c>
      <c r="T5">
        <v>9.3426658551430383E-2</v>
      </c>
      <c r="U5">
        <v>2.9373341448569623E-2</v>
      </c>
      <c r="V5">
        <v>4.0000000000000001E-3</v>
      </c>
      <c r="W5">
        <v>27.6</v>
      </c>
      <c r="X5">
        <v>0.08</v>
      </c>
      <c r="Y5" t="s">
        <v>31</v>
      </c>
      <c r="Z5" t="s">
        <v>32</v>
      </c>
      <c r="AA5">
        <v>1</v>
      </c>
      <c r="AB5" t="s">
        <v>33</v>
      </c>
      <c r="AC5" s="1">
        <f t="shared" ref="AC5:AC12" si="0">AI5*$AA$16</f>
        <v>8.1830418023733635</v>
      </c>
      <c r="AD5" s="1">
        <f>AI5*$AQ5</f>
        <v>0.44160200009543604</v>
      </c>
      <c r="AE5">
        <v>0</v>
      </c>
      <c r="AF5" s="33">
        <f>AI5*$AR5</f>
        <v>6.308600001363371</v>
      </c>
      <c r="AG5" s="1">
        <f>AV5</f>
        <v>1.8534983222633695E-3</v>
      </c>
      <c r="AH5" s="1">
        <f>AY5</f>
        <v>1.3244862745926676E-6</v>
      </c>
      <c r="AI5" s="1">
        <f>AG5+AH5</f>
        <v>1.8548228085379622E-3</v>
      </c>
      <c r="AJ5" s="1">
        <f>AG5*0.005</f>
        <v>9.267491611316847E-6</v>
      </c>
      <c r="AK5" s="1">
        <f>AN5*AH5</f>
        <v>3.3112156864816693E-9</v>
      </c>
      <c r="AL5">
        <f>AJ5+AK5</f>
        <v>9.2708028270033284E-6</v>
      </c>
      <c r="AM5" s="15">
        <v>4.5999999999999996</v>
      </c>
      <c r="AN5" s="15">
        <f>0.25/100</f>
        <v>2.5000000000000001E-3</v>
      </c>
      <c r="AO5" s="15">
        <f>1.65/100</f>
        <v>1.6500000000000001E-2</v>
      </c>
      <c r="AP5" s="15">
        <f>(AN5*AH5+AO5*AG5)/AI5</f>
        <v>1.6490002922241984E-2</v>
      </c>
      <c r="AQ5" s="15">
        <f t="shared" ref="AQ5:AQ6" si="1">(($AM5/100)*(1+$AA$16*$E$31)-$AP5)/(((1+1/$W$23)*(14*10^(-6)))-(($J$31/$W$23+$F$31)*$AM5/100))</f>
        <v>238.08311934848513</v>
      </c>
      <c r="AR5" s="15">
        <f>$AQ5/$W$23</f>
        <v>3401.187419264073</v>
      </c>
      <c r="AS5" s="9">
        <v>851425</v>
      </c>
      <c r="AT5" s="10">
        <f>$T$27+$T$28*$T$30*(I5)^$T$29</f>
        <v>9.1058115591388438E-4</v>
      </c>
      <c r="AU5" s="9">
        <f t="shared" ref="AU5:AU12" si="2">I5*X5</f>
        <v>2.3159999999999999E-3</v>
      </c>
      <c r="AV5" s="10">
        <f>((AU5-AT5)/($T$31-AS5))*(E5-$T$31)+AU5</f>
        <v>1.8534983222633695E-3</v>
      </c>
      <c r="AW5" s="10">
        <f t="shared" ref="AW5:AW12" si="3">$T$27+$T$28*$T$30*(K5)^$T$29</f>
        <v>4.0277279389003447E-3</v>
      </c>
      <c r="AX5" s="9"/>
      <c r="AY5" s="9">
        <f t="shared" ref="AY5:AY12" si="4">$AU$20*$AT$22*$AT$24*(L5)^$AT$21</f>
        <v>1.3244862745926676E-6</v>
      </c>
    </row>
    <row r="6" spans="1:51" x14ac:dyDescent="0.25">
      <c r="A6" s="94"/>
      <c r="B6">
        <v>1</v>
      </c>
      <c r="C6" t="s">
        <v>30</v>
      </c>
      <c r="D6">
        <v>4</v>
      </c>
      <c r="E6">
        <v>776406</v>
      </c>
      <c r="F6">
        <v>0</v>
      </c>
      <c r="G6" t="s">
        <v>31</v>
      </c>
      <c r="H6" t="s">
        <v>31</v>
      </c>
      <c r="I6">
        <f>I5-L6</f>
        <v>2.894E-2</v>
      </c>
      <c r="J6" s="48">
        <f t="shared" ref="J6:J12" si="5">I6-L6</f>
        <v>2.8930000000000001E-2</v>
      </c>
      <c r="K6" s="48">
        <v>2.5999999999999999E-2</v>
      </c>
      <c r="L6" s="48">
        <v>1.0000000000000001E-5</v>
      </c>
      <c r="M6">
        <v>3600</v>
      </c>
      <c r="N6">
        <v>0</v>
      </c>
      <c r="O6">
        <v>0</v>
      </c>
      <c r="P6">
        <v>0</v>
      </c>
      <c r="Q6">
        <v>0</v>
      </c>
      <c r="R6">
        <v>0</v>
      </c>
      <c r="S6">
        <v>0.1331</v>
      </c>
      <c r="T6">
        <v>9.9106478034251738E-2</v>
      </c>
      <c r="U6">
        <v>3.3993521965748258E-2</v>
      </c>
      <c r="V6">
        <v>4.4000000000000003E-3</v>
      </c>
      <c r="W6">
        <v>27.6</v>
      </c>
      <c r="X6">
        <v>0.08</v>
      </c>
      <c r="Y6" t="s">
        <v>33</v>
      </c>
      <c r="Z6" t="s">
        <v>32</v>
      </c>
      <c r="AA6" t="s">
        <v>32</v>
      </c>
      <c r="AB6" t="s">
        <v>33</v>
      </c>
      <c r="AC6" s="1">
        <f t="shared" si="0"/>
        <v>3.5017162544188412</v>
      </c>
      <c r="AD6" s="1">
        <f t="shared" ref="AD6:AD12" si="6">AI6*$AQ6</f>
        <v>0.30446629586499513</v>
      </c>
      <c r="AE6">
        <v>0</v>
      </c>
      <c r="AF6" s="33">
        <f>AI6*$AR6</f>
        <v>4.349518512357073</v>
      </c>
      <c r="AG6" s="1">
        <f>AW6</f>
        <v>7.9355355356128927E-4</v>
      </c>
      <c r="AH6" s="1">
        <f>AY6</f>
        <v>1.6879744031468265E-7</v>
      </c>
      <c r="AI6">
        <f t="shared" ref="AI6:AI12" si="7">AG6+AH6</f>
        <v>7.9372235100160394E-4</v>
      </c>
      <c r="AJ6">
        <f t="shared" ref="AJ6:AJ12" si="8">AG6*0.005</f>
        <v>3.9677677678064465E-6</v>
      </c>
      <c r="AK6" s="1">
        <f t="shared" ref="AK6:AK12" si="9">AN6*AH6</f>
        <v>4.2199360078670663E-10</v>
      </c>
      <c r="AL6">
        <f t="shared" ref="AL6:AL12" si="10">AJ6+AK6</f>
        <v>3.9681897614072331E-6</v>
      </c>
      <c r="AM6" s="15">
        <v>5.8</v>
      </c>
      <c r="AN6" s="15">
        <f t="shared" ref="AN6:AN12" si="11">0.25/100</f>
        <v>2.5000000000000001E-3</v>
      </c>
      <c r="AO6" s="15">
        <f>1.5/100</f>
        <v>1.4999999999999999E-2</v>
      </c>
      <c r="AP6" s="15">
        <f t="shared" ref="AP6:AP12" si="12">(AN6*AH6+AO6*AG6)/AI6</f>
        <v>1.4997341679995188E-2</v>
      </c>
      <c r="AQ6" s="15">
        <f t="shared" si="1"/>
        <v>383.59294718208065</v>
      </c>
      <c r="AR6" s="15">
        <f t="shared" ref="AR6:AR12" si="13">$AQ6/$W$23</f>
        <v>5479.8992454582949</v>
      </c>
      <c r="AS6" s="9">
        <v>818263</v>
      </c>
      <c r="AT6" s="10">
        <f>$T$27+$T$28*$T$30*(I6)^$T$29</f>
        <v>9.1017858127080242E-4</v>
      </c>
      <c r="AU6" s="9">
        <f t="shared" si="2"/>
        <v>2.3151999999999999E-3</v>
      </c>
      <c r="AV6" s="10">
        <f>((AU6-AT6)/($T$31-AS6))*(E6-$T$31)+AU6</f>
        <v>8.5826926811062858E-4</v>
      </c>
      <c r="AW6" s="10">
        <f t="shared" si="3"/>
        <v>7.9355355356128927E-4</v>
      </c>
      <c r="AX6" s="9"/>
      <c r="AY6" s="9">
        <f t="shared" si="4"/>
        <v>1.6879744031468265E-7</v>
      </c>
    </row>
    <row r="7" spans="1:51" x14ac:dyDescent="0.25">
      <c r="A7" s="94"/>
      <c r="B7">
        <v>1</v>
      </c>
      <c r="C7" t="s">
        <v>30</v>
      </c>
      <c r="D7">
        <v>5</v>
      </c>
      <c r="E7">
        <v>0</v>
      </c>
      <c r="F7">
        <v>0</v>
      </c>
      <c r="G7" t="s">
        <v>31</v>
      </c>
      <c r="H7" t="s">
        <v>33</v>
      </c>
      <c r="I7">
        <f>I6-L7</f>
        <v>2.894E-2</v>
      </c>
      <c r="J7" s="48">
        <f t="shared" si="5"/>
        <v>2.894E-2</v>
      </c>
      <c r="K7" s="48">
        <v>2E-3</v>
      </c>
      <c r="L7" s="48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33</v>
      </c>
      <c r="Z7" t="s">
        <v>32</v>
      </c>
      <c r="AA7" t="s">
        <v>32</v>
      </c>
      <c r="AB7" t="s">
        <v>33</v>
      </c>
      <c r="AC7" s="1">
        <f t="shared" si="0"/>
        <v>0.13143561599020981</v>
      </c>
      <c r="AD7" s="1">
        <f t="shared" si="6"/>
        <v>1.1995265424753758E-2</v>
      </c>
      <c r="AE7">
        <v>0</v>
      </c>
      <c r="AF7" s="33">
        <f>AI7*$AR7</f>
        <v>0.17136093463933938</v>
      </c>
      <c r="AG7" s="1">
        <f>AW7</f>
        <v>2.9792072957780891E-5</v>
      </c>
      <c r="AH7" s="1">
        <v>0</v>
      </c>
      <c r="AI7">
        <f t="shared" si="7"/>
        <v>2.9792072957780891E-5</v>
      </c>
      <c r="AJ7">
        <f t="shared" si="8"/>
        <v>1.4896036478890447E-7</v>
      </c>
      <c r="AK7" s="1">
        <f t="shared" si="9"/>
        <v>0</v>
      </c>
      <c r="AL7">
        <f t="shared" si="10"/>
        <v>1.4896036478890447E-7</v>
      </c>
      <c r="AM7" s="15">
        <v>5.8</v>
      </c>
      <c r="AN7" s="15">
        <f t="shared" si="11"/>
        <v>2.5000000000000001E-3</v>
      </c>
      <c r="AO7" s="15">
        <f>1.25/100</f>
        <v>1.2500000000000001E-2</v>
      </c>
      <c r="AP7" s="15">
        <f t="shared" si="12"/>
        <v>1.2500000000000001E-2</v>
      </c>
      <c r="AQ7" s="15">
        <f>(($AM7/100)*(1+$AA$16*$E$31)-$AP7)/(((1+1/$W$23)*(14*10^(-6)))-(($J$31/$W$23+$F$31)*$AM7/100))</f>
        <v>402.63278898895538</v>
      </c>
      <c r="AR7" s="15">
        <f t="shared" si="13"/>
        <v>5751.8969855565047</v>
      </c>
      <c r="AS7" s="9"/>
      <c r="AT7" s="10" t="e">
        <f t="shared" ref="AT7:AT12" si="14">$T$27+$T$28*$T$30*(S7*$T$32)^$T$29</f>
        <v>#VALUE!</v>
      </c>
      <c r="AU7" s="9" t="e">
        <f t="shared" si="2"/>
        <v>#VALUE!</v>
      </c>
      <c r="AV7" s="10" t="e">
        <f t="shared" ref="AV7:AV12" si="15">AT7+((AU7-AT7)/$T$31)*E7</f>
        <v>#VALUE!</v>
      </c>
      <c r="AW7" s="10">
        <f t="shared" si="3"/>
        <v>2.9792072957780891E-5</v>
      </c>
      <c r="AX7" s="9"/>
      <c r="AY7" s="9">
        <f t="shared" si="4"/>
        <v>0</v>
      </c>
    </row>
    <row r="8" spans="1:51" x14ac:dyDescent="0.25">
      <c r="A8" s="94"/>
      <c r="B8">
        <v>1</v>
      </c>
      <c r="C8" t="s">
        <v>30</v>
      </c>
      <c r="D8">
        <v>6</v>
      </c>
      <c r="E8">
        <v>0</v>
      </c>
      <c r="F8">
        <v>0</v>
      </c>
      <c r="G8" t="s">
        <v>31</v>
      </c>
      <c r="H8" t="s">
        <v>33</v>
      </c>
      <c r="I8">
        <f t="shared" ref="I8:I12" si="16">I7-L8</f>
        <v>2.894E-2</v>
      </c>
      <c r="J8" s="48">
        <f t="shared" si="5"/>
        <v>2.894E-2</v>
      </c>
      <c r="K8" s="48">
        <v>7.2000000000000005E-4</v>
      </c>
      <c r="L8" s="4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33</v>
      </c>
      <c r="Z8" t="s">
        <v>32</v>
      </c>
      <c r="AA8" t="s">
        <v>32</v>
      </c>
      <c r="AB8" t="s">
        <v>33</v>
      </c>
      <c r="AC8" s="1">
        <f t="shared" si="0"/>
        <v>3.5630437425207336E-2</v>
      </c>
      <c r="AD8" s="1">
        <f t="shared" si="6"/>
        <v>3.4056898802407179E-3</v>
      </c>
      <c r="AE8">
        <v>0</v>
      </c>
      <c r="AF8" s="33">
        <f t="shared" ref="AF8:AF10" si="17">AI8*$AR8</f>
        <v>4.8652712574867397E-2</v>
      </c>
      <c r="AG8" s="1">
        <f t="shared" ref="AG8:AG12" si="18">AW8</f>
        <v>8.076232483046996E-6</v>
      </c>
      <c r="AH8" s="1">
        <v>0</v>
      </c>
      <c r="AI8">
        <f t="shared" si="7"/>
        <v>8.076232483046996E-6</v>
      </c>
      <c r="AJ8">
        <f t="shared" si="8"/>
        <v>4.0381162415234981E-8</v>
      </c>
      <c r="AK8" s="1">
        <f t="shared" si="9"/>
        <v>0</v>
      </c>
      <c r="AL8">
        <f t="shared" si="10"/>
        <v>4.0381162415234981E-8</v>
      </c>
      <c r="AM8" s="15">
        <v>5.8</v>
      </c>
      <c r="AN8" s="15">
        <f t="shared" si="11"/>
        <v>2.5000000000000001E-3</v>
      </c>
      <c r="AO8" s="15">
        <f>1/100</f>
        <v>0.01</v>
      </c>
      <c r="AP8" s="15">
        <f t="shared" si="12"/>
        <v>0.01</v>
      </c>
      <c r="AQ8" s="15">
        <f t="shared" ref="AQ8:AQ12" si="19">(($AM8/100)*(1+$AA$16*$E$31)-$AP8)/(((1+1/$W$23)*(14*10^(-6)))-(($J$31/$W$23+$F$31)*$AM8/100))</f>
        <v>421.69289794340114</v>
      </c>
      <c r="AR8" s="15">
        <f t="shared" si="13"/>
        <v>6024.1842563343016</v>
      </c>
      <c r="AS8" s="9"/>
      <c r="AT8" s="10" t="e">
        <f t="shared" si="14"/>
        <v>#VALUE!</v>
      </c>
      <c r="AU8" s="9" t="e">
        <f t="shared" si="2"/>
        <v>#VALUE!</v>
      </c>
      <c r="AV8" s="10" t="e">
        <f t="shared" si="15"/>
        <v>#VALUE!</v>
      </c>
      <c r="AW8" s="10">
        <f t="shared" si="3"/>
        <v>8.076232483046996E-6</v>
      </c>
      <c r="AX8" s="9"/>
      <c r="AY8" s="9">
        <f t="shared" si="4"/>
        <v>0</v>
      </c>
    </row>
    <row r="9" spans="1:51" x14ac:dyDescent="0.25">
      <c r="A9" s="94"/>
      <c r="B9">
        <v>1</v>
      </c>
      <c r="C9" t="s">
        <v>30</v>
      </c>
      <c r="D9">
        <v>7</v>
      </c>
      <c r="E9">
        <v>0</v>
      </c>
      <c r="F9">
        <v>0</v>
      </c>
      <c r="G9" t="s">
        <v>31</v>
      </c>
      <c r="H9" t="s">
        <v>33</v>
      </c>
      <c r="I9">
        <f t="shared" si="16"/>
        <v>2.894E-2</v>
      </c>
      <c r="J9" s="48">
        <f t="shared" si="5"/>
        <v>2.894E-2</v>
      </c>
      <c r="K9" s="48">
        <v>3.1E-4</v>
      </c>
      <c r="L9" s="48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33</v>
      </c>
      <c r="Z9" t="s">
        <v>32</v>
      </c>
      <c r="AA9" t="s">
        <v>32</v>
      </c>
      <c r="AB9" t="s">
        <v>33</v>
      </c>
      <c r="AC9" s="1">
        <f t="shared" si="0"/>
        <v>1.2193691971899337E-2</v>
      </c>
      <c r="AD9" s="1">
        <f t="shared" si="6"/>
        <v>1.2076627239862995E-3</v>
      </c>
      <c r="AE9">
        <v>0</v>
      </c>
      <c r="AF9" s="33">
        <f t="shared" si="17"/>
        <v>1.7252324628375705E-2</v>
      </c>
      <c r="AG9" s="1">
        <f t="shared" si="18"/>
        <v>2.7639035136305163E-6</v>
      </c>
      <c r="AH9" s="1">
        <v>0</v>
      </c>
      <c r="AI9">
        <f t="shared" si="7"/>
        <v>2.7639035136305163E-6</v>
      </c>
      <c r="AJ9">
        <f t="shared" si="8"/>
        <v>1.3819517568152583E-8</v>
      </c>
      <c r="AK9" s="1">
        <f t="shared" si="9"/>
        <v>0</v>
      </c>
      <c r="AL9">
        <f t="shared" si="10"/>
        <v>1.3819517568152583E-8</v>
      </c>
      <c r="AM9" s="15">
        <v>5.8</v>
      </c>
      <c r="AN9" s="15">
        <f t="shared" si="11"/>
        <v>2.5000000000000001E-3</v>
      </c>
      <c r="AO9" s="15">
        <f>0.8/100</f>
        <v>8.0000000000000002E-3</v>
      </c>
      <c r="AP9" s="15">
        <f t="shared" si="12"/>
        <v>8.0000000000000002E-3</v>
      </c>
      <c r="AQ9" s="15">
        <f t="shared" si="19"/>
        <v>436.94098510695773</v>
      </c>
      <c r="AR9" s="15">
        <f t="shared" si="13"/>
        <v>6242.0140729565383</v>
      </c>
      <c r="AS9" s="9"/>
      <c r="AT9" s="10" t="e">
        <f t="shared" si="14"/>
        <v>#VALUE!</v>
      </c>
      <c r="AU9" s="9" t="e">
        <f t="shared" si="2"/>
        <v>#VALUE!</v>
      </c>
      <c r="AV9" s="10" t="e">
        <f t="shared" si="15"/>
        <v>#VALUE!</v>
      </c>
      <c r="AW9" s="10">
        <f t="shared" si="3"/>
        <v>2.7639035136305163E-6</v>
      </c>
      <c r="AX9" s="9"/>
      <c r="AY9" s="9">
        <f t="shared" si="4"/>
        <v>0</v>
      </c>
    </row>
    <row r="10" spans="1:51" x14ac:dyDescent="0.25">
      <c r="A10" s="94"/>
      <c r="B10">
        <v>1</v>
      </c>
      <c r="C10" t="s">
        <v>30</v>
      </c>
      <c r="D10">
        <v>8</v>
      </c>
      <c r="E10">
        <v>0</v>
      </c>
      <c r="F10">
        <v>0</v>
      </c>
      <c r="G10" t="s">
        <v>31</v>
      </c>
      <c r="H10" t="s">
        <v>33</v>
      </c>
      <c r="I10">
        <f t="shared" si="16"/>
        <v>2.894E-2</v>
      </c>
      <c r="J10" s="48">
        <f t="shared" si="5"/>
        <v>2.894E-2</v>
      </c>
      <c r="K10" s="48">
        <v>1.6000000000000001E-4</v>
      </c>
      <c r="L10" s="4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32</v>
      </c>
      <c r="AA10" t="s">
        <v>32</v>
      </c>
      <c r="AB10" t="s">
        <v>33</v>
      </c>
      <c r="AC10" s="1">
        <f t="shared" si="0"/>
        <v>5.2963394285683064E-3</v>
      </c>
      <c r="AD10" s="1">
        <f t="shared" si="6"/>
        <v>5.5200730265923803E-4</v>
      </c>
      <c r="AE10">
        <v>0</v>
      </c>
      <c r="AF10" s="33">
        <f t="shared" si="17"/>
        <v>7.8858186094176858E-3</v>
      </c>
      <c r="AG10" s="1">
        <f t="shared" si="18"/>
        <v>1.2005036038088161E-6</v>
      </c>
      <c r="AH10" s="1">
        <v>0</v>
      </c>
      <c r="AI10">
        <f t="shared" si="7"/>
        <v>1.2005036038088161E-6</v>
      </c>
      <c r="AJ10">
        <f t="shared" si="8"/>
        <v>6.0025180190440811E-9</v>
      </c>
      <c r="AK10" s="1">
        <f t="shared" si="9"/>
        <v>0</v>
      </c>
      <c r="AL10">
        <f t="shared" si="10"/>
        <v>6.0025180190440811E-9</v>
      </c>
      <c r="AM10" s="15">
        <v>5.8</v>
      </c>
      <c r="AN10" s="15">
        <f t="shared" si="11"/>
        <v>2.5000000000000001E-3</v>
      </c>
      <c r="AO10" s="15">
        <f>0.5/100</f>
        <v>5.0000000000000001E-3</v>
      </c>
      <c r="AP10" s="15">
        <f t="shared" si="12"/>
        <v>5.0000000000000001E-3</v>
      </c>
      <c r="AQ10" s="15">
        <f t="shared" si="19"/>
        <v>459.81311585229264</v>
      </c>
      <c r="AR10" s="15">
        <f t="shared" si="13"/>
        <v>6568.7587978898946</v>
      </c>
      <c r="AS10" s="9"/>
      <c r="AT10" s="10" t="e">
        <f t="shared" si="14"/>
        <v>#VALUE!</v>
      </c>
      <c r="AU10" s="9" t="e">
        <f t="shared" si="2"/>
        <v>#VALUE!</v>
      </c>
      <c r="AV10" s="10" t="e">
        <f t="shared" si="15"/>
        <v>#VALUE!</v>
      </c>
      <c r="AW10" s="10">
        <f t="shared" si="3"/>
        <v>1.2005036038088161E-6</v>
      </c>
      <c r="AX10" s="9"/>
      <c r="AY10" s="9">
        <f t="shared" si="4"/>
        <v>0</v>
      </c>
    </row>
    <row r="11" spans="1:51" x14ac:dyDescent="0.25">
      <c r="A11" s="94"/>
      <c r="B11">
        <v>1</v>
      </c>
      <c r="C11" t="s">
        <v>30</v>
      </c>
      <c r="D11">
        <v>9</v>
      </c>
      <c r="E11">
        <v>0</v>
      </c>
      <c r="F11">
        <v>0</v>
      </c>
      <c r="G11" t="s">
        <v>31</v>
      </c>
      <c r="H11" t="s">
        <v>33</v>
      </c>
      <c r="I11">
        <f t="shared" si="16"/>
        <v>2.894E-2</v>
      </c>
      <c r="J11" s="48">
        <f t="shared" si="5"/>
        <v>2.894E-2</v>
      </c>
      <c r="K11" s="49">
        <v>6.9999999999999994E-5</v>
      </c>
      <c r="L11" s="48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33</v>
      </c>
      <c r="Z11" t="s">
        <v>32</v>
      </c>
      <c r="AA11" t="s">
        <v>32</v>
      </c>
      <c r="AB11" t="s">
        <v>33</v>
      </c>
      <c r="AC11" s="1">
        <f t="shared" si="0"/>
        <v>1.9146799290632522E-3</v>
      </c>
      <c r="AD11" s="1">
        <f t="shared" si="6"/>
        <v>1.9955618731628199E-4</v>
      </c>
      <c r="AE11">
        <v>0</v>
      </c>
      <c r="AF11" s="33">
        <f>AI11*$AR11</f>
        <v>2.8508026759468856E-3</v>
      </c>
      <c r="AG11" s="1">
        <f t="shared" si="18"/>
        <v>4.3399411725433714E-7</v>
      </c>
      <c r="AH11" s="1">
        <v>0</v>
      </c>
      <c r="AI11">
        <f t="shared" si="7"/>
        <v>4.3399411725433714E-7</v>
      </c>
      <c r="AJ11">
        <f t="shared" si="8"/>
        <v>2.1699705862716857E-9</v>
      </c>
      <c r="AK11" s="1">
        <f t="shared" si="9"/>
        <v>0</v>
      </c>
      <c r="AL11">
        <f t="shared" si="10"/>
        <v>2.1699705862716857E-9</v>
      </c>
      <c r="AM11" s="15">
        <v>5.8</v>
      </c>
      <c r="AN11" s="15">
        <f t="shared" si="11"/>
        <v>2.5000000000000001E-3</v>
      </c>
      <c r="AO11" s="15">
        <f>0.5/100</f>
        <v>5.0000000000000001E-3</v>
      </c>
      <c r="AP11" s="15">
        <f t="shared" si="12"/>
        <v>5.0000000000000001E-3</v>
      </c>
      <c r="AQ11" s="15">
        <f t="shared" si="19"/>
        <v>459.81311585229264</v>
      </c>
      <c r="AR11" s="15">
        <f t="shared" si="13"/>
        <v>6568.7587978898946</v>
      </c>
      <c r="AS11" s="9"/>
      <c r="AT11" s="10" t="e">
        <f t="shared" si="14"/>
        <v>#VALUE!</v>
      </c>
      <c r="AU11" s="9" t="e">
        <f t="shared" si="2"/>
        <v>#VALUE!</v>
      </c>
      <c r="AV11" s="10" t="e">
        <f t="shared" si="15"/>
        <v>#VALUE!</v>
      </c>
      <c r="AW11" s="10">
        <f t="shared" si="3"/>
        <v>4.3399411725433714E-7</v>
      </c>
      <c r="AX11" s="9"/>
      <c r="AY11" s="9">
        <f t="shared" si="4"/>
        <v>0</v>
      </c>
    </row>
    <row r="12" spans="1:51" x14ac:dyDescent="0.25">
      <c r="A12" s="94"/>
      <c r="B12">
        <v>1</v>
      </c>
      <c r="C12" t="s">
        <v>30</v>
      </c>
      <c r="D12">
        <v>10</v>
      </c>
      <c r="E12">
        <v>0</v>
      </c>
      <c r="F12">
        <v>0</v>
      </c>
      <c r="G12" t="s">
        <v>31</v>
      </c>
      <c r="H12" t="s">
        <v>33</v>
      </c>
      <c r="I12">
        <f t="shared" si="16"/>
        <v>2.894E-2</v>
      </c>
      <c r="J12" s="48">
        <f t="shared" si="5"/>
        <v>2.894E-2</v>
      </c>
      <c r="K12" s="49">
        <v>5.0000000000000002E-5</v>
      </c>
      <c r="L12" s="48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33</v>
      </c>
      <c r="Z12" t="s">
        <v>32</v>
      </c>
      <c r="AA12" t="s">
        <v>32</v>
      </c>
      <c r="AB12" t="s">
        <v>33</v>
      </c>
      <c r="AC12" s="1">
        <f t="shared" si="0"/>
        <v>1.2855761246405892E-3</v>
      </c>
      <c r="AD12" s="1">
        <f t="shared" si="6"/>
        <v>1.3398827973489571E-4</v>
      </c>
      <c r="AE12">
        <v>0</v>
      </c>
      <c r="AF12" s="33">
        <f>AI12*$AR12</f>
        <v>1.9141182819270813E-3</v>
      </c>
      <c r="AG12" s="1">
        <f t="shared" si="18"/>
        <v>2.9139725491853351E-7</v>
      </c>
      <c r="AH12" s="1">
        <v>0</v>
      </c>
      <c r="AI12">
        <f t="shared" si="7"/>
        <v>2.9139725491853351E-7</v>
      </c>
      <c r="AJ12">
        <f t="shared" si="8"/>
        <v>1.4569862745926675E-9</v>
      </c>
      <c r="AK12" s="1">
        <f t="shared" si="9"/>
        <v>0</v>
      </c>
      <c r="AL12">
        <f t="shared" si="10"/>
        <v>1.4569862745926675E-9</v>
      </c>
      <c r="AM12" s="16">
        <v>5.8</v>
      </c>
      <c r="AN12" s="16">
        <f t="shared" si="11"/>
        <v>2.5000000000000001E-3</v>
      </c>
      <c r="AO12" s="16">
        <f>0.5/100</f>
        <v>5.0000000000000001E-3</v>
      </c>
      <c r="AP12" s="16">
        <f t="shared" si="12"/>
        <v>5.0000000000000001E-3</v>
      </c>
      <c r="AQ12" s="16">
        <f t="shared" si="19"/>
        <v>459.81311585229264</v>
      </c>
      <c r="AR12" s="16">
        <f t="shared" si="13"/>
        <v>6568.7587978898946</v>
      </c>
      <c r="AS12" s="9"/>
      <c r="AT12" s="10" t="e">
        <f t="shared" si="14"/>
        <v>#VALUE!</v>
      </c>
      <c r="AU12" s="9" t="e">
        <f t="shared" si="2"/>
        <v>#VALUE!</v>
      </c>
      <c r="AV12" s="10" t="e">
        <f t="shared" si="15"/>
        <v>#VALUE!</v>
      </c>
      <c r="AW12" s="10">
        <f t="shared" si="3"/>
        <v>2.9139725491853351E-7</v>
      </c>
      <c r="AX12" s="9"/>
      <c r="AY12" s="9">
        <f t="shared" si="4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94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X14" s="14" t="s">
        <v>43</v>
      </c>
      <c r="AA14" s="5"/>
      <c r="AB14" s="14" t="s">
        <v>45</v>
      </c>
      <c r="AC14" s="5"/>
      <c r="AD14" s="5"/>
      <c r="AE14" s="5"/>
      <c r="AF14" s="5"/>
    </row>
    <row r="15" spans="1:51" x14ac:dyDescent="0.25">
      <c r="A15" s="94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1.0198768078024345</v>
      </c>
      <c r="L15">
        <f>I15*$W15</f>
        <v>14.569668682891923</v>
      </c>
      <c r="M15">
        <v>0</v>
      </c>
      <c r="N15" s="1">
        <f t="shared" ref="N15:N20" si="20">I15*$AA$16</f>
        <v>24.157457853783391</v>
      </c>
      <c r="O15">
        <v>1.9556037310205601E-4</v>
      </c>
      <c r="P15" s="1">
        <f>I15*$AB15</f>
        <v>0.31759004591773898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>(($U15/100)*(1+$AA$16*$E$31)-$X15)/(((1+1/$W$23)*(14*10^(-6)))-(($J$31/$W$23+$F$31)*$U15/100))</f>
        <v>186.25538052241967</v>
      </c>
      <c r="W15" s="15">
        <f>$V15/$W$23</f>
        <v>2660.7911503202808</v>
      </c>
      <c r="X15" s="15">
        <f>2/100</f>
        <v>0.02</v>
      </c>
      <c r="Y15" s="17" t="s">
        <v>27</v>
      </c>
      <c r="Z15" s="17" t="s">
        <v>23</v>
      </c>
      <c r="AA15" s="18" t="s">
        <v>21</v>
      </c>
      <c r="AB15" s="15">
        <f>ROUND(W15/$AR$6*120,0)</f>
        <v>58</v>
      </c>
      <c r="AC15" s="32"/>
      <c r="AD15" s="1"/>
      <c r="AE15" s="1"/>
    </row>
    <row r="16" spans="1:51" x14ac:dyDescent="0.25">
      <c r="A16" s="94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1">I16*0.005</f>
        <v>1.1400000000000003E-5</v>
      </c>
      <c r="K16">
        <f>I16*$V16</f>
        <v>0.12434450325447456</v>
      </c>
      <c r="L16">
        <f t="shared" ref="L16:L20" si="22">I16*$W16</f>
        <v>1.7763500464924935</v>
      </c>
      <c r="M16">
        <v>0</v>
      </c>
      <c r="N16" s="1">
        <f t="shared" si="20"/>
        <v>10.058823529411766</v>
      </c>
      <c r="O16">
        <v>2.6899999999999998E-4</v>
      </c>
      <c r="P16" s="1">
        <f t="shared" ref="P16:P20" si="23">I16*$AB16</f>
        <v>3.8760000000000003E-2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ref="V16:V20" si="24">(($U16/100)*(1+$AA$16*$E$31)-$X16)/(((1+1/$W$23)*(14*10^(-6)))-(($J$31/$W$23+$F$31)*$U16/100))</f>
        <v>54.537062830909889</v>
      </c>
      <c r="W16" s="15">
        <f>$V16/$W$23</f>
        <v>779.10089758442689</v>
      </c>
      <c r="X16" s="15">
        <f>1/100</f>
        <v>0.01</v>
      </c>
      <c r="Y16" s="19">
        <v>1</v>
      </c>
      <c r="Z16" s="19">
        <v>0</v>
      </c>
      <c r="AA16" s="56">
        <f>$AA$17/100/(1-$X$34)*$X$33*10^6/$X$30</f>
        <v>4411.7647058823532</v>
      </c>
      <c r="AB16" s="15">
        <f t="shared" ref="AB16:AB20" si="25">ROUND(W16/$AR$6*120,0)</f>
        <v>17</v>
      </c>
      <c r="AC16" s="32"/>
      <c r="AD16" s="1"/>
      <c r="AE16" s="1"/>
    </row>
    <row r="17" spans="1:47" x14ac:dyDescent="0.25">
      <c r="A17" s="94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1"/>
        <v>3.2250953182909302E-5</v>
      </c>
      <c r="K17">
        <f t="shared" ref="K17:K20" si="26">I17*$V17</f>
        <v>1.5987512990457584</v>
      </c>
      <c r="L17">
        <f t="shared" si="22"/>
        <v>22.839304272082259</v>
      </c>
      <c r="M17">
        <v>0</v>
      </c>
      <c r="N17" s="1">
        <f t="shared" si="20"/>
        <v>28.456723396684676</v>
      </c>
      <c r="O17">
        <v>2.3036395130649501E-4</v>
      </c>
      <c r="P17" s="1">
        <f t="shared" si="23"/>
        <v>0.50311486965338503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4"/>
        <v>247.86109265957793</v>
      </c>
      <c r="W17" s="15">
        <f t="shared" ref="W17:W20" si="27">$V17/$W$23</f>
        <v>3540.8727522796844</v>
      </c>
      <c r="X17" s="15">
        <f>1.8/100</f>
        <v>1.8000000000000002E-2</v>
      </c>
      <c r="Y17" s="28"/>
      <c r="AA17" s="53">
        <v>10</v>
      </c>
      <c r="AB17" s="15">
        <f t="shared" si="25"/>
        <v>78</v>
      </c>
      <c r="AC17" s="32"/>
      <c r="AD17" s="1"/>
      <c r="AE17" s="1"/>
      <c r="AF17" s="1"/>
    </row>
    <row r="18" spans="1:47" x14ac:dyDescent="0.25">
      <c r="A18" s="94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1"/>
        <v>1.1400000000000003E-5</v>
      </c>
      <c r="K18">
        <f t="shared" si="26"/>
        <v>0.21269566975916449</v>
      </c>
      <c r="L18">
        <f t="shared" si="22"/>
        <v>3.0385095679880636</v>
      </c>
      <c r="M18">
        <v>0</v>
      </c>
      <c r="N18" s="1">
        <f t="shared" si="20"/>
        <v>10.058823529411766</v>
      </c>
      <c r="O18">
        <v>2.4800000000000001E-4</v>
      </c>
      <c r="P18" s="1">
        <f t="shared" si="23"/>
        <v>6.6120000000000012E-2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4"/>
        <v>93.287574455773878</v>
      </c>
      <c r="W18" s="15">
        <f t="shared" si="27"/>
        <v>1332.6796350824839</v>
      </c>
      <c r="X18" s="15">
        <f>0.9/100</f>
        <v>9.0000000000000011E-3</v>
      </c>
      <c r="AA18" s="54" t="s">
        <v>121</v>
      </c>
      <c r="AB18" s="15">
        <f t="shared" si="25"/>
        <v>29</v>
      </c>
      <c r="AC18" s="32"/>
      <c r="AD18" s="1"/>
      <c r="AE18" s="1"/>
      <c r="AF18" s="1"/>
    </row>
    <row r="19" spans="1:47" x14ac:dyDescent="0.25">
      <c r="A19" s="94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1"/>
        <v>2.0000000000000002E-7</v>
      </c>
      <c r="K19">
        <f t="shared" si="26"/>
        <v>3.7315029782309553E-3</v>
      </c>
      <c r="L19">
        <f t="shared" si="22"/>
        <v>5.3307185403299359E-2</v>
      </c>
      <c r="M19">
        <v>0</v>
      </c>
      <c r="N19" s="1">
        <f t="shared" si="20"/>
        <v>0.17647058823529413</v>
      </c>
      <c r="O19">
        <v>5.0000000000000004E-6</v>
      </c>
      <c r="P19" s="1">
        <f t="shared" si="23"/>
        <v>1.16E-3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4"/>
        <v>93.287574455773878</v>
      </c>
      <c r="W19" s="15">
        <f t="shared" si="27"/>
        <v>1332.6796350824839</v>
      </c>
      <c r="X19" s="15">
        <f>0.9/100</f>
        <v>9.0000000000000011E-3</v>
      </c>
      <c r="AA19" s="1"/>
      <c r="AB19" s="15">
        <f t="shared" si="25"/>
        <v>29</v>
      </c>
      <c r="AC19" s="32"/>
      <c r="AS19" s="50" t="s">
        <v>57</v>
      </c>
      <c r="AT19" s="9" t="s">
        <v>47</v>
      </c>
      <c r="AU19" s="10">
        <v>0</v>
      </c>
    </row>
    <row r="20" spans="1:47" x14ac:dyDescent="0.25">
      <c r="A20" s="94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1"/>
        <v>2.7805399999999996E-5</v>
      </c>
      <c r="K20">
        <f t="shared" si="26"/>
        <v>1.6123883150610094</v>
      </c>
      <c r="L20">
        <f t="shared" si="22"/>
        <v>23.034118786585847</v>
      </c>
      <c r="M20">
        <v>0</v>
      </c>
      <c r="N20" s="1">
        <f t="shared" si="20"/>
        <v>24.534176470588235</v>
      </c>
      <c r="O20">
        <v>1.9861E-4</v>
      </c>
      <c r="P20" s="1">
        <f t="shared" si="23"/>
        <v>0.50605827999999997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4"/>
        <v>289.94157880501803</v>
      </c>
      <c r="W20" s="16">
        <f t="shared" si="27"/>
        <v>4142.0225543573997</v>
      </c>
      <c r="X20" s="16">
        <f>1.65/100</f>
        <v>1.6500000000000001E-2</v>
      </c>
      <c r="AB20" s="16">
        <f t="shared" si="25"/>
        <v>91</v>
      </c>
      <c r="AC20" s="32"/>
      <c r="AS20" s="50"/>
      <c r="AT20" s="9" t="s">
        <v>48</v>
      </c>
      <c r="AU20" s="9">
        <v>0.106</v>
      </c>
    </row>
    <row r="21" spans="1:47" x14ac:dyDescent="0.25">
      <c r="A21" s="4"/>
      <c r="AM21" s="50"/>
      <c r="AN21" s="50"/>
      <c r="AO21" s="50"/>
      <c r="AP21" s="50"/>
      <c r="AQ21" s="50"/>
      <c r="AR21" s="50"/>
      <c r="AS21" s="9" t="s">
        <v>49</v>
      </c>
      <c r="AT21" s="9">
        <v>1.28</v>
      </c>
    </row>
    <row r="22" spans="1:47" x14ac:dyDescent="0.25">
      <c r="A22" s="4"/>
      <c r="W22" s="20" t="s">
        <v>80</v>
      </c>
      <c r="X22" s="40" t="s">
        <v>81</v>
      </c>
      <c r="AM22" s="50"/>
      <c r="AN22" s="50"/>
      <c r="AO22" s="50"/>
      <c r="AP22" s="50"/>
      <c r="AQ22" s="50"/>
      <c r="AR22" s="50"/>
      <c r="AS22" s="9" t="s">
        <v>50</v>
      </c>
      <c r="AT22" s="9">
        <v>0.8</v>
      </c>
    </row>
    <row r="23" spans="1:47" x14ac:dyDescent="0.25">
      <c r="A23" s="4"/>
      <c r="W23" s="16">
        <v>7.0000000000000007E-2</v>
      </c>
      <c r="X23" s="41"/>
      <c r="AM23" s="50"/>
      <c r="AN23" s="50"/>
      <c r="AO23" s="50"/>
      <c r="AP23" s="50"/>
      <c r="AQ23" s="50"/>
      <c r="AR23" s="50"/>
      <c r="AS23" s="9" t="s">
        <v>60</v>
      </c>
      <c r="AT23" s="9">
        <f>210*3600*24/12</f>
        <v>1512000</v>
      </c>
    </row>
    <row r="24" spans="1:47" x14ac:dyDescent="0.25">
      <c r="A24" s="4"/>
      <c r="F24" s="1"/>
      <c r="AM24" s="9"/>
      <c r="AN24" s="9"/>
      <c r="AO24" s="9"/>
      <c r="AP24" s="9"/>
      <c r="AQ24" s="9"/>
      <c r="AR24" s="9"/>
      <c r="AS24" s="9" t="s">
        <v>58</v>
      </c>
      <c r="AT24" s="9">
        <v>5</v>
      </c>
    </row>
    <row r="25" spans="1:47" x14ac:dyDescent="0.25">
      <c r="A25" s="94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R25" s="3"/>
      <c r="S25" s="2"/>
      <c r="AM25" s="11"/>
      <c r="AN25" s="11"/>
      <c r="AO25" s="11"/>
      <c r="AP25" s="11"/>
      <c r="AQ25" s="11"/>
      <c r="AR25" s="11"/>
      <c r="AS25" s="9" t="s">
        <v>59</v>
      </c>
      <c r="AT25" s="9">
        <f>1/59</f>
        <v>1.6949152542372881E-2</v>
      </c>
    </row>
    <row r="26" spans="1:47" x14ac:dyDescent="0.25">
      <c r="A26" s="94"/>
      <c r="B26">
        <v>1</v>
      </c>
      <c r="C26" t="s">
        <v>30</v>
      </c>
      <c r="D26" t="s">
        <v>67</v>
      </c>
      <c r="E26" s="28">
        <f>SUM($K$27,$I$15:$I$20,$AI$5:$AI$12)*AA16</f>
        <v>275.062508976402</v>
      </c>
      <c r="F26" s="28">
        <f>SUM(K15:K20,F27,AD5:AD12)</f>
        <v>18.715390759677867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9"/>
      <c r="AT26" s="9"/>
    </row>
    <row r="27" spans="1:47" x14ac:dyDescent="0.25">
      <c r="A27" s="94"/>
      <c r="B27">
        <v>1</v>
      </c>
      <c r="C27" t="s">
        <v>30</v>
      </c>
      <c r="D27" t="s">
        <v>68</v>
      </c>
      <c r="E27" s="28">
        <f>E28*$K$27</f>
        <v>165.74751921062509</v>
      </c>
      <c r="F27" s="28">
        <f>F28*$K$27</f>
        <v>13.380040196017676</v>
      </c>
      <c r="G27" s="28">
        <f>G28*$K$27</f>
        <v>11.4359317914681</v>
      </c>
      <c r="H27" s="28" t="s">
        <v>32</v>
      </c>
      <c r="I27" s="28" t="s">
        <v>32</v>
      </c>
      <c r="J27" s="28" t="s">
        <v>32</v>
      </c>
      <c r="K27" s="1">
        <f>$P$31/$O$28/(1+$E$28*$E$31+$F$28*$F$31+$G$28*$G$31)</f>
        <v>3.7569437687741687E-2</v>
      </c>
      <c r="L27" s="1">
        <f>L28*K27</f>
        <v>1.8784718843870845E-4</v>
      </c>
      <c r="M27" s="28">
        <f>M28*$K$27</f>
        <v>0.18784718843870843</v>
      </c>
      <c r="O27" s="20" t="s">
        <v>69</v>
      </c>
      <c r="P27" s="20" t="s">
        <v>83</v>
      </c>
      <c r="Q27" s="20" t="s">
        <v>82</v>
      </c>
      <c r="R27" s="95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9"/>
      <c r="AT27" s="9"/>
    </row>
    <row r="28" spans="1:47" x14ac:dyDescent="0.25">
      <c r="E28" s="57">
        <f>AA16</f>
        <v>4411.7647058823532</v>
      </c>
      <c r="F28" s="58">
        <f>(($Q$28/100)*(1+$E$28*$E$31)-$L$28)/((1+1/$P$28)*(14*10^-6-$J$31*$Q$28/100))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59">
        <v>5.0000000000000001E-3</v>
      </c>
      <c r="M28" s="22">
        <v>5</v>
      </c>
      <c r="O28" s="16">
        <v>0.8</v>
      </c>
      <c r="P28" s="16">
        <v>1.17</v>
      </c>
      <c r="Q28" s="16">
        <v>1.2</v>
      </c>
      <c r="R28" s="95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9"/>
      <c r="AT28" s="9"/>
    </row>
    <row r="29" spans="1:47" x14ac:dyDescent="0.25">
      <c r="F29" s="1"/>
      <c r="R29" s="95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9"/>
      <c r="AT29" s="9"/>
    </row>
    <row r="30" spans="1:47" x14ac:dyDescent="0.25">
      <c r="D30" s="27" t="s">
        <v>78</v>
      </c>
      <c r="F30" s="1"/>
      <c r="R30" s="95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9"/>
      <c r="AT30" s="9"/>
    </row>
    <row r="31" spans="1:47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O31" s="35" t="s">
        <v>109</v>
      </c>
      <c r="P31" s="36">
        <f t="array" ref="P31">SUM(I15:I20,AI5:AI12)+SUM(AD5:AD12*F31,K15:K20*F31)+SUM(AF5:AF12*J31,L15:L20*J31)+SUM(AC5:AC12*E31,N15:N20*E31)</f>
        <v>3.5521334871089626E-2</v>
      </c>
      <c r="R31" s="95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9"/>
      <c r="AT31" s="9"/>
    </row>
    <row r="32" spans="1:47" x14ac:dyDescent="0.25">
      <c r="D32" s="23" t="s">
        <v>76</v>
      </c>
      <c r="E32" s="23">
        <f>E26*E31</f>
        <v>7.8589288278972016E-3</v>
      </c>
      <c r="F32" s="24">
        <f>F26*F31</f>
        <v>1.9408553380406675E-3</v>
      </c>
      <c r="G32" s="24"/>
      <c r="O32" s="35" t="s">
        <v>110</v>
      </c>
      <c r="P32" s="36">
        <f>K27+E27*E31+F27*F31+G27*G31</f>
        <v>4.4401668588862034E-2</v>
      </c>
      <c r="R32" s="13"/>
      <c r="S32" s="11" t="s">
        <v>52</v>
      </c>
      <c r="T32" s="9">
        <v>1.557936E-2</v>
      </c>
      <c r="W32" s="35" t="s">
        <v>85</v>
      </c>
      <c r="X32" s="37">
        <v>14</v>
      </c>
    </row>
    <row r="33" spans="15:24" x14ac:dyDescent="0.25">
      <c r="O33" s="37"/>
      <c r="P33" s="38"/>
      <c r="W33" s="35" t="s">
        <v>119</v>
      </c>
      <c r="X33" s="37">
        <v>12</v>
      </c>
    </row>
    <row r="34" spans="15:24" x14ac:dyDescent="0.25">
      <c r="O34" s="35" t="s">
        <v>111</v>
      </c>
      <c r="P34" s="39">
        <f>1-SUM(AI5:AI12,I15:I20)/P31</f>
        <v>0.30244557427722141</v>
      </c>
      <c r="W34" s="35" t="s">
        <v>122</v>
      </c>
      <c r="X34" s="55">
        <v>0.2</v>
      </c>
    </row>
    <row r="35" spans="15:24" x14ac:dyDescent="0.25">
      <c r="O35" s="35" t="s">
        <v>112</v>
      </c>
      <c r="P35" s="39">
        <f>1-K27/P32</f>
        <v>0.15387329166350705</v>
      </c>
      <c r="Q35" s="1"/>
    </row>
    <row r="36" spans="15:24" x14ac:dyDescent="0.25">
      <c r="P36" s="1"/>
      <c r="Q36" s="1"/>
    </row>
  </sheetData>
  <mergeCells count="4">
    <mergeCell ref="A4:A12"/>
    <mergeCell ref="A14:A20"/>
    <mergeCell ref="A25:A27"/>
    <mergeCell ref="R27:R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H30" sqref="H30"/>
    </sheetView>
  </sheetViews>
  <sheetFormatPr baseColWidth="10" defaultRowHeight="15" x14ac:dyDescent="0.25"/>
  <sheetData>
    <row r="1" spans="1:9" x14ac:dyDescent="0.25">
      <c r="A1" s="30" t="s">
        <v>93</v>
      </c>
    </row>
    <row r="3" spans="1:9" x14ac:dyDescent="0.25">
      <c r="C3" s="31" t="s">
        <v>94</v>
      </c>
      <c r="D3" s="31" t="s">
        <v>84</v>
      </c>
      <c r="E3" s="31" t="s">
        <v>84</v>
      </c>
      <c r="F3" s="31" t="s">
        <v>95</v>
      </c>
      <c r="G3" s="31" t="s">
        <v>96</v>
      </c>
      <c r="I3" s="31" t="s">
        <v>97</v>
      </c>
    </row>
    <row r="4" spans="1:9" x14ac:dyDescent="0.25">
      <c r="A4" s="7" t="s">
        <v>98</v>
      </c>
      <c r="B4" s="7" t="s">
        <v>99</v>
      </c>
      <c r="C4" s="7" t="s">
        <v>100</v>
      </c>
      <c r="D4" s="7" t="s">
        <v>27</v>
      </c>
      <c r="E4" s="7" t="s">
        <v>43</v>
      </c>
      <c r="F4" s="7" t="s">
        <v>101</v>
      </c>
      <c r="G4" s="7" t="s">
        <v>102</v>
      </c>
      <c r="I4" s="7" t="s">
        <v>103</v>
      </c>
    </row>
    <row r="5" spans="1:9" x14ac:dyDescent="0.25">
      <c r="A5">
        <v>11</v>
      </c>
      <c r="B5" t="s">
        <v>38</v>
      </c>
      <c r="C5">
        <v>34.6</v>
      </c>
      <c r="D5">
        <v>140</v>
      </c>
      <c r="E5">
        <v>0.97</v>
      </c>
      <c r="F5" s="28">
        <f>D5/C5*10</f>
        <v>40.462427745664733</v>
      </c>
      <c r="G5">
        <v>15</v>
      </c>
      <c r="I5" s="28">
        <f>G5/D5*1000</f>
        <v>107.14285714285714</v>
      </c>
    </row>
    <row r="6" spans="1:9" x14ac:dyDescent="0.25">
      <c r="A6">
        <v>10</v>
      </c>
      <c r="B6" t="s">
        <v>38</v>
      </c>
      <c r="C6">
        <v>34</v>
      </c>
      <c r="D6">
        <v>90</v>
      </c>
      <c r="E6">
        <v>0.77</v>
      </c>
      <c r="F6" s="28">
        <f t="shared" ref="F6:F17" si="0">D6/C6*10</f>
        <v>26.470588235294116</v>
      </c>
      <c r="G6">
        <v>8</v>
      </c>
      <c r="I6" s="28">
        <f t="shared" ref="I6:I20" si="1">G6/D6*1000</f>
        <v>88.888888888888886</v>
      </c>
    </row>
    <row r="7" spans="1:9" x14ac:dyDescent="0.25">
      <c r="A7">
        <v>9</v>
      </c>
      <c r="B7" t="s">
        <v>38</v>
      </c>
      <c r="C7">
        <v>22.8</v>
      </c>
      <c r="D7">
        <v>50</v>
      </c>
      <c r="E7">
        <v>0.47</v>
      </c>
      <c r="F7" s="28">
        <f t="shared" si="0"/>
        <v>21.929824561403507</v>
      </c>
      <c r="G7">
        <v>3.5</v>
      </c>
      <c r="I7" s="28">
        <f t="shared" si="1"/>
        <v>70</v>
      </c>
    </row>
    <row r="8" spans="1:9" x14ac:dyDescent="0.25">
      <c r="A8">
        <v>8</v>
      </c>
      <c r="B8" t="s">
        <v>38</v>
      </c>
      <c r="C8">
        <v>16</v>
      </c>
      <c r="D8">
        <v>40</v>
      </c>
      <c r="E8">
        <v>0.34</v>
      </c>
      <c r="F8" s="28">
        <f t="shared" si="0"/>
        <v>25</v>
      </c>
      <c r="G8">
        <v>2.5</v>
      </c>
      <c r="I8" s="28">
        <f t="shared" si="1"/>
        <v>62.5</v>
      </c>
    </row>
    <row r="9" spans="1:9" x14ac:dyDescent="0.25">
      <c r="A9">
        <v>11</v>
      </c>
      <c r="B9" t="s">
        <v>40</v>
      </c>
      <c r="C9">
        <v>6</v>
      </c>
      <c r="D9">
        <v>123</v>
      </c>
      <c r="E9">
        <v>0.6</v>
      </c>
      <c r="F9" s="28">
        <f t="shared" si="0"/>
        <v>205</v>
      </c>
      <c r="G9">
        <v>0.5</v>
      </c>
      <c r="I9" s="28">
        <f t="shared" si="1"/>
        <v>4.0650406504065044</v>
      </c>
    </row>
    <row r="10" spans="1:9" x14ac:dyDescent="0.25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8">
        <f t="shared" si="0"/>
        <v>190</v>
      </c>
      <c r="G10">
        <v>0.2</v>
      </c>
      <c r="I10" s="28">
        <f t="shared" si="1"/>
        <v>2.1052631578947367</v>
      </c>
    </row>
    <row r="11" spans="1:9" x14ac:dyDescent="0.25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8">
        <f t="shared" si="0"/>
        <v>182.5</v>
      </c>
      <c r="G11">
        <v>0.15</v>
      </c>
      <c r="I11" s="28">
        <f t="shared" si="1"/>
        <v>2.054794520547945</v>
      </c>
    </row>
    <row r="12" spans="1:9" x14ac:dyDescent="0.25">
      <c r="A12">
        <v>8</v>
      </c>
      <c r="B12" t="s">
        <v>40</v>
      </c>
      <c r="C12">
        <v>2</v>
      </c>
      <c r="D12">
        <v>58</v>
      </c>
      <c r="E12">
        <v>0.43</v>
      </c>
      <c r="F12" s="28">
        <f t="shared" si="0"/>
        <v>290</v>
      </c>
      <c r="G12">
        <v>1.5</v>
      </c>
      <c r="I12" s="28">
        <f t="shared" si="1"/>
        <v>25.862068965517242</v>
      </c>
    </row>
    <row r="13" spans="1:9" x14ac:dyDescent="0.25">
      <c r="A13">
        <v>11</v>
      </c>
      <c r="B13" t="s">
        <v>104</v>
      </c>
      <c r="C13">
        <v>0.8</v>
      </c>
      <c r="D13">
        <v>32</v>
      </c>
      <c r="E13">
        <v>0.09</v>
      </c>
      <c r="F13" s="28">
        <f t="shared" si="0"/>
        <v>400</v>
      </c>
      <c r="G13">
        <v>0.5</v>
      </c>
      <c r="I13" s="28">
        <f t="shared" si="1"/>
        <v>15.625</v>
      </c>
    </row>
    <row r="14" spans="1:9" x14ac:dyDescent="0.25">
      <c r="A14">
        <v>11</v>
      </c>
      <c r="B14" t="s">
        <v>105</v>
      </c>
      <c r="C14">
        <v>4</v>
      </c>
      <c r="D14">
        <v>160</v>
      </c>
      <c r="E14">
        <v>0.43</v>
      </c>
      <c r="F14" s="28">
        <f t="shared" si="0"/>
        <v>400</v>
      </c>
      <c r="G14">
        <v>0.5</v>
      </c>
      <c r="I14" s="28">
        <f t="shared" si="1"/>
        <v>3.125</v>
      </c>
    </row>
    <row r="15" spans="1:9" x14ac:dyDescent="0.25">
      <c r="A15">
        <v>10</v>
      </c>
      <c r="B15" t="s">
        <v>106</v>
      </c>
      <c r="C15">
        <v>4</v>
      </c>
      <c r="D15">
        <v>152</v>
      </c>
      <c r="E15">
        <v>0.32</v>
      </c>
      <c r="F15" s="28">
        <f t="shared" si="0"/>
        <v>380</v>
      </c>
      <c r="G15">
        <v>0.15</v>
      </c>
      <c r="I15" s="28">
        <f t="shared" si="1"/>
        <v>0.98684210526315796</v>
      </c>
    </row>
    <row r="16" spans="1:9" x14ac:dyDescent="0.25">
      <c r="A16">
        <v>9</v>
      </c>
      <c r="B16" t="s">
        <v>106</v>
      </c>
      <c r="C16">
        <v>2.5</v>
      </c>
      <c r="D16">
        <v>109</v>
      </c>
      <c r="E16">
        <v>0.26</v>
      </c>
      <c r="F16" s="28">
        <f t="shared" si="0"/>
        <v>436</v>
      </c>
      <c r="G16">
        <v>0.1</v>
      </c>
      <c r="I16" s="28">
        <f t="shared" si="1"/>
        <v>0.91743119266055051</v>
      </c>
    </row>
    <row r="17" spans="1:9" x14ac:dyDescent="0.25">
      <c r="A17">
        <v>8</v>
      </c>
      <c r="B17" t="s">
        <v>106</v>
      </c>
      <c r="C17">
        <v>1</v>
      </c>
      <c r="D17">
        <v>74</v>
      </c>
      <c r="E17">
        <v>0.31</v>
      </c>
      <c r="F17" s="28">
        <f t="shared" si="0"/>
        <v>740</v>
      </c>
      <c r="G17">
        <v>0.1</v>
      </c>
      <c r="I17" s="28">
        <f t="shared" si="1"/>
        <v>1.3513513513513513</v>
      </c>
    </row>
    <row r="19" spans="1:9" x14ac:dyDescent="0.25">
      <c r="B19" t="s">
        <v>157</v>
      </c>
      <c r="C19">
        <v>15</v>
      </c>
      <c r="D19">
        <v>210</v>
      </c>
      <c r="E19">
        <v>1.01</v>
      </c>
      <c r="G19">
        <v>15</v>
      </c>
      <c r="I19" s="28">
        <f t="shared" si="1"/>
        <v>71.428571428571431</v>
      </c>
    </row>
    <row r="20" spans="1:9" x14ac:dyDescent="0.25">
      <c r="B20" t="s">
        <v>107</v>
      </c>
      <c r="D20">
        <f>0.5*1000</f>
        <v>500</v>
      </c>
      <c r="E20">
        <f>0.01*1000</f>
        <v>10</v>
      </c>
      <c r="G20">
        <v>2.5</v>
      </c>
      <c r="I20" s="28">
        <f t="shared" si="1"/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INPUTS_tillering</vt:lpstr>
      <vt:lpstr>INPUTS</vt:lpstr>
      <vt:lpstr>INPUTS_save</vt:lpstr>
      <vt:lpstr>INPUTS_save2</vt:lpstr>
      <vt:lpstr>Barillot2016b_inputs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2019-01-03T16:17:35Z</dcterms:modified>
</cp:coreProperties>
</file>