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ngauthier\Documents\Marion_These\Modeles\fspm-wheat\trunk\fspmwheat\inputs\"/>
    </mc:Choice>
  </mc:AlternateContent>
  <bookViews>
    <workbookView xWindow="0" yWindow="0" windowWidth="28800" windowHeight="14100"/>
  </bookViews>
  <sheets>
    <sheet name="INPUTS" sheetId="15" r:id="rId1"/>
    <sheet name="INPUTS_save" sheetId="1" r:id="rId2"/>
    <sheet name="INPUTS_save2" sheetId="9" r:id="rId3"/>
    <sheet name="mstruct" sheetId="10" r:id="rId4"/>
    <sheet name="Nstruct" sheetId="11" r:id="rId5"/>
    <sheet name="N content" sheetId="2" r:id="rId6"/>
    <sheet name="N crit" sheetId="4" r:id="rId7"/>
    <sheet name="shoot roots" sheetId="7" r:id="rId8"/>
    <sheet name="allocation C roots" sheetId="8" r:id="rId9"/>
    <sheet name="Conc Shoot" sheetId="3" r:id="rId10"/>
    <sheet name="Conc HZ" sheetId="14" r:id="rId11"/>
    <sheet name="Barillot2016b_inputs" sheetId="6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6" i="15" l="1"/>
  <c r="G15" i="15"/>
  <c r="E5" i="15"/>
  <c r="C53" i="3" l="1"/>
  <c r="AA16" i="15" l="1"/>
  <c r="N16" i="15" s="1"/>
  <c r="AA17" i="15"/>
  <c r="AA18" i="15"/>
  <c r="N18" i="15" s="1"/>
  <c r="AA19" i="15"/>
  <c r="N19" i="15" s="1"/>
  <c r="AA20" i="15"/>
  <c r="AA15" i="15"/>
  <c r="N15" i="15" s="1"/>
  <c r="N17" i="15"/>
  <c r="J45" i="3"/>
  <c r="I45" i="3"/>
  <c r="D52" i="3"/>
  <c r="H45" i="3"/>
  <c r="C52" i="3"/>
  <c r="H46" i="3"/>
  <c r="G44" i="3"/>
  <c r="H43" i="3"/>
  <c r="H42" i="3"/>
  <c r="I42" i="3" s="1"/>
  <c r="AQ15" i="15"/>
  <c r="AP15" i="15"/>
  <c r="T31" i="15"/>
  <c r="J31" i="15"/>
  <c r="G31" i="15"/>
  <c r="F31" i="15"/>
  <c r="E31" i="15"/>
  <c r="AS25" i="15"/>
  <c r="AT23" i="15"/>
  <c r="W20" i="15"/>
  <c r="X20" i="15" s="1"/>
  <c r="J20" i="15"/>
  <c r="O20" i="15" s="1"/>
  <c r="K19" i="15"/>
  <c r="J19" i="15"/>
  <c r="O19" i="15" s="1"/>
  <c r="J18" i="15"/>
  <c r="O18" i="15" s="1"/>
  <c r="J17" i="15"/>
  <c r="AR16" i="15"/>
  <c r="AB16" i="15"/>
  <c r="W15" i="15" s="1"/>
  <c r="X15" i="15" s="1"/>
  <c r="W16" i="15"/>
  <c r="X16" i="15" s="1"/>
  <c r="J16" i="15"/>
  <c r="O16" i="15" s="1"/>
  <c r="J15" i="15"/>
  <c r="AY12" i="15"/>
  <c r="AW12" i="15"/>
  <c r="AH12" i="15" s="1"/>
  <c r="AK12" i="15" s="1"/>
  <c r="AM12" i="15" s="1"/>
  <c r="AT12" i="15"/>
  <c r="AL12" i="15"/>
  <c r="AY11" i="15"/>
  <c r="AW11" i="15"/>
  <c r="AH11" i="15" s="1"/>
  <c r="AT11" i="15"/>
  <c r="AL11" i="15"/>
  <c r="AY10" i="15"/>
  <c r="AW10" i="15"/>
  <c r="AH10" i="15" s="1"/>
  <c r="AJ10" i="15" s="1"/>
  <c r="AD10" i="15" s="1"/>
  <c r="AT10" i="15"/>
  <c r="AL10" i="15"/>
  <c r="AY9" i="15"/>
  <c r="AW9" i="15"/>
  <c r="AH9" i="15" s="1"/>
  <c r="AJ9" i="15" s="1"/>
  <c r="AD9" i="15" s="1"/>
  <c r="AT9" i="15"/>
  <c r="AL9" i="15"/>
  <c r="AY8" i="15"/>
  <c r="AW8" i="15"/>
  <c r="AT8" i="15"/>
  <c r="AL8" i="15"/>
  <c r="AH8" i="15"/>
  <c r="AJ8" i="15" s="1"/>
  <c r="AY7" i="15"/>
  <c r="AW7" i="15"/>
  <c r="AH7" i="15" s="1"/>
  <c r="AJ7" i="15" s="1"/>
  <c r="AT7" i="15"/>
  <c r="AL7" i="15"/>
  <c r="AY6" i="15"/>
  <c r="AI6" i="15" s="1"/>
  <c r="AL6" i="15" s="1"/>
  <c r="AW6" i="15"/>
  <c r="AH6" i="15" s="1"/>
  <c r="AJ6" i="15" s="1"/>
  <c r="AY5" i="15"/>
  <c r="AI5" i="15" s="1"/>
  <c r="AL5" i="15" s="1"/>
  <c r="AW5" i="15"/>
  <c r="J5" i="15"/>
  <c r="K5" i="15" s="1"/>
  <c r="G5" i="15"/>
  <c r="E2" i="15"/>
  <c r="E35" i="14"/>
  <c r="E36" i="14"/>
  <c r="E34" i="14"/>
  <c r="D61" i="14"/>
  <c r="C61" i="14"/>
  <c r="D36" i="14"/>
  <c r="D35" i="14"/>
  <c r="D34" i="14"/>
  <c r="C35" i="14"/>
  <c r="C36" i="14"/>
  <c r="C34" i="14"/>
  <c r="B28" i="3"/>
  <c r="D27" i="3"/>
  <c r="C27" i="3"/>
  <c r="F26" i="1"/>
  <c r="E26" i="1"/>
  <c r="C50" i="3"/>
  <c r="C45" i="3"/>
  <c r="B51" i="3"/>
  <c r="C49" i="3"/>
  <c r="D49" i="3" s="1"/>
  <c r="C97" i="3"/>
  <c r="B97" i="3"/>
  <c r="E8" i="15" l="1"/>
  <c r="AK7" i="15"/>
  <c r="AM7" i="15" s="1"/>
  <c r="E6" i="15"/>
  <c r="E9" i="15"/>
  <c r="AK9" i="15"/>
  <c r="AM9" i="15" s="1"/>
  <c r="E11" i="15"/>
  <c r="N20" i="15"/>
  <c r="E7" i="15"/>
  <c r="W18" i="15"/>
  <c r="X18" i="15" s="1"/>
  <c r="AF10" i="15"/>
  <c r="AF9" i="15"/>
  <c r="AF8" i="15"/>
  <c r="AF7" i="15"/>
  <c r="AF6" i="15"/>
  <c r="AR15" i="15"/>
  <c r="AD7" i="15"/>
  <c r="AD8" i="15"/>
  <c r="AD6" i="15"/>
  <c r="H44" i="3"/>
  <c r="I43" i="3"/>
  <c r="I44" i="3" s="1"/>
  <c r="AT5" i="15"/>
  <c r="J6" i="15"/>
  <c r="AU5" i="15"/>
  <c r="AK11" i="15"/>
  <c r="AM11" i="15" s="1"/>
  <c r="AJ11" i="15"/>
  <c r="M16" i="15"/>
  <c r="W17" i="15"/>
  <c r="X17" i="15" s="1"/>
  <c r="M18" i="15"/>
  <c r="E28" i="15"/>
  <c r="K15" i="15"/>
  <c r="M15" i="15"/>
  <c r="K20" i="15"/>
  <c r="AK6" i="15"/>
  <c r="AM6" i="15" s="1"/>
  <c r="AK8" i="15"/>
  <c r="AM8" i="15" s="1"/>
  <c r="E10" i="15"/>
  <c r="AK10" i="15"/>
  <c r="AM10" i="15" s="1"/>
  <c r="E12" i="15"/>
  <c r="O15" i="15"/>
  <c r="L20" i="15"/>
  <c r="K16" i="15"/>
  <c r="O17" i="15"/>
  <c r="K18" i="15"/>
  <c r="W19" i="15"/>
  <c r="M20" i="15"/>
  <c r="L15" i="15"/>
  <c r="K17" i="15"/>
  <c r="AJ12" i="15"/>
  <c r="L16" i="15"/>
  <c r="C51" i="3"/>
  <c r="D50" i="3"/>
  <c r="D51" i="3" s="1"/>
  <c r="L18" i="15" l="1"/>
  <c r="AD18" i="15" s="1"/>
  <c r="AE18" i="15" s="1"/>
  <c r="AD20" i="15"/>
  <c r="AE20" i="15" s="1"/>
  <c r="AV5" i="15"/>
  <c r="AH5" i="15" s="1"/>
  <c r="AD12" i="15"/>
  <c r="AF12" i="15"/>
  <c r="AD11" i="15"/>
  <c r="AF11" i="15"/>
  <c r="AD16" i="15"/>
  <c r="AE16" i="15" s="1"/>
  <c r="AQ5" i="15"/>
  <c r="AR5" i="15" s="1"/>
  <c r="AQ9" i="15"/>
  <c r="AR9" i="15" s="1"/>
  <c r="AG9" i="15" s="1"/>
  <c r="AQ6" i="15"/>
  <c r="AQ12" i="15"/>
  <c r="AR12" i="15" s="1"/>
  <c r="AG12" i="15" s="1"/>
  <c r="AQ7" i="15"/>
  <c r="AR7" i="15" s="1"/>
  <c r="AG7" i="15" s="1"/>
  <c r="AQ8" i="15"/>
  <c r="AQ10" i="15"/>
  <c r="AQ11" i="15"/>
  <c r="AR11" i="15" s="1"/>
  <c r="M17" i="15"/>
  <c r="AT6" i="15"/>
  <c r="J7" i="15"/>
  <c r="K6" i="15"/>
  <c r="AU6" i="15"/>
  <c r="AV6" i="15" s="1"/>
  <c r="AD15" i="15"/>
  <c r="X19" i="15"/>
  <c r="L19" i="15"/>
  <c r="AJ5" i="15"/>
  <c r="AK5" i="15"/>
  <c r="AM5" i="15" s="1"/>
  <c r="F28" i="15"/>
  <c r="AE9" i="15"/>
  <c r="AN9" i="15" s="1"/>
  <c r="AO9" i="15" s="1"/>
  <c r="L17" i="15"/>
  <c r="AG11" i="15"/>
  <c r="AE11" i="15" l="1"/>
  <c r="AD5" i="15"/>
  <c r="AF5" i="15"/>
  <c r="AE8" i="15"/>
  <c r="AR8" i="15"/>
  <c r="AG8" i="15" s="1"/>
  <c r="AR6" i="15"/>
  <c r="AE6" i="15"/>
  <c r="AE12" i="15"/>
  <c r="AN12" i="15" s="1"/>
  <c r="AO12" i="15" s="1"/>
  <c r="AE7" i="15"/>
  <c r="AN7" i="15" s="1"/>
  <c r="AO7" i="15" s="1"/>
  <c r="AR10" i="15"/>
  <c r="AG10" i="15" s="1"/>
  <c r="AE10" i="15"/>
  <c r="AN10" i="15" s="1"/>
  <c r="AO10" i="15" s="1"/>
  <c r="AN11" i="15"/>
  <c r="AO11" i="15" s="1"/>
  <c r="AE15" i="15"/>
  <c r="G28" i="15"/>
  <c r="J8" i="15"/>
  <c r="K7" i="15"/>
  <c r="AU7" i="15"/>
  <c r="AV7" i="15" s="1"/>
  <c r="AG5" i="15"/>
  <c r="AE5" i="15"/>
  <c r="AD17" i="15"/>
  <c r="AE17" i="15" s="1"/>
  <c r="M19" i="15"/>
  <c r="AD19" i="15" s="1"/>
  <c r="AE19" i="15" s="1"/>
  <c r="AC19" i="15"/>
  <c r="Q19" i="15" s="1"/>
  <c r="P33" i="15" l="1" a="1"/>
  <c r="AN5" i="15"/>
  <c r="AO5" i="15" s="1"/>
  <c r="AG6" i="15"/>
  <c r="AN6" i="15" s="1"/>
  <c r="AC15" i="15"/>
  <c r="Q15" i="15" s="1"/>
  <c r="AC20" i="15"/>
  <c r="Q20" i="15" s="1"/>
  <c r="AC16" i="15"/>
  <c r="Q16" i="15" s="1"/>
  <c r="AC18" i="15"/>
  <c r="Q18" i="15" s="1"/>
  <c r="AC17" i="15"/>
  <c r="Q17" i="15" s="1"/>
  <c r="AN8" i="15"/>
  <c r="AO8" i="15" s="1"/>
  <c r="K8" i="15"/>
  <c r="J9" i="15"/>
  <c r="AU8" i="15"/>
  <c r="AV8" i="15" s="1"/>
  <c r="P33" i="15" l="1"/>
  <c r="K27" i="15" s="1"/>
  <c r="G27" i="15" s="1"/>
  <c r="AO6" i="15"/>
  <c r="Y23" i="15"/>
  <c r="P37" i="15"/>
  <c r="J10" i="15"/>
  <c r="K9" i="15"/>
  <c r="AU9" i="15"/>
  <c r="AV9" i="15" s="1"/>
  <c r="N28" i="15"/>
  <c r="L27" i="15"/>
  <c r="E27" i="15"/>
  <c r="F27" i="15"/>
  <c r="E6" i="14"/>
  <c r="E7" i="14"/>
  <c r="E5" i="14"/>
  <c r="C9" i="14"/>
  <c r="D6" i="14"/>
  <c r="D7" i="14"/>
  <c r="D5" i="14"/>
  <c r="C6" i="14"/>
  <c r="C7" i="14"/>
  <c r="C5" i="14"/>
  <c r="G6" i="14"/>
  <c r="G5" i="14"/>
  <c r="P15" i="3"/>
  <c r="A24" i="3"/>
  <c r="E17" i="3"/>
  <c r="E18" i="3"/>
  <c r="D17" i="3"/>
  <c r="V25" i="1"/>
  <c r="V24" i="1"/>
  <c r="V23" i="1"/>
  <c r="V22" i="1"/>
  <c r="Y21" i="1"/>
  <c r="W21" i="1"/>
  <c r="V21" i="1"/>
  <c r="D20" i="3"/>
  <c r="P30" i="15" l="1"/>
  <c r="M27" i="15"/>
  <c r="P34" i="15"/>
  <c r="P38" i="15" s="1"/>
  <c r="P32" i="15"/>
  <c r="E32" i="15"/>
  <c r="F32" i="15"/>
  <c r="P42" i="15"/>
  <c r="K10" i="15"/>
  <c r="AU10" i="15"/>
  <c r="AV10" i="15" s="1"/>
  <c r="J11" i="15"/>
  <c r="P35" i="15" l="1"/>
  <c r="P43" i="15" s="1"/>
  <c r="P44" i="15"/>
  <c r="P39" i="15"/>
  <c r="P40" i="15"/>
  <c r="AU11" i="15"/>
  <c r="AV11" i="15" s="1"/>
  <c r="J12" i="15"/>
  <c r="K11" i="15"/>
  <c r="K12" i="15" l="1"/>
  <c r="AU12" i="15"/>
  <c r="AV12" i="15" s="1"/>
  <c r="P37" i="1" l="1"/>
  <c r="P33" i="1" a="1"/>
  <c r="P33" i="1"/>
  <c r="X23" i="1"/>
  <c r="AN6" i="1"/>
  <c r="AN7" i="1"/>
  <c r="AN8" i="1"/>
  <c r="AN9" i="1"/>
  <c r="AN10" i="1"/>
  <c r="AN11" i="1"/>
  <c r="AN12" i="1"/>
  <c r="AO12" i="1" s="1"/>
  <c r="AN5" i="1"/>
  <c r="AO5" i="1" s="1"/>
  <c r="AV5" i="1"/>
  <c r="AO6" i="1"/>
  <c r="AO7" i="1"/>
  <c r="AO8" i="1"/>
  <c r="AO9" i="1"/>
  <c r="AO10" i="1"/>
  <c r="AO11" i="1"/>
  <c r="AD16" i="1"/>
  <c r="AD17" i="1"/>
  <c r="AD18" i="1"/>
  <c r="AD19" i="1"/>
  <c r="AD20" i="1"/>
  <c r="AD15" i="1"/>
  <c r="AC16" i="1"/>
  <c r="AC17" i="1"/>
  <c r="AC18" i="1"/>
  <c r="AC19" i="1"/>
  <c r="AC20" i="1"/>
  <c r="AC15" i="1"/>
  <c r="E6" i="1" l="1"/>
  <c r="E7" i="1"/>
  <c r="E8" i="1"/>
  <c r="E9" i="1"/>
  <c r="E10" i="1"/>
  <c r="E11" i="1"/>
  <c r="E12" i="1"/>
  <c r="E2" i="1"/>
  <c r="E5" i="1" s="1"/>
  <c r="Q81" i="10"/>
  <c r="Q82" i="10"/>
  <c r="Q83" i="10"/>
  <c r="Q84" i="10"/>
  <c r="Q85" i="10"/>
  <c r="H87" i="10"/>
  <c r="H88" i="10"/>
  <c r="H89" i="10"/>
  <c r="H90" i="10"/>
  <c r="H91" i="10"/>
  <c r="H92" i="10"/>
  <c r="H93" i="10"/>
  <c r="H94" i="10"/>
  <c r="H95" i="10"/>
  <c r="H96" i="10"/>
  <c r="H86" i="10"/>
  <c r="J31" i="1" l="1"/>
  <c r="F31" i="1"/>
  <c r="F31" i="9"/>
  <c r="J31" i="9"/>
  <c r="AQ8" i="9" l="1"/>
  <c r="AR8" i="9" s="1"/>
  <c r="AQ9" i="9"/>
  <c r="AQ10" i="9"/>
  <c r="AQ11" i="9"/>
  <c r="AQ12" i="9"/>
  <c r="AR12" i="9" s="1"/>
  <c r="AQ5" i="9"/>
  <c r="AR5" i="9" s="1"/>
  <c r="AQ6" i="9"/>
  <c r="AQ7" i="9"/>
  <c r="AR7" i="9" s="1"/>
  <c r="AP6" i="9"/>
  <c r="AP7" i="9"/>
  <c r="AP8" i="9"/>
  <c r="AP9" i="9"/>
  <c r="AP10" i="9"/>
  <c r="AP11" i="9"/>
  <c r="AP12" i="9"/>
  <c r="AP5" i="9"/>
  <c r="AO12" i="9"/>
  <c r="AO11" i="9"/>
  <c r="AO10" i="9"/>
  <c r="AO9" i="9"/>
  <c r="AO8" i="9"/>
  <c r="AO7" i="9"/>
  <c r="AO5" i="9"/>
  <c r="AO6" i="9"/>
  <c r="AK6" i="9"/>
  <c r="AK7" i="9"/>
  <c r="AK8" i="9"/>
  <c r="AK9" i="9"/>
  <c r="AK10" i="9"/>
  <c r="AK11" i="9"/>
  <c r="AK12" i="9"/>
  <c r="AK5" i="9"/>
  <c r="AN6" i="9"/>
  <c r="AN7" i="9"/>
  <c r="AN8" i="9"/>
  <c r="AN9" i="9"/>
  <c r="AN10" i="9"/>
  <c r="AN11" i="9"/>
  <c r="AN12" i="9"/>
  <c r="AN5" i="9"/>
  <c r="X20" i="9"/>
  <c r="F28" i="9"/>
  <c r="G28" i="9" s="1"/>
  <c r="V15" i="9"/>
  <c r="W15" i="9" s="1"/>
  <c r="V20" i="9"/>
  <c r="X19" i="9"/>
  <c r="X18" i="9"/>
  <c r="X16" i="9"/>
  <c r="X17" i="9"/>
  <c r="X15" i="9"/>
  <c r="T31" i="9"/>
  <c r="G31" i="9"/>
  <c r="E31" i="9"/>
  <c r="AT25" i="9"/>
  <c r="AT23" i="9"/>
  <c r="I20" i="9"/>
  <c r="J20" i="9" s="1"/>
  <c r="J19" i="9"/>
  <c r="I19" i="9"/>
  <c r="I18" i="9"/>
  <c r="I17" i="9"/>
  <c r="N17" i="9" s="1"/>
  <c r="AA16" i="9"/>
  <c r="V16" i="9" s="1"/>
  <c r="I16" i="9"/>
  <c r="J15" i="9"/>
  <c r="I15" i="9"/>
  <c r="AY12" i="9"/>
  <c r="AW12" i="9"/>
  <c r="AG12" i="9" s="1"/>
  <c r="AT12" i="9"/>
  <c r="AY11" i="9"/>
  <c r="AW11" i="9"/>
  <c r="AG11" i="9" s="1"/>
  <c r="AT11" i="9"/>
  <c r="AY10" i="9"/>
  <c r="AW10" i="9"/>
  <c r="AG10" i="9" s="1"/>
  <c r="AT10" i="9"/>
  <c r="AY9" i="9"/>
  <c r="AW9" i="9"/>
  <c r="AG9" i="9" s="1"/>
  <c r="AT9" i="9"/>
  <c r="AY8" i="9"/>
  <c r="AW8" i="9"/>
  <c r="AG8" i="9" s="1"/>
  <c r="AT8" i="9"/>
  <c r="AY7" i="9"/>
  <c r="AW7" i="9"/>
  <c r="AG7" i="9" s="1"/>
  <c r="AT7" i="9"/>
  <c r="AY6" i="9"/>
  <c r="AH6" i="9" s="1"/>
  <c r="AW6" i="9"/>
  <c r="AG6" i="9"/>
  <c r="AI6" i="9" s="1"/>
  <c r="AY5" i="9"/>
  <c r="AH5" i="9" s="1"/>
  <c r="AW5" i="9"/>
  <c r="AU5" i="9"/>
  <c r="AV5" i="9" s="1"/>
  <c r="AG5" i="9" s="1"/>
  <c r="AT5" i="9"/>
  <c r="I5" i="9"/>
  <c r="I6" i="9" s="1"/>
  <c r="F5" i="9"/>
  <c r="V19" i="9" l="1"/>
  <c r="AR6" i="9"/>
  <c r="AF6" i="9" s="1"/>
  <c r="V18" i="9"/>
  <c r="W18" i="9" s="1"/>
  <c r="V17" i="9"/>
  <c r="W16" i="9"/>
  <c r="AJ7" i="9"/>
  <c r="AL7" i="9" s="1"/>
  <c r="AI7" i="9"/>
  <c r="AC6" i="9"/>
  <c r="AI9" i="9"/>
  <c r="AJ9" i="9"/>
  <c r="AL9" i="9" s="1"/>
  <c r="AI11" i="9"/>
  <c r="AJ11" i="9"/>
  <c r="AL11" i="9" s="1"/>
  <c r="I7" i="9"/>
  <c r="J6" i="9"/>
  <c r="AU6" i="9"/>
  <c r="AV6" i="9" s="1"/>
  <c r="AT6" i="9"/>
  <c r="AJ8" i="9"/>
  <c r="AL8" i="9" s="1"/>
  <c r="AI8" i="9"/>
  <c r="AI10" i="9"/>
  <c r="AJ10" i="9"/>
  <c r="AL10" i="9" s="1"/>
  <c r="AJ5" i="9"/>
  <c r="AL5" i="9" s="1"/>
  <c r="AI5" i="9"/>
  <c r="AI12" i="9"/>
  <c r="AJ12" i="9"/>
  <c r="AL12" i="9" s="1"/>
  <c r="AR9" i="9"/>
  <c r="J5" i="9"/>
  <c r="AJ6" i="9"/>
  <c r="AL6" i="9" s="1"/>
  <c r="AR11" i="9"/>
  <c r="N18" i="9"/>
  <c r="W17" i="9"/>
  <c r="N19" i="9"/>
  <c r="E28" i="9"/>
  <c r="J16" i="9"/>
  <c r="N20" i="9"/>
  <c r="K16" i="9"/>
  <c r="W19" i="9"/>
  <c r="N15" i="9"/>
  <c r="L16" i="9"/>
  <c r="J17" i="9"/>
  <c r="N16" i="9"/>
  <c r="J18" i="9"/>
  <c r="AR10" i="9"/>
  <c r="D75" i="7"/>
  <c r="D76" i="7"/>
  <c r="D77" i="7"/>
  <c r="D74" i="7"/>
  <c r="AB18" i="9" l="1"/>
  <c r="P18" i="9" s="1"/>
  <c r="AD6" i="9"/>
  <c r="AB17" i="9"/>
  <c r="P17" i="9" s="1"/>
  <c r="AB15" i="9"/>
  <c r="P15" i="9" s="1"/>
  <c r="AB16" i="9"/>
  <c r="P16" i="9" s="1"/>
  <c r="L17" i="9"/>
  <c r="L18" i="9"/>
  <c r="K17" i="9"/>
  <c r="AB19" i="9"/>
  <c r="P19" i="9" s="1"/>
  <c r="L19" i="9"/>
  <c r="W20" i="9"/>
  <c r="K20" i="9"/>
  <c r="AF8" i="9"/>
  <c r="AD8" i="9"/>
  <c r="AC8" i="9"/>
  <c r="AF7" i="9"/>
  <c r="AD7" i="9"/>
  <c r="AC7" i="9"/>
  <c r="AU7" i="9"/>
  <c r="AV7" i="9" s="1"/>
  <c r="I8" i="9"/>
  <c r="J7" i="9"/>
  <c r="L15" i="9"/>
  <c r="K19" i="9"/>
  <c r="AC10" i="9"/>
  <c r="AF10" i="9"/>
  <c r="AD10" i="9"/>
  <c r="AF12" i="9"/>
  <c r="AD12" i="9"/>
  <c r="AC12" i="9"/>
  <c r="AF11" i="9"/>
  <c r="AD11" i="9"/>
  <c r="AC11" i="9"/>
  <c r="AF5" i="9"/>
  <c r="AD5" i="9"/>
  <c r="AC5" i="9"/>
  <c r="K18" i="9"/>
  <c r="K15" i="9"/>
  <c r="AD9" i="9"/>
  <c r="AF9" i="9"/>
  <c r="AC9" i="9"/>
  <c r="AA16" i="1"/>
  <c r="E28" i="1" s="1"/>
  <c r="D43" i="3"/>
  <c r="C43" i="3"/>
  <c r="C42" i="3"/>
  <c r="D42" i="3"/>
  <c r="D44" i="3"/>
  <c r="B44" i="3"/>
  <c r="AU8" i="9" l="1"/>
  <c r="AV8" i="9" s="1"/>
  <c r="I9" i="9"/>
  <c r="J8" i="9"/>
  <c r="AB20" i="9"/>
  <c r="P20" i="9" s="1"/>
  <c r="L20" i="9"/>
  <c r="P31" i="9" a="1"/>
  <c r="P31" i="9" s="1"/>
  <c r="A65" i="3"/>
  <c r="AU9" i="9" l="1"/>
  <c r="AV9" i="9" s="1"/>
  <c r="I10" i="9"/>
  <c r="J9" i="9"/>
  <c r="P34" i="9"/>
  <c r="K27" i="9"/>
  <c r="A80" i="3"/>
  <c r="E26" i="9" l="1"/>
  <c r="E32" i="9" s="1"/>
  <c r="F27" i="9"/>
  <c r="F26" i="9" s="1"/>
  <c r="F32" i="9" s="1"/>
  <c r="G27" i="9"/>
  <c r="L27" i="9"/>
  <c r="M27" i="9"/>
  <c r="E27" i="9"/>
  <c r="AU10" i="9"/>
  <c r="AV10" i="9" s="1"/>
  <c r="I11" i="9"/>
  <c r="J10" i="9"/>
  <c r="C44" i="3"/>
  <c r="A66" i="3"/>
  <c r="A64" i="3"/>
  <c r="A81" i="3"/>
  <c r="Q16" i="3"/>
  <c r="P32" i="9" l="1"/>
  <c r="P35" i="9" s="1"/>
  <c r="I12" i="9"/>
  <c r="J11" i="9"/>
  <c r="AU11" i="9"/>
  <c r="AV11" i="9" s="1"/>
  <c r="P16" i="3"/>
  <c r="P17" i="3"/>
  <c r="AU12" i="9" l="1"/>
  <c r="AV12" i="9" s="1"/>
  <c r="J12" i="9"/>
  <c r="B55" i="7"/>
  <c r="G31" i="1" l="1"/>
  <c r="E31" i="1"/>
  <c r="H25" i="7" l="1"/>
  <c r="H26" i="7"/>
  <c r="H27" i="7"/>
  <c r="H28" i="7"/>
  <c r="H29" i="7"/>
  <c r="C4" i="7" l="1"/>
  <c r="D4" i="7"/>
  <c r="B4" i="7"/>
  <c r="M44" i="7" l="1"/>
  <c r="M43" i="7"/>
  <c r="M42" i="7"/>
  <c r="M41" i="7"/>
  <c r="M40" i="7"/>
  <c r="M39" i="7"/>
  <c r="J44" i="7"/>
  <c r="J43" i="7"/>
  <c r="J42" i="7"/>
  <c r="J41" i="7"/>
  <c r="J40" i="7"/>
  <c r="J39" i="7"/>
  <c r="G39" i="7"/>
  <c r="G44" i="7"/>
  <c r="G43" i="7"/>
  <c r="G42" i="7"/>
  <c r="G41" i="7"/>
  <c r="G40" i="7"/>
  <c r="D40" i="7"/>
  <c r="D41" i="7"/>
  <c r="D42" i="7"/>
  <c r="D43" i="7"/>
  <c r="D44" i="7"/>
  <c r="D39" i="7"/>
  <c r="S29" i="7"/>
  <c r="S26" i="7"/>
  <c r="S27" i="7"/>
  <c r="S28" i="7"/>
  <c r="S25" i="7"/>
  <c r="E29" i="2"/>
  <c r="E19" i="6" l="1"/>
  <c r="D19" i="6"/>
  <c r="I19" i="6" s="1"/>
  <c r="I17" i="6"/>
  <c r="F17" i="6"/>
  <c r="I16" i="6"/>
  <c r="F16" i="6"/>
  <c r="I15" i="6"/>
  <c r="F15" i="6"/>
  <c r="I14" i="6"/>
  <c r="F14" i="6"/>
  <c r="I13" i="6"/>
  <c r="F13" i="6"/>
  <c r="I12" i="6"/>
  <c r="F12" i="6"/>
  <c r="I11" i="6"/>
  <c r="F11" i="6"/>
  <c r="I10" i="6"/>
  <c r="F10" i="6"/>
  <c r="I9" i="6"/>
  <c r="F9" i="6"/>
  <c r="I8" i="6"/>
  <c r="F8" i="6"/>
  <c r="I7" i="6"/>
  <c r="F7" i="6"/>
  <c r="I6" i="6"/>
  <c r="F6" i="6"/>
  <c r="I5" i="6"/>
  <c r="F5" i="6"/>
  <c r="B5" i="4" l="1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3" i="4"/>
  <c r="B4" i="4"/>
  <c r="B2" i="4"/>
  <c r="C3" i="4"/>
  <c r="C4" i="4"/>
  <c r="C2" i="4"/>
  <c r="D56" i="2" l="1"/>
  <c r="D55" i="2"/>
  <c r="F56" i="2"/>
  <c r="F49" i="2"/>
  <c r="G5" i="1" l="1"/>
  <c r="AS23" i="1"/>
  <c r="T31" i="1"/>
  <c r="D18" i="3" l="1"/>
  <c r="K16" i="3"/>
  <c r="K15" i="3"/>
  <c r="F28" i="1" l="1"/>
  <c r="E38" i="2"/>
  <c r="J19" i="2"/>
  <c r="J20" i="2" s="1"/>
  <c r="G28" i="1" l="1"/>
  <c r="I15" i="1"/>
  <c r="AY5" i="1" l="1"/>
  <c r="AI5" i="1" s="1"/>
  <c r="AW5" i="1" l="1"/>
  <c r="I20" i="1" l="1"/>
  <c r="I19" i="1"/>
  <c r="I18" i="1"/>
  <c r="I17" i="1"/>
  <c r="I16" i="1"/>
  <c r="AW6" i="1" l="1"/>
  <c r="AH6" i="1" s="1"/>
  <c r="AW7" i="1"/>
  <c r="AH7" i="1" s="1"/>
  <c r="AW8" i="1"/>
  <c r="AW9" i="1"/>
  <c r="AW10" i="1"/>
  <c r="AW11" i="1"/>
  <c r="AW12" i="1"/>
  <c r="J5" i="1" l="1"/>
  <c r="J6" i="1" s="1"/>
  <c r="AY6" i="1"/>
  <c r="AI6" i="1" s="1"/>
  <c r="AY7" i="1"/>
  <c r="AY8" i="1"/>
  <c r="AY9" i="1"/>
  <c r="AY10" i="1"/>
  <c r="AY11" i="1"/>
  <c r="AY12" i="1"/>
  <c r="AS25" i="1"/>
  <c r="AH8" i="1"/>
  <c r="AH9" i="1"/>
  <c r="AH10" i="1"/>
  <c r="AH11" i="1"/>
  <c r="AH12" i="1"/>
  <c r="AT7" i="1"/>
  <c r="AT8" i="1"/>
  <c r="AT9" i="1"/>
  <c r="AT10" i="1"/>
  <c r="AT11" i="1"/>
  <c r="AT12" i="1"/>
  <c r="K5" i="1" l="1"/>
  <c r="AT6" i="1"/>
  <c r="K6" i="1"/>
  <c r="J7" i="1"/>
  <c r="AU6" i="1"/>
  <c r="AV6" i="1" s="1"/>
  <c r="AU5" i="1"/>
  <c r="AT5" i="1"/>
  <c r="AL5" i="1"/>
  <c r="AL6" i="1"/>
  <c r="AL7" i="1"/>
  <c r="AL8" i="1"/>
  <c r="AL9" i="1"/>
  <c r="AL10" i="1"/>
  <c r="AL11" i="1"/>
  <c r="AL12" i="1"/>
  <c r="AK6" i="1"/>
  <c r="AK7" i="1"/>
  <c r="AK8" i="1"/>
  <c r="AK9" i="1"/>
  <c r="AK10" i="1"/>
  <c r="AK11" i="1"/>
  <c r="AK12" i="1"/>
  <c r="AJ6" i="1"/>
  <c r="AJ7" i="1"/>
  <c r="AJ8" i="1"/>
  <c r="AJ9" i="1"/>
  <c r="AJ10" i="1"/>
  <c r="AJ11" i="1"/>
  <c r="AJ12" i="1"/>
  <c r="J20" i="1"/>
  <c r="J15" i="1"/>
  <c r="J17" i="1"/>
  <c r="J19" i="1"/>
  <c r="J16" i="1"/>
  <c r="AU7" i="1" l="1"/>
  <c r="AV7" i="1" s="1"/>
  <c r="J8" i="1"/>
  <c r="K7" i="1"/>
  <c r="J18" i="1"/>
  <c r="AM6" i="1"/>
  <c r="AM10" i="1"/>
  <c r="AM7" i="1"/>
  <c r="AM12" i="1"/>
  <c r="AM11" i="1"/>
  <c r="AM9" i="1"/>
  <c r="AM8" i="1"/>
  <c r="AH5" i="1" l="1"/>
  <c r="AJ5" i="1" s="1"/>
  <c r="J9" i="1"/>
  <c r="K8" i="1"/>
  <c r="AU8" i="1"/>
  <c r="AV8" i="1" s="1"/>
  <c r="AK5" i="1" l="1"/>
  <c r="AM5" i="1" s="1"/>
  <c r="K9" i="1"/>
  <c r="J10" i="1"/>
  <c r="AU9" i="1"/>
  <c r="AV9" i="1" s="1"/>
  <c r="K10" i="1" l="1"/>
  <c r="AU10" i="1"/>
  <c r="AV10" i="1" s="1"/>
  <c r="J11" i="1"/>
  <c r="K11" i="1" l="1"/>
  <c r="J12" i="1"/>
  <c r="AU11" i="1"/>
  <c r="AV11" i="1" s="1"/>
  <c r="AU12" i="1" l="1"/>
  <c r="AV12" i="1" s="1"/>
  <c r="K12" i="1"/>
  <c r="N20" i="1" l="1"/>
  <c r="N17" i="1"/>
  <c r="N15" i="1"/>
  <c r="AD12" i="1"/>
  <c r="N19" i="1"/>
  <c r="AD6" i="1"/>
  <c r="AD5" i="1"/>
  <c r="N18" i="1"/>
  <c r="AD10" i="1"/>
  <c r="AD8" i="1"/>
  <c r="AD7" i="1"/>
  <c r="AD9" i="1"/>
  <c r="AD11" i="1"/>
  <c r="N16" i="1"/>
  <c r="AQ8" i="1"/>
  <c r="AR8" i="1" s="1"/>
  <c r="AG8" i="1" s="1"/>
  <c r="AQ9" i="1"/>
  <c r="AR9" i="1" s="1"/>
  <c r="AG9" i="1" s="1"/>
  <c r="V19" i="1"/>
  <c r="K19" i="1" s="1"/>
  <c r="AQ10" i="1"/>
  <c r="AE10" i="1" s="1"/>
  <c r="V18" i="1"/>
  <c r="W18" i="1" s="1"/>
  <c r="V17" i="1"/>
  <c r="K17" i="1" s="1"/>
  <c r="AQ12" i="1"/>
  <c r="AE12" i="1" s="1"/>
  <c r="AQ6" i="1"/>
  <c r="AR6" i="1" s="1"/>
  <c r="AG6" i="1" s="1"/>
  <c r="V20" i="1"/>
  <c r="W20" i="1" s="1"/>
  <c r="AQ7" i="1"/>
  <c r="AE7" i="1" s="1"/>
  <c r="AQ5" i="1"/>
  <c r="AE5" i="1" s="1"/>
  <c r="AQ11" i="1"/>
  <c r="AE11" i="1" s="1"/>
  <c r="V16" i="1"/>
  <c r="W16" i="1" s="1"/>
  <c r="V15" i="1"/>
  <c r="W15" i="1" s="1"/>
  <c r="K15" i="1"/>
  <c r="AE6" i="1" l="1"/>
  <c r="AR7" i="1"/>
  <c r="AG7" i="1" s="1"/>
  <c r="AR10" i="1"/>
  <c r="AG10" i="1" s="1"/>
  <c r="K18" i="1"/>
  <c r="W17" i="1"/>
  <c r="L17" i="1" s="1"/>
  <c r="AR12" i="1"/>
  <c r="AG12" i="1" s="1"/>
  <c r="AR5" i="1"/>
  <c r="AG5" i="1" s="1"/>
  <c r="AE9" i="1"/>
  <c r="AB15" i="1"/>
  <c r="P15" i="1" s="1"/>
  <c r="AB16" i="1"/>
  <c r="P16" i="1" s="1"/>
  <c r="L16" i="1"/>
  <c r="L18" i="1"/>
  <c r="AB18" i="1"/>
  <c r="P18" i="1" s="1"/>
  <c r="AB20" i="1"/>
  <c r="P20" i="1" s="1"/>
  <c r="L20" i="1"/>
  <c r="L15" i="1"/>
  <c r="AE8" i="1"/>
  <c r="AR11" i="1"/>
  <c r="AG11" i="1" s="1"/>
  <c r="K20" i="1"/>
  <c r="W19" i="1"/>
  <c r="K16" i="1"/>
  <c r="AB17" i="1" l="1"/>
  <c r="P17" i="1" s="1"/>
  <c r="AB19" i="1"/>
  <c r="P19" i="1" s="1"/>
  <c r="L19" i="1"/>
  <c r="K27" i="1" l="1"/>
  <c r="P30" i="1" s="1"/>
  <c r="M27" i="1" l="1"/>
  <c r="L27" i="1"/>
  <c r="F27" i="1"/>
  <c r="G27" i="1"/>
  <c r="E27" i="1"/>
  <c r="P34" i="1" s="1"/>
  <c r="N28" i="1"/>
  <c r="P44" i="1" l="1"/>
  <c r="P38" i="1"/>
  <c r="P42" i="1"/>
  <c r="P32" i="1"/>
  <c r="E32" i="1"/>
  <c r="F32" i="1"/>
  <c r="P40" i="1" l="1"/>
  <c r="P39" i="1"/>
  <c r="P35" i="1"/>
  <c r="P43" i="1" s="1"/>
</calcChain>
</file>

<file path=xl/comments1.xml><?xml version="1.0" encoding="utf-8"?>
<comments xmlns="http://schemas.openxmlformats.org/spreadsheetml/2006/main">
  <authors>
    <author>mngauthier</author>
  </authors>
  <commentList>
    <comment ref="G14" authorId="0" shapeId="0">
      <text>
        <r>
          <rPr>
            <b/>
            <sz val="9"/>
            <color indexed="81"/>
            <rFont val="Tahoma"/>
            <charset val="1"/>
          </rPr>
          <t>mngauthier:</t>
        </r>
        <r>
          <rPr>
            <sz val="9"/>
            <color indexed="81"/>
            <rFont val="Tahoma"/>
            <charset val="1"/>
          </rPr>
          <t xml:space="preserve">
Only used by ADEL to define blade geometry.</t>
        </r>
      </text>
    </comment>
  </commentList>
</comments>
</file>

<file path=xl/comments2.xml><?xml version="1.0" encoding="utf-8"?>
<comments xmlns="http://schemas.openxmlformats.org/spreadsheetml/2006/main">
  <authors>
    <author>mngauthier</author>
  </authors>
  <commentList>
    <comment ref="F10" authorId="0" shapeId="0">
      <text>
        <r>
          <rPr>
            <b/>
            <sz val="9"/>
            <color indexed="81"/>
            <rFont val="Tahoma"/>
            <family val="2"/>
          </rPr>
          <t>mngauthier:</t>
        </r>
        <r>
          <rPr>
            <sz val="9"/>
            <color indexed="81"/>
            <rFont val="Tahoma"/>
            <family val="2"/>
          </rPr>
          <t xml:space="preserve">
dans l'artcicle c'est respirad CO2 from roots + micro organims</t>
        </r>
      </text>
    </comment>
  </commentList>
</comments>
</file>

<file path=xl/sharedStrings.xml><?xml version="1.0" encoding="utf-8"?>
<sst xmlns="http://schemas.openxmlformats.org/spreadsheetml/2006/main" count="1928" uniqueCount="441">
  <si>
    <t>plant</t>
  </si>
  <si>
    <t>axis</t>
  </si>
  <si>
    <t>metamer</t>
  </si>
  <si>
    <t>leaf_pseudo_age</t>
  </si>
  <si>
    <t>internode_pseudo_age</t>
  </si>
  <si>
    <t>leaf_is_growing</t>
  </si>
  <si>
    <t>internode_is_growing</t>
  </si>
  <si>
    <t>leaf_pseudostem_length</t>
  </si>
  <si>
    <t>internode_distance_to_emerge</t>
  </si>
  <si>
    <t>leaf_L</t>
  </si>
  <si>
    <t>internode_L</t>
  </si>
  <si>
    <t>leaf_Lmax</t>
  </si>
  <si>
    <t>lamina_Lmax</t>
  </si>
  <si>
    <t>sheath_Lmax</t>
  </si>
  <si>
    <t>leaf_Wmax</t>
  </si>
  <si>
    <t>SSLW</t>
  </si>
  <si>
    <t>LSSW</t>
  </si>
  <si>
    <t>leaf_is_emerged</t>
  </si>
  <si>
    <t>internode_Lmax</t>
  </si>
  <si>
    <t>LSIW</t>
  </si>
  <si>
    <t>internode_is_visible</t>
  </si>
  <si>
    <t>sucrose</t>
  </si>
  <si>
    <t>amino_acids</t>
  </si>
  <si>
    <t>fructan</t>
  </si>
  <si>
    <t>proteins</t>
  </si>
  <si>
    <t>leaf_enclosed_mstruct</t>
  </si>
  <si>
    <t>internode_enclosed_mstruct</t>
  </si>
  <si>
    <t>mstruct</t>
  </si>
  <si>
    <t>leaf_enclosed_Nstruct</t>
  </si>
  <si>
    <t>internode_enclosed_Nstruct</t>
  </si>
  <si>
    <t>MS</t>
  </si>
  <si>
    <t>True</t>
  </si>
  <si>
    <t>NA</t>
  </si>
  <si>
    <t>False</t>
  </si>
  <si>
    <t>organ</t>
  </si>
  <si>
    <t>element</t>
  </si>
  <si>
    <t>length</t>
  </si>
  <si>
    <t>is_growing</t>
  </si>
  <si>
    <t>blade</t>
  </si>
  <si>
    <t>LeafElement1</t>
  </si>
  <si>
    <t>sheath</t>
  </si>
  <si>
    <t>StemElement</t>
  </si>
  <si>
    <t>HiddenElement</t>
  </si>
  <si>
    <t>Nstruct</t>
  </si>
  <si>
    <t>green_area</t>
  </si>
  <si>
    <t>cytokinins</t>
  </si>
  <si>
    <t>leaf</t>
  </si>
  <si>
    <t>mstruct init</t>
  </si>
  <si>
    <t>alpha</t>
  </si>
  <si>
    <t>beta</t>
  </si>
  <si>
    <t>ratio mstruct dm</t>
  </si>
  <si>
    <t>te</t>
  </si>
  <si>
    <t>FITTED_L0</t>
  </si>
  <si>
    <t>enclosed_mstruct0</t>
  </si>
  <si>
    <t>enclosed_mstruct_max</t>
  </si>
  <si>
    <t>leaf_enclosed_mstruct_postE</t>
  </si>
  <si>
    <t>leaf_enclosed_mstruct_prE</t>
  </si>
  <si>
    <t>internodes</t>
  </si>
  <si>
    <t>RATIO_ENCLOSED_LEAF_INTERNODE</t>
  </si>
  <si>
    <t>fitted_L0_IN</t>
  </si>
  <si>
    <t>te_IN</t>
  </si>
  <si>
    <t>enclosed_IN_mstruct0</t>
  </si>
  <si>
    <t>SSLW/LSSW</t>
  </si>
  <si>
    <t>t_emergence</t>
  </si>
  <si>
    <t>nitrates</t>
  </si>
  <si>
    <t>structure</t>
  </si>
  <si>
    <t>starch</t>
  </si>
  <si>
    <t>phloem</t>
  </si>
  <si>
    <t>roots</t>
  </si>
  <si>
    <t>Shoot:Root</t>
  </si>
  <si>
    <t>Hiddenzone</t>
  </si>
  <si>
    <t>Elements</t>
  </si>
  <si>
    <t>Organs</t>
  </si>
  <si>
    <r>
      <t>enclosed_mstruct_max = min(</t>
    </r>
    <r>
      <rPr>
        <i/>
        <sz val="10"/>
        <color theme="0" tint="-0.499984740745262"/>
        <rFont val="Courier New"/>
        <family val="3"/>
      </rPr>
      <t>internode_pseudostem_L</t>
    </r>
    <r>
      <rPr>
        <sz val="10"/>
        <color theme="0" tint="-0.499984740745262"/>
        <rFont val="Courier New"/>
        <family val="3"/>
      </rPr>
      <t xml:space="preserve">, </t>
    </r>
    <r>
      <rPr>
        <i/>
        <sz val="10"/>
        <color theme="0" tint="-0.499984740745262"/>
        <rFont val="Courier New"/>
        <family val="3"/>
      </rPr>
      <t>internode_Lmax</t>
    </r>
    <r>
      <rPr>
        <sz val="10"/>
        <color theme="0" tint="-0.499984740745262"/>
        <rFont val="Courier New"/>
        <family val="3"/>
      </rPr>
      <t xml:space="preserve">) * </t>
    </r>
    <r>
      <rPr>
        <i/>
        <sz val="10"/>
        <color theme="0" tint="-0.499984740745262"/>
        <rFont val="Courier New"/>
        <family val="3"/>
      </rPr>
      <t>LSIW</t>
    </r>
  </si>
  <si>
    <r>
      <t xml:space="preserve">if </t>
    </r>
    <r>
      <rPr>
        <i/>
        <sz val="10"/>
        <color theme="0" tint="-0.499984740745262"/>
        <rFont val="Courier New"/>
        <family val="3"/>
      </rPr>
      <t xml:space="preserve">internode_pseudo_age </t>
    </r>
    <r>
      <rPr>
        <sz val="10"/>
        <color theme="0" tint="-0.499984740745262"/>
        <rFont val="Courier New"/>
        <family val="3"/>
      </rPr>
      <t>&lt; parameters.te_IN:</t>
    </r>
  </si>
  <si>
    <r>
      <t xml:space="preserve">    delta_enclosed_mstruct = </t>
    </r>
    <r>
      <rPr>
        <i/>
        <sz val="10"/>
        <color theme="0" tint="-0.499984740745262"/>
        <rFont val="Courier New"/>
        <family val="3"/>
      </rPr>
      <t xml:space="preserve">mstruct </t>
    </r>
    <r>
      <rPr>
        <sz val="10"/>
        <color theme="0" tint="-0.499984740745262"/>
        <rFont val="Courier New"/>
        <family val="3"/>
      </rPr>
      <t xml:space="preserve">- (enclosed_mstruct_max - enclosed_mstruct0)/parameters.te_IN * </t>
    </r>
    <r>
      <rPr>
        <i/>
        <sz val="10"/>
        <color theme="0" tint="-0.499984740745262"/>
        <rFont val="Courier New"/>
        <family val="3"/>
      </rPr>
      <t xml:space="preserve">internode_pseudo_age </t>
    </r>
    <r>
      <rPr>
        <sz val="10"/>
        <color theme="0" tint="-0.499984740745262"/>
        <rFont val="Courier New"/>
        <family val="3"/>
      </rPr>
      <t>- enclosed_mstruct0</t>
    </r>
  </si>
  <si>
    <t>Mass (g)</t>
  </si>
  <si>
    <t>semaine</t>
  </si>
  <si>
    <t>date</t>
  </si>
  <si>
    <t>SumTemp</t>
  </si>
  <si>
    <t>Manip</t>
  </si>
  <si>
    <t>Variete</t>
  </si>
  <si>
    <t>Fertilisation</t>
  </si>
  <si>
    <t>Train</t>
  </si>
  <si>
    <t>Brin</t>
  </si>
  <si>
    <t>Phytomere</t>
  </si>
  <si>
    <t>Masse limbes</t>
  </si>
  <si>
    <t>Masse gaines</t>
  </si>
  <si>
    <t>Masse entrenoeuds</t>
  </si>
  <si>
    <t>Surface limbes</t>
  </si>
  <si>
    <t>Surface gaines</t>
  </si>
  <si>
    <t>Surface entrenoeuds</t>
  </si>
  <si>
    <t>%N limbes</t>
  </si>
  <si>
    <t>%N gaines</t>
  </si>
  <si>
    <t>%N entrenoeuds</t>
  </si>
  <si>
    <t>SLN limbes</t>
  </si>
  <si>
    <t>SLN gaines</t>
  </si>
  <si>
    <t>SLN entrenoeuds</t>
  </si>
  <si>
    <t>DistribN</t>
  </si>
  <si>
    <t>Soissons</t>
  </si>
  <si>
    <t>N+</t>
  </si>
  <si>
    <t>BM</t>
  </si>
  <si>
    <t/>
  </si>
  <si>
    <t>MS Shoot</t>
  </si>
  <si>
    <t>MS Shoot g</t>
  </si>
  <si>
    <t>N Shoot %</t>
  </si>
  <si>
    <t>Données Jessica Bertheloot</t>
  </si>
  <si>
    <t>Devienne 1994</t>
  </si>
  <si>
    <t>Blé 500°CJ après repiquage.</t>
  </si>
  <si>
    <t>=&gt; +/- 5 feuilles ligulées</t>
  </si>
  <si>
    <t>Cultivé en hydroponie avec différentes concentrations en NO3-</t>
  </si>
  <si>
    <t>Résultats ici pour NO3- max (plateau)</t>
  </si>
  <si>
    <t>N Roots %</t>
  </si>
  <si>
    <t>MS Roots g</t>
  </si>
  <si>
    <t>Justes 1994 INN</t>
  </si>
  <si>
    <t xml:space="preserve">Sortie hiver, plein tallage </t>
  </si>
  <si>
    <t>t/ha</t>
  </si>
  <si>
    <t>Proposé pour les faibles shoot DM</t>
  </si>
  <si>
    <t>Mais Fig 8 montre avec autres donées que N% peut être de l'ordre de 5.2 % pour les fabiles DM</t>
  </si>
  <si>
    <t>g</t>
  </si>
  <si>
    <t>Shoot</t>
  </si>
  <si>
    <t>Lawlor 1988</t>
  </si>
  <si>
    <t>valeurs pour les triangles pleins : Température fraiches et N+ à 250 °C J après semis</t>
  </si>
  <si>
    <t>(peu précis)</t>
  </si>
  <si>
    <t>Facteurs de conversions µmol C ou µmol N en g</t>
  </si>
  <si>
    <t>Coeff (g/µmol C ou N)</t>
  </si>
  <si>
    <t>Ratio AA/Prot</t>
  </si>
  <si>
    <t>%N Shoot</t>
  </si>
  <si>
    <t>%N Roots</t>
  </si>
  <si>
    <t>Ratio AA/Nitrates</t>
  </si>
  <si>
    <t>Sucres</t>
  </si>
  <si>
    <t>Allwood 2015</t>
  </si>
  <si>
    <t>AA</t>
  </si>
  <si>
    <t>Solubles Prot</t>
  </si>
  <si>
    <t>mg</t>
  </si>
  <si>
    <t>µmol</t>
  </si>
  <si>
    <t>En µmol N</t>
  </si>
  <si>
    <t>MW moyenne des AA du phloème</t>
  </si>
  <si>
    <t>g/mol</t>
  </si>
  <si>
    <t>Nb moyen de mole de N par mole de AA</t>
  </si>
  <si>
    <t>Penning De Vries</t>
  </si>
  <si>
    <t>Proteines (specifically in enzymes and membranes) : 0.151 g N.g-1</t>
  </si>
  <si>
    <t>MW N</t>
  </si>
  <si>
    <t>FW</t>
  </si>
  <si>
    <t>DM</t>
  </si>
  <si>
    <t>µmol N / g mstruct</t>
  </si>
  <si>
    <t>Attention teneur en N totale très élevée si on la recalcule…</t>
  </si>
  <si>
    <t>max_proteins</t>
  </si>
  <si>
    <t>delta_internode_distance_to_emerge</t>
  </si>
  <si>
    <t>delta_internode_L</t>
  </si>
  <si>
    <t>delta_leaf_L</t>
  </si>
  <si>
    <t>delta_leaf_pseudostem_length</t>
  </si>
  <si>
    <t>delta_leaf_pseudo_age</t>
  </si>
  <si>
    <t>delta_internode_pseudo_age</t>
  </si>
  <si>
    <t>A 500 °Cj après semis</t>
  </si>
  <si>
    <t>shoot/root</t>
  </si>
  <si>
    <t>Manip en chambre de culture, blé de printemps</t>
  </si>
  <si>
    <t>Wilhelm 2002 : %N par phytomère et par organe, pour tous les axes</t>
  </si>
  <si>
    <t>Pas de gradient net pour les limbes matures à HS 5</t>
  </si>
  <si>
    <t>Limbes non matures ont %N plus élevé. Mais je ne sais pas quel est leur stade de développement, ni les parties du limbes qui sont considérées.</t>
  </si>
  <si>
    <t>DM (t/ha)</t>
  </si>
  <si>
    <t>DM (mg/pl)</t>
  </si>
  <si>
    <t>N crit</t>
  </si>
  <si>
    <t>Input Barillot 2016b</t>
  </si>
  <si>
    <t>cm2</t>
  </si>
  <si>
    <t>g m-2</t>
  </si>
  <si>
    <t>AU</t>
  </si>
  <si>
    <t>AU.g-1</t>
  </si>
  <si>
    <t>Phyto</t>
  </si>
  <si>
    <t>Organ</t>
  </si>
  <si>
    <t>area</t>
  </si>
  <si>
    <t>SSW</t>
  </si>
  <si>
    <t>cyto</t>
  </si>
  <si>
    <t>conc_cyto</t>
  </si>
  <si>
    <t>IN_exp</t>
  </si>
  <si>
    <t>IN_enc</t>
  </si>
  <si>
    <t>IN</t>
  </si>
  <si>
    <t>Roots</t>
  </si>
  <si>
    <t>Date</t>
  </si>
  <si>
    <t>HS</t>
  </si>
  <si>
    <t>2 feuilles ligulees + 2 en croissance</t>
  </si>
  <si>
    <t>Étiquettes de lignes</t>
  </si>
  <si>
    <t>Moyenne de N [%]</t>
  </si>
  <si>
    <t>Écartype de N [%]</t>
  </si>
  <si>
    <t>Gaine</t>
  </si>
  <si>
    <t>Graines</t>
  </si>
  <si>
    <t>Limbe</t>
  </si>
  <si>
    <t>ENC</t>
  </si>
  <si>
    <t>EXP</t>
  </si>
  <si>
    <t>Densité semis</t>
  </si>
  <si>
    <t>170 pl.m-2</t>
  </si>
  <si>
    <t>%N</t>
  </si>
  <si>
    <t>shoot/roots</t>
  </si>
  <si>
    <t>Katterer 1993</t>
  </si>
  <si>
    <t>Sh</t>
  </si>
  <si>
    <t>S</t>
  </si>
  <si>
    <t>R</t>
  </si>
  <si>
    <t>T</t>
  </si>
  <si>
    <t>R/T</t>
  </si>
  <si>
    <t>April</t>
  </si>
  <si>
    <t>May</t>
  </si>
  <si>
    <t>-</t>
  </si>
  <si>
    <t>June</t>
  </si>
  <si>
    <t>Aug</t>
  </si>
  <si>
    <t>Shoot/roots</t>
  </si>
  <si>
    <t>Biomass g.m-2</t>
  </si>
  <si>
    <t>Variety</t>
  </si>
  <si>
    <t>Anthesis</t>
  </si>
  <si>
    <t>Root</t>
  </si>
  <si>
    <t>Gamenya</t>
  </si>
  <si>
    <t>Kulin</t>
  </si>
  <si>
    <t>KCD0</t>
  </si>
  <si>
    <t>KCD1</t>
  </si>
  <si>
    <t>O'Connor</t>
  </si>
  <si>
    <t>Siddique 1990</t>
  </si>
  <si>
    <t>Purple Straw</t>
  </si>
  <si>
    <t>Days after sowing</t>
  </si>
  <si>
    <t>S/R</t>
  </si>
  <si>
    <t>DM in g/m2</t>
  </si>
  <si>
    <t>Allard 2012</t>
  </si>
  <si>
    <t xml:space="preserve">R/S </t>
  </si>
  <si>
    <t>à floraison</t>
  </si>
  <si>
    <t>au champ</t>
  </si>
  <si>
    <t>racines à 30cm de profondeur</t>
  </si>
  <si>
    <t>blé d'hiver</t>
  </si>
  <si>
    <t>racines à 50cm profondeur</t>
  </si>
  <si>
    <t>C = control</t>
  </si>
  <si>
    <t>D = drought</t>
  </si>
  <si>
    <t>IF = daily irrigation and fertilization</t>
  </si>
  <si>
    <t>I = daily irrigation</t>
  </si>
  <si>
    <t>S = stem in soil</t>
  </si>
  <si>
    <t>T = total</t>
  </si>
  <si>
    <t>Zadock 21</t>
  </si>
  <si>
    <t>Z30</t>
  </si>
  <si>
    <t>Z39</t>
  </si>
  <si>
    <t>Z59</t>
  </si>
  <si>
    <t>Z93</t>
  </si>
  <si>
    <t>Asseng 1997</t>
  </si>
  <si>
    <t>Model</t>
  </si>
  <si>
    <t>calibré sur des données au champ</t>
  </si>
  <si>
    <t>blé de printemps</t>
  </si>
  <si>
    <t>Keith 1986</t>
  </si>
  <si>
    <t>Swinnen 1995</t>
  </si>
  <si>
    <t>BM Shoot</t>
  </si>
  <si>
    <t>BM Roots</t>
  </si>
  <si>
    <t>%NS Shoot</t>
  </si>
  <si>
    <t>%NS Roots</t>
  </si>
  <si>
    <t>Malik 2002</t>
  </si>
  <si>
    <t>en pot</t>
  </si>
  <si>
    <t>ronds blancs</t>
  </si>
  <si>
    <t>à d = 0, HS environ 3.8</t>
  </si>
  <si>
    <t>Shoot/Roots</t>
  </si>
  <si>
    <t>value</t>
  </si>
  <si>
    <t>User input</t>
  </si>
  <si>
    <t>Intermediate calculation</t>
  </si>
  <si>
    <t>Spring wheat</t>
  </si>
  <si>
    <t>Photoperiod 16h avec PAR = 600 µmol.m-2.s-1 (bcp!)</t>
  </si>
  <si>
    <t>En pots</t>
  </si>
  <si>
    <t>Photoperiod 16h avec PAR = 232 and 348 µmol m 2 s 1</t>
  </si>
  <si>
    <t>20°C/10°C</t>
  </si>
  <si>
    <t>Pour cell age = 100h</t>
  </si>
  <si>
    <t>Proteines</t>
  </si>
  <si>
    <t>WSC</t>
  </si>
  <si>
    <t>WIC</t>
  </si>
  <si>
    <t>mg.g-1 FW</t>
  </si>
  <si>
    <t>mg.g-1 DM</t>
  </si>
  <si>
    <t>µmol C g-1 mstruct (si tt sucrose)</t>
  </si>
  <si>
    <t>MW sucrose</t>
  </si>
  <si>
    <t>MW C</t>
  </si>
  <si>
    <t>Nb C sucrose</t>
  </si>
  <si>
    <t>concentrations par g de FW dans cellules matures de limbes 1 de blé</t>
  </si>
  <si>
    <t>Bancal 1989</t>
  </si>
  <si>
    <t>Winter wheat</t>
  </si>
  <si>
    <t>20°C/15°C</t>
  </si>
  <si>
    <t xml:space="preserve">Photoperiod 16h PFD = 0.5 mmol.m-2.s-1 </t>
  </si>
  <si>
    <t>Premier point = F2 ligulée</t>
  </si>
  <si>
    <t>D = 0</t>
  </si>
  <si>
    <t>Hexoses</t>
  </si>
  <si>
    <t>Sucroses</t>
  </si>
  <si>
    <t>mg. g-1 FW</t>
  </si>
  <si>
    <t>Blades</t>
  </si>
  <si>
    <t>mg.g-1 mstruct</t>
  </si>
  <si>
    <t>µmol C . G-1 mstruct</t>
  </si>
  <si>
    <t>µmol C.g-1 mstruct</t>
  </si>
  <si>
    <t>MW glucose</t>
  </si>
  <si>
    <t>Sucroses + Hexoses</t>
  </si>
  <si>
    <t>Aston 1987</t>
  </si>
  <si>
    <t>temperature-controlled nutrient baths.</t>
  </si>
  <si>
    <t>Same shoot environment for all tempeture regimes</t>
  </si>
  <si>
    <t>Mean day and night air</t>
  </si>
  <si>
    <t>t&amp;mperatures were 10.8 and 6.9"C, respectively. Mean photosynthetically active radiation was 12.62</t>
  </si>
  <si>
    <t>moles m-2 day-' over the experimental period.</t>
  </si>
  <si>
    <t>% DM</t>
  </si>
  <si>
    <t>g WSC. g-1 DM</t>
  </si>
  <si>
    <t>µmol C-1 DM</t>
  </si>
  <si>
    <t>Xue 2008</t>
  </si>
  <si>
    <t>Dosages sur plantes entières qui sont à des HS différents en fonction température croissance !</t>
  </si>
  <si>
    <t>spring wheat</t>
  </si>
  <si>
    <t>16/8 h photoperiod at 500 lmol m-2 s-1, temperatures of</t>
  </si>
  <si>
    <t>14/18_x0002_C (night/day) and relative humidity at 90/60%</t>
  </si>
  <si>
    <t>(night/day).</t>
  </si>
  <si>
    <t>mature flag leaf</t>
  </si>
  <si>
    <t>µmol hexose. g-1 DM</t>
  </si>
  <si>
    <t>Plante</t>
  </si>
  <si>
    <t>Blé</t>
  </si>
  <si>
    <t>Origine des données</t>
  </si>
  <si>
    <t>14C</t>
  </si>
  <si>
    <t>Durée (jours)</t>
  </si>
  <si>
    <t>Fin de culture</t>
  </si>
  <si>
    <t>Références</t>
  </si>
  <si>
    <t>Barber et Martins (1976)</t>
  </si>
  <si>
    <t>Whipps et Lynch (1983)</t>
  </si>
  <si>
    <t>Whipps (1984)</t>
  </si>
  <si>
    <t>Merckx et al. (1985)</t>
  </si>
  <si>
    <t>Kuzyakov (2000,2006)</t>
  </si>
  <si>
    <t>Parties aériennes</t>
  </si>
  <si>
    <t>Biomasse racinaire</t>
  </si>
  <si>
    <t>Rhizodépôts</t>
  </si>
  <si>
    <t>Respiration racinaire</t>
  </si>
  <si>
    <t>Synthèse Frédéric Rees</t>
  </si>
  <si>
    <t>Exudates are withdrawn from the amount of carbon</t>
  </si>
  <si>
    <t>for root growthRA according to the phenological stage</t>
  </si>
  <si>
    <t>of the crop</t>
  </si>
  <si>
    <t>- suivi répartition C dans blé + sol  sur un cycle complet.</t>
  </si>
  <si>
    <t>- A 8 reprises: pulse C14 et mesures 1 jour après</t>
  </si>
  <si>
    <t xml:space="preserve"> - 1er pulse à fin tallage</t>
  </si>
  <si>
    <t xml:space="preserve">Synthèse biblio de l'auteur : </t>
  </si>
  <si>
    <t>Pourcentage de la photosynthèse - respiration aérienne</t>
  </si>
  <si>
    <t>% NS theorique</t>
  </si>
  <si>
    <t>Ne sait pas si Shoot + roots ou bien uniquement shoot</t>
  </si>
  <si>
    <t>Manip PostDoc Romain : dosage N précoce 14/15</t>
  </si>
  <si>
    <t>Replicat</t>
  </si>
  <si>
    <t xml:space="preserve"> =&gt; Très élevé ! Pas prélèvement toutes les racines ?</t>
  </si>
  <si>
    <t>IN_Nstruct</t>
  </si>
  <si>
    <t>leaf_Nstruct</t>
  </si>
  <si>
    <t>N_struct</t>
  </si>
  <si>
    <t>Stade</t>
  </si>
  <si>
    <t>Traitement</t>
  </si>
  <si>
    <t>Density</t>
  </si>
  <si>
    <t>Shade</t>
  </si>
  <si>
    <t>mn</t>
  </si>
  <si>
    <t>sd</t>
  </si>
  <si>
    <t>N</t>
  </si>
  <si>
    <t>O1</t>
  </si>
  <si>
    <t>High_Density</t>
  </si>
  <si>
    <t>Early_Shading</t>
  </si>
  <si>
    <t>O2</t>
  </si>
  <si>
    <t>Low_Density</t>
  </si>
  <si>
    <t>T1</t>
  </si>
  <si>
    <t>Control</t>
  </si>
  <si>
    <t>T2</t>
  </si>
  <si>
    <t>F4 pointante</t>
  </si>
  <si>
    <t>F5 pointante</t>
  </si>
  <si>
    <t>Manip MG 17/18</t>
  </si>
  <si>
    <t>Trait</t>
  </si>
  <si>
    <t>NaN</t>
  </si>
  <si>
    <t>N_obs</t>
  </si>
  <si>
    <t>Nstruct (%)</t>
  </si>
  <si>
    <t>Phytomer</t>
  </si>
  <si>
    <t>Organe</t>
  </si>
  <si>
    <t>Balle</t>
  </si>
  <si>
    <t>Racines</t>
  </si>
  <si>
    <t>EN</t>
  </si>
  <si>
    <t>Valeur</t>
  </si>
  <si>
    <t>SSLW Limbe</t>
  </si>
  <si>
    <t>LSW EN</t>
  </si>
  <si>
    <t>LSW Gaine</t>
  </si>
  <si>
    <t>Manip NEMA 05/06</t>
  </si>
  <si>
    <t>Axe</t>
  </si>
  <si>
    <t>0N</t>
  </si>
  <si>
    <t>N2</t>
  </si>
  <si>
    <t>MS_Nmin</t>
  </si>
  <si>
    <t>%N Limbe</t>
  </si>
  <si>
    <t>%N Gaine</t>
  </si>
  <si>
    <t>Dernière valeur</t>
  </si>
  <si>
    <t>&gt;</t>
  </si>
  <si>
    <t>Estimation dernière mesure</t>
  </si>
  <si>
    <t>mstruct_Gaines (g)</t>
  </si>
  <si>
    <t>mstruct_EN (g)</t>
  </si>
  <si>
    <t>SSLW (g.m-2)</t>
  </si>
  <si>
    <t>g.m-2 / g.m-1</t>
  </si>
  <si>
    <t>LSW (g.m-1)</t>
  </si>
  <si>
    <t>Lg Ljutovac (m)</t>
  </si>
  <si>
    <t>LINW (g.m-1)</t>
  </si>
  <si>
    <t>hiddenzone_age</t>
  </si>
  <si>
    <t>Plastochrone (s à 20°C)</t>
  </si>
  <si>
    <t>% NS</t>
  </si>
  <si>
    <t>BM Plant</t>
  </si>
  <si>
    <t>%N Plant</t>
  </si>
  <si>
    <t>%N Phloem</t>
  </si>
  <si>
    <t>BM Phloem</t>
  </si>
  <si>
    <t>S/R mstruct</t>
  </si>
  <si>
    <t>%N sans phloem</t>
  </si>
  <si>
    <t>%NS Shoot sans phloem</t>
  </si>
  <si>
    <t>%NS Roots sans phloem</t>
  </si>
  <si>
    <t>mstruct tot</t>
  </si>
  <si>
    <t>fructane</t>
  </si>
  <si>
    <t>Couleurs3</t>
  </si>
  <si>
    <t>Early shading D+</t>
  </si>
  <si>
    <t>Early shading D0</t>
  </si>
  <si>
    <t>Control D+</t>
  </si>
  <si>
    <t>Control D0</t>
  </si>
  <si>
    <t>F6 pointante</t>
  </si>
  <si>
    <t>F7 pointante</t>
  </si>
  <si>
    <t>F8 pointante</t>
  </si>
  <si>
    <t>F9 pointante</t>
  </si>
  <si>
    <t>Floraison</t>
  </si>
  <si>
    <t>Scnhyder 1989</t>
  </si>
  <si>
    <t>Tall fescue</t>
  </si>
  <si>
    <t>DW</t>
  </si>
  <si>
    <t>Monosaccharides</t>
  </si>
  <si>
    <t>Sucrose</t>
  </si>
  <si>
    <t>Fructanes</t>
  </si>
  <si>
    <t>g.g-1 mstruct</t>
  </si>
  <si>
    <t>µg.mm-1</t>
  </si>
  <si>
    <t>mg DM.mm-1</t>
  </si>
  <si>
    <t>µg.g-1 DM</t>
  </si>
  <si>
    <t>Engels 1994</t>
  </si>
  <si>
    <t>Non Structural carbohydrates</t>
  </si>
  <si>
    <t>µmol glu . g-1 FW</t>
  </si>
  <si>
    <t>g.g-1 DW</t>
  </si>
  <si>
    <t>MW Glucose</t>
  </si>
  <si>
    <t>D = 3</t>
  </si>
  <si>
    <t>Total WSC</t>
  </si>
  <si>
    <t>mg g-1 FM</t>
  </si>
  <si>
    <t>Kemp 1980</t>
  </si>
  <si>
    <t>Pour HZ F3</t>
  </si>
  <si>
    <t>Proteins</t>
  </si>
  <si>
    <t>mg g-1 mstruct</t>
  </si>
  <si>
    <t>µmol N/C .g-1 mstruct</t>
  </si>
  <si>
    <t>MW Sucrose</t>
  </si>
  <si>
    <t>Volenec and Nelson 1984</t>
  </si>
  <si>
    <t>Spring Wheat</t>
  </si>
  <si>
    <t>Tall Fescue</t>
  </si>
  <si>
    <t>% DW</t>
  </si>
  <si>
    <t>µmol C. g-1 mstruct</t>
  </si>
  <si>
    <t>%DM</t>
  </si>
  <si>
    <t>Base</t>
  </si>
  <si>
    <t>Fructane</t>
  </si>
  <si>
    <t>age</t>
  </si>
  <si>
    <t>Plastochrone (s à 12°C)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</si>
</sst>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/mm/yy"/>
    <numFmt numFmtId="165" formatCode="0.000E+00"/>
    <numFmt numFmtId="166" formatCode="0.000"/>
    <numFmt numFmtId="167" formatCode="0.0"/>
  </numFmts>
  <fonts count="3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0"/>
      <color rgb="FF333333"/>
      <name val="Courier New"/>
      <family val="3"/>
    </font>
    <font>
      <b/>
      <sz val="11"/>
      <color rgb="FFFF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0" tint="-0.499984740745262"/>
      <name val="Courier New"/>
      <family val="3"/>
    </font>
    <font>
      <i/>
      <sz val="10"/>
      <color theme="0" tint="-0.499984740745262"/>
      <name val="Courier New"/>
      <family val="3"/>
    </font>
    <font>
      <b/>
      <sz val="10"/>
      <color theme="0" tint="-0.499984740745262"/>
      <name val="Courier New"/>
      <family val="3"/>
    </font>
    <font>
      <sz val="11"/>
      <color theme="2" tint="-0.249977111117893"/>
      <name val="Calibri"/>
      <family val="2"/>
      <scheme val="minor"/>
    </font>
    <font>
      <sz val="10"/>
      <name val="Arial"/>
      <family val="2"/>
    </font>
    <font>
      <b/>
      <sz val="11"/>
      <color theme="2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Times New Roman"/>
      <family val="1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rgb="FF4D4D4C"/>
      <name val="Lucida Console"/>
      <family val="3"/>
    </font>
    <font>
      <b/>
      <sz val="9"/>
      <color rgb="FF4D4D4C"/>
      <name val="Lucida Console"/>
      <family val="3"/>
    </font>
    <font>
      <sz val="9"/>
      <color rgb="FF8959A8"/>
      <name val="Lucida Console"/>
      <family val="3"/>
    </font>
    <font>
      <sz val="8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7" fillId="0" borderId="0" applyFont="0" applyFill="0" applyBorder="0" applyAlignment="0" applyProtection="0"/>
  </cellStyleXfs>
  <cellXfs count="133">
    <xf numFmtId="0" fontId="0" fillId="0" borderId="0" xfId="0"/>
    <xf numFmtId="11" fontId="0" fillId="0" borderId="0" xfId="0" applyNumberFormat="1"/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2" fillId="0" borderId="0" xfId="0" applyFont="1"/>
    <xf numFmtId="11" fontId="2" fillId="0" borderId="0" xfId="0" applyNumberFormat="1" applyFont="1"/>
    <xf numFmtId="0" fontId="2" fillId="0" borderId="0" xfId="0" applyFont="1" applyAlignment="1">
      <alignment vertical="center" textRotation="90" wrapText="1"/>
    </xf>
    <xf numFmtId="0" fontId="2" fillId="0" borderId="1" xfId="0" applyFont="1" applyBorder="1"/>
    <xf numFmtId="0" fontId="6" fillId="0" borderId="0" xfId="0" applyFont="1"/>
    <xf numFmtId="0" fontId="7" fillId="0" borderId="0" xfId="0" applyFont="1"/>
    <xf numFmtId="11" fontId="7" fillId="0" borderId="0" xfId="0" applyNumberFormat="1" applyFont="1"/>
    <xf numFmtId="0" fontId="8" fillId="0" borderId="0" xfId="0" applyFont="1" applyAlignment="1">
      <alignment vertical="center"/>
    </xf>
    <xf numFmtId="0" fontId="8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5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6" xfId="0" applyFont="1" applyBorder="1"/>
    <xf numFmtId="11" fontId="1" fillId="0" borderId="6" xfId="0" applyNumberFormat="1" applyFont="1" applyBorder="1"/>
    <xf numFmtId="0" fontId="1" fillId="0" borderId="1" xfId="0" applyFont="1" applyBorder="1"/>
    <xf numFmtId="0" fontId="1" fillId="0" borderId="2" xfId="0" applyFont="1" applyBorder="1"/>
    <xf numFmtId="0" fontId="0" fillId="0" borderId="11" xfId="0" applyBorder="1"/>
    <xf numFmtId="0" fontId="1" fillId="0" borderId="12" xfId="0" applyFont="1" applyBorder="1"/>
    <xf numFmtId="0" fontId="11" fillId="0" borderId="0" xfId="0" applyFont="1"/>
    <xf numFmtId="11" fontId="11" fillId="0" borderId="0" xfId="0" applyNumberFormat="1" applyFont="1"/>
    <xf numFmtId="14" fontId="0" fillId="0" borderId="0" xfId="0" applyNumberFormat="1"/>
    <xf numFmtId="164" fontId="12" fillId="3" borderId="0" xfId="0" applyNumberFormat="1" applyFont="1" applyFill="1" applyBorder="1"/>
    <xf numFmtId="0" fontId="2" fillId="0" borderId="5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13" fillId="0" borderId="0" xfId="0" applyFont="1"/>
    <xf numFmtId="2" fontId="0" fillId="0" borderId="0" xfId="0" applyNumberFormat="1"/>
    <xf numFmtId="0" fontId="0" fillId="0" borderId="13" xfId="0" applyBorder="1"/>
    <xf numFmtId="0" fontId="2" fillId="4" borderId="0" xfId="0" applyFont="1" applyFill="1"/>
    <xf numFmtId="0" fontId="0" fillId="4" borderId="0" xfId="0" applyFill="1"/>
    <xf numFmtId="0" fontId="0" fillId="0" borderId="0" xfId="0" applyAlignment="1">
      <alignment vertical="center"/>
    </xf>
    <xf numFmtId="0" fontId="2" fillId="0" borderId="10" xfId="0" applyFont="1" applyBorder="1" applyAlignment="1">
      <alignment vertical="center" wrapText="1"/>
    </xf>
    <xf numFmtId="0" fontId="2" fillId="0" borderId="12" xfId="0" applyFont="1" applyBorder="1" applyAlignment="1">
      <alignment vertical="center"/>
    </xf>
    <xf numFmtId="0" fontId="14" fillId="0" borderId="0" xfId="0" applyFont="1"/>
    <xf numFmtId="0" fontId="6" fillId="0" borderId="0" xfId="0" applyFont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65" fontId="0" fillId="0" borderId="0" xfId="0" applyNumberFormat="1"/>
    <xf numFmtId="0" fontId="2" fillId="0" borderId="0" xfId="0" applyFont="1" applyBorder="1"/>
    <xf numFmtId="0" fontId="0" fillId="0" borderId="0" xfId="0" applyFont="1" applyBorder="1"/>
    <xf numFmtId="0" fontId="0" fillId="0" borderId="0" xfId="0" applyBorder="1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11" fontId="19" fillId="0" borderId="0" xfId="0" applyNumberFormat="1" applyFont="1"/>
    <xf numFmtId="9" fontId="18" fillId="0" borderId="0" xfId="1" applyFont="1"/>
    <xf numFmtId="0" fontId="18" fillId="0" borderId="2" xfId="0" applyFont="1" applyBorder="1"/>
    <xf numFmtId="0" fontId="18" fillId="0" borderId="4" xfId="0" applyFont="1" applyBorder="1"/>
    <xf numFmtId="0" fontId="5" fillId="0" borderId="0" xfId="0" applyFont="1"/>
    <xf numFmtId="0" fontId="20" fillId="0" borderId="0" xfId="0" applyFont="1"/>
    <xf numFmtId="0" fontId="18" fillId="0" borderId="1" xfId="0" applyFont="1" applyBorder="1"/>
    <xf numFmtId="0" fontId="20" fillId="0" borderId="1" xfId="0" applyFont="1" applyBorder="1"/>
    <xf numFmtId="0" fontId="1" fillId="0" borderId="0" xfId="0" applyFont="1"/>
    <xf numFmtId="9" fontId="0" fillId="0" borderId="0" xfId="1" applyFont="1" applyAlignment="1">
      <alignment vertical="center"/>
    </xf>
    <xf numFmtId="0" fontId="2" fillId="0" borderId="0" xfId="0" applyFont="1" applyAlignment="1">
      <alignment vertical="center"/>
    </xf>
    <xf numFmtId="0" fontId="21" fillId="0" borderId="1" xfId="0" applyFont="1" applyBorder="1"/>
    <xf numFmtId="0" fontId="22" fillId="0" borderId="0" xfId="0" applyFont="1"/>
    <xf numFmtId="11" fontId="22" fillId="0" borderId="0" xfId="0" applyNumberFormat="1" applyFont="1"/>
    <xf numFmtId="0" fontId="24" fillId="0" borderId="0" xfId="0" applyFont="1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horizontal="center" vertical="center" wrapText="1"/>
    </xf>
    <xf numFmtId="9" fontId="0" fillId="0" borderId="0" xfId="0" applyNumberFormat="1"/>
    <xf numFmtId="9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18" fillId="0" borderId="0" xfId="0" applyFont="1" applyBorder="1"/>
    <xf numFmtId="0" fontId="19" fillId="0" borderId="0" xfId="0" applyFont="1" applyBorder="1"/>
    <xf numFmtId="0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9" fontId="19" fillId="0" borderId="0" xfId="1" applyFont="1"/>
    <xf numFmtId="1" fontId="19" fillId="0" borderId="1" xfId="0" applyNumberFormat="1" applyFont="1" applyBorder="1"/>
    <xf numFmtId="1" fontId="1" fillId="0" borderId="10" xfId="0" applyNumberFormat="1" applyFont="1" applyBorder="1"/>
    <xf numFmtId="1" fontId="1" fillId="0" borderId="11" xfId="0" applyNumberFormat="1" applyFont="1" applyBorder="1"/>
    <xf numFmtId="0" fontId="15" fillId="0" borderId="0" xfId="0" applyFont="1" applyFill="1" applyBorder="1"/>
    <xf numFmtId="0" fontId="1" fillId="0" borderId="11" xfId="0" applyFont="1" applyBorder="1"/>
    <xf numFmtId="0" fontId="27" fillId="0" borderId="0" xfId="0" applyFont="1" applyAlignment="1">
      <alignment vertical="center"/>
    </xf>
    <xf numFmtId="0" fontId="28" fillId="0" borderId="1" xfId="0" applyFont="1" applyBorder="1" applyAlignment="1">
      <alignment vertical="center"/>
    </xf>
    <xf numFmtId="0" fontId="0" fillId="0" borderId="6" xfId="0" applyBorder="1" applyAlignment="1"/>
    <xf numFmtId="0" fontId="6" fillId="0" borderId="0" xfId="0" applyFont="1" applyAlignment="1">
      <alignment horizontal="center" vertical="center"/>
    </xf>
    <xf numFmtId="0" fontId="27" fillId="2" borderId="0" xfId="0" applyFont="1" applyFill="1" applyAlignment="1">
      <alignment horizontal="left" vertical="top" wrapText="1"/>
    </xf>
    <xf numFmtId="0" fontId="29" fillId="2" borderId="0" xfId="0" applyFont="1" applyFill="1" applyAlignment="1">
      <alignment horizontal="left" vertical="center" wrapText="1"/>
    </xf>
    <xf numFmtId="0" fontId="15" fillId="0" borderId="0" xfId="0" applyFont="1" applyAlignment="1">
      <alignment horizontal="center"/>
    </xf>
    <xf numFmtId="0" fontId="2" fillId="0" borderId="1" xfId="0" applyFont="1" applyFill="1" applyBorder="1"/>
    <xf numFmtId="0" fontId="5" fillId="0" borderId="14" xfId="0" applyFont="1" applyBorder="1"/>
    <xf numFmtId="0" fontId="20" fillId="0" borderId="15" xfId="0" applyFont="1" applyBorder="1"/>
    <xf numFmtId="0" fontId="0" fillId="0" borderId="16" xfId="0" applyBorder="1"/>
    <xf numFmtId="0" fontId="18" fillId="0" borderId="17" xfId="0" applyFont="1" applyBorder="1"/>
    <xf numFmtId="0" fontId="20" fillId="0" borderId="18" xfId="0" applyFont="1" applyBorder="1"/>
    <xf numFmtId="0" fontId="0" fillId="0" borderId="19" xfId="0" applyBorder="1"/>
    <xf numFmtId="0" fontId="30" fillId="0" borderId="2" xfId="0" applyFont="1" applyBorder="1" applyAlignment="1">
      <alignment horizontal="center"/>
    </xf>
    <xf numFmtId="0" fontId="30" fillId="0" borderId="4" xfId="0" applyFont="1" applyBorder="1" applyAlignment="1">
      <alignment horizontal="center"/>
    </xf>
    <xf numFmtId="0" fontId="18" fillId="0" borderId="0" xfId="0" applyNumberFormat="1" applyFont="1"/>
    <xf numFmtId="11" fontId="1" fillId="0" borderId="3" xfId="0" applyNumberFormat="1" applyFont="1" applyBorder="1"/>
    <xf numFmtId="1" fontId="1" fillId="0" borderId="3" xfId="0" applyNumberFormat="1" applyFont="1" applyBorder="1"/>
    <xf numFmtId="1" fontId="1" fillId="0" borderId="4" xfId="0" applyNumberFormat="1" applyFont="1" applyBorder="1"/>
    <xf numFmtId="11" fontId="1" fillId="0" borderId="4" xfId="0" applyNumberFormat="1" applyFont="1" applyBorder="1"/>
    <xf numFmtId="167" fontId="18" fillId="0" borderId="4" xfId="0" applyNumberFormat="1" applyFont="1" applyBorder="1"/>
    <xf numFmtId="2" fontId="18" fillId="0" borderId="0" xfId="0" applyNumberFormat="1" applyFont="1"/>
    <xf numFmtId="0" fontId="19" fillId="0" borderId="2" xfId="0" applyFont="1" applyBorder="1"/>
    <xf numFmtId="166" fontId="19" fillId="0" borderId="4" xfId="0" applyNumberFormat="1" applyFont="1" applyBorder="1"/>
    <xf numFmtId="0" fontId="6" fillId="0" borderId="0" xfId="0" applyFont="1" applyAlignment="1">
      <alignment horizontal="center" vertical="center"/>
    </xf>
    <xf numFmtId="0" fontId="1" fillId="0" borderId="3" xfId="0" applyFont="1" applyFill="1" applyBorder="1"/>
    <xf numFmtId="1" fontId="0" fillId="0" borderId="0" xfId="0" applyNumberFormat="1"/>
    <xf numFmtId="167" fontId="0" fillId="0" borderId="0" xfId="0" applyNumberFormat="1" applyAlignment="1">
      <alignment horizontal="right"/>
    </xf>
    <xf numFmtId="0" fontId="31" fillId="0" borderId="0" xfId="0" applyFont="1"/>
    <xf numFmtId="0" fontId="32" fillId="0" borderId="0" xfId="0" applyFont="1"/>
    <xf numFmtId="167" fontId="0" fillId="0" borderId="0" xfId="0" applyNumberFormat="1"/>
    <xf numFmtId="0" fontId="5" fillId="0" borderId="6" xfId="0" applyFont="1" applyBorder="1"/>
    <xf numFmtId="0" fontId="18" fillId="0" borderId="7" xfId="0" applyFont="1" applyBorder="1"/>
    <xf numFmtId="0" fontId="0" fillId="0" borderId="20" xfId="0" applyBorder="1"/>
    <xf numFmtId="0" fontId="1" fillId="0" borderId="8" xfId="0" applyFont="1" applyBorder="1"/>
    <xf numFmtId="1" fontId="19" fillId="0" borderId="0" xfId="0" applyNumberFormat="1" applyFont="1" applyBorder="1" applyAlignment="1">
      <alignment horizontal="center"/>
    </xf>
    <xf numFmtId="167" fontId="19" fillId="0" borderId="13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11" fontId="5" fillId="0" borderId="6" xfId="0" applyNumberFormat="1" applyFont="1" applyBorder="1"/>
    <xf numFmtId="1" fontId="19" fillId="0" borderId="3" xfId="0" applyNumberFormat="1" applyFont="1" applyBorder="1"/>
    <xf numFmtId="1" fontId="19" fillId="0" borderId="4" xfId="0" applyNumberFormat="1" applyFont="1" applyBorder="1"/>
    <xf numFmtId="0" fontId="2" fillId="0" borderId="0" xfId="0" applyFont="1" applyAlignment="1">
      <alignment horizontal="center" vertical="center" textRotation="90" wrapText="1"/>
    </xf>
    <xf numFmtId="0" fontId="6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mstruct!$G$47</c:f>
          <c:strCache>
            <c:ptCount val="1"/>
            <c:pt idx="0">
              <c:v>Estimation dernière mesure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mstruct!$C$50</c:f>
              <c:strCache>
                <c:ptCount val="1"/>
                <c:pt idx="0">
                  <c:v>0N</c:v>
                </c:pt>
              </c:strCache>
            </c:strRef>
          </c:tx>
          <c:spPr>
            <a:ln w="19050">
              <a:noFill/>
            </a:ln>
          </c:spPr>
          <c:xVal>
            <c:numRef>
              <c:f>mstruct!$D$49:$D$59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mstruct!$G$49:$G$59</c:f>
              <c:numCache>
                <c:formatCode>General</c:formatCode>
                <c:ptCount val="11"/>
                <c:pt idx="0">
                  <c:v>25.902633999999999</c:v>
                </c:pt>
                <c:pt idx="1">
                  <c:v>19.653082999999999</c:v>
                </c:pt>
                <c:pt idx="2">
                  <c:v>10.145932</c:v>
                </c:pt>
                <c:pt idx="3">
                  <c:v>5.5736549999999996</c:v>
                </c:pt>
                <c:pt idx="4">
                  <c:v>12.28243</c:v>
                </c:pt>
                <c:pt idx="5">
                  <c:v>25.457221000000001</c:v>
                </c:pt>
                <c:pt idx="6">
                  <c:v>25.894082000000001</c:v>
                </c:pt>
                <c:pt idx="7">
                  <c:v>34.441034999999999</c:v>
                </c:pt>
                <c:pt idx="8">
                  <c:v>36.585642999999997</c:v>
                </c:pt>
                <c:pt idx="9">
                  <c:v>43.086790000000001</c:v>
                </c:pt>
                <c:pt idx="10">
                  <c:v>40.075940000000003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5B-463B-B296-BAD0B73F6D88}"/>
            </c:ext>
          </c:extLst>
        </c:ser>
        <c:ser>
          <c:idx val="0"/>
          <c:order val="1"/>
          <c:tx>
            <c:strRef>
              <c:f>mstruct!$C$62</c:f>
              <c:strCache>
                <c:ptCount val="1"/>
                <c:pt idx="0">
                  <c:v>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mstruct!$D$60:$D$70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mstruct!$G$60:$G$70</c:f>
              <c:numCache>
                <c:formatCode>General</c:formatCode>
                <c:ptCount val="11"/>
                <c:pt idx="0">
                  <c:v>32.853205000000003</c:v>
                </c:pt>
                <c:pt idx="1">
                  <c:v>38.507724000000003</c:v>
                </c:pt>
                <c:pt idx="2">
                  <c:v>31.95862</c:v>
                </c:pt>
                <c:pt idx="3">
                  <c:v>15.481076</c:v>
                </c:pt>
                <c:pt idx="4">
                  <c:v>12.910653</c:v>
                </c:pt>
                <c:pt idx="5">
                  <c:v>18.499383999999999</c:v>
                </c:pt>
                <c:pt idx="6">
                  <c:v>24.586870000000001</c:v>
                </c:pt>
                <c:pt idx="7">
                  <c:v>34.563093000000002</c:v>
                </c:pt>
                <c:pt idx="8">
                  <c:v>35.882379</c:v>
                </c:pt>
                <c:pt idx="9">
                  <c:v>44.848154000000001</c:v>
                </c:pt>
                <c:pt idx="10">
                  <c:v>34.644509999999997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5B-463B-B296-BAD0B73F6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242271"/>
        <c:axId val="789242687"/>
      </c:scatterChart>
      <c:valAx>
        <c:axId val="789242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Phytomer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9242687"/>
        <c:crosses val="autoZero"/>
        <c:crossBetween val="midCat"/>
      </c:valAx>
      <c:valAx>
        <c:axId val="7892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mstruct!$G$48</c:f>
              <c:strCache>
                <c:ptCount val="1"/>
                <c:pt idx="0">
                  <c:v>SSLW (g.m-2)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924227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Estimation LSW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mstruct!$C$50</c:f>
              <c:strCache>
                <c:ptCount val="1"/>
                <c:pt idx="0">
                  <c:v>0N</c:v>
                </c:pt>
              </c:strCache>
            </c:strRef>
          </c:tx>
          <c:spPr>
            <a:ln w="19050">
              <a:noFill/>
            </a:ln>
          </c:spPr>
          <c:xVal>
            <c:numRef>
              <c:f>mstruct!$D$86:$D$96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mstruct!$H$86:$H$96</c:f>
              <c:numCache>
                <c:formatCode>General</c:formatCode>
                <c:ptCount val="11"/>
                <c:pt idx="0">
                  <c:v>6.456135431635765E-2</c:v>
                </c:pt>
                <c:pt idx="1">
                  <c:v>7.524973025651735E-2</c:v>
                </c:pt>
                <c:pt idx="2">
                  <c:v>9.3648921315366909E-2</c:v>
                </c:pt>
                <c:pt idx="3">
                  <c:v>0.13683229626957644</c:v>
                </c:pt>
                <c:pt idx="4">
                  <c:v>0.15012834159022906</c:v>
                </c:pt>
                <c:pt idx="5">
                  <c:v>0.1293283851078966</c:v>
                </c:pt>
                <c:pt idx="6">
                  <c:v>0.22240780306036953</c:v>
                </c:pt>
                <c:pt idx="7">
                  <c:v>0.38504058891787574</c:v>
                </c:pt>
                <c:pt idx="8">
                  <c:v>0.44526338742609961</c:v>
                </c:pt>
                <c:pt idx="9">
                  <c:v>0.47310685051787588</c:v>
                </c:pt>
                <c:pt idx="10">
                  <c:v>0.57899486739436323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6-48AD-93B6-7714D871D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242271"/>
        <c:axId val="789242687"/>
      </c:scatterChart>
      <c:valAx>
        <c:axId val="789242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Phytomer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9242687"/>
        <c:crosses val="autoZero"/>
        <c:crossBetween val="midCat"/>
      </c:valAx>
      <c:valAx>
        <c:axId val="7892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mstruct!$H$85</c:f>
              <c:strCache>
                <c:ptCount val="1"/>
                <c:pt idx="0">
                  <c:v>LSW (g.m-1)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924227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Estimation LINW</a:t>
            </a:r>
          </a:p>
        </c:rich>
      </c:tx>
      <c:layout>
        <c:manualLayout>
          <c:xMode val="edge"/>
          <c:yMode val="edge"/>
          <c:x val="0.36037489063867018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mstruct!$C$50</c:f>
              <c:strCache>
                <c:ptCount val="1"/>
                <c:pt idx="0">
                  <c:v>0N</c:v>
                </c:pt>
              </c:strCache>
            </c:strRef>
          </c:tx>
          <c:spPr>
            <a:ln w="19050">
              <a:noFill/>
            </a:ln>
          </c:spPr>
          <c:xVal>
            <c:numRef>
              <c:f>mstruct!$M$81:$M$85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xVal>
          <c:yVal>
            <c:numRef>
              <c:f>mstruct!$Q$81:$Q$85</c:f>
              <c:numCache>
                <c:formatCode>General</c:formatCode>
                <c:ptCount val="5"/>
                <c:pt idx="0">
                  <c:v>0.38243333330381218</c:v>
                </c:pt>
                <c:pt idx="1">
                  <c:v>1.0043885586522303</c:v>
                </c:pt>
                <c:pt idx="2">
                  <c:v>0.88044671292356358</c:v>
                </c:pt>
                <c:pt idx="3">
                  <c:v>0.81949999973442134</c:v>
                </c:pt>
                <c:pt idx="4">
                  <c:v>0.916413655556231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BC-45EF-8F41-0CDDB8F53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242271"/>
        <c:axId val="789242687"/>
      </c:scatterChart>
      <c:valAx>
        <c:axId val="789242271"/>
        <c:scaling>
          <c:orientation val="minMax"/>
          <c:min val="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Phytomer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9242687"/>
        <c:crosses val="autoZero"/>
        <c:crossBetween val="midCat"/>
      </c:valAx>
      <c:valAx>
        <c:axId val="7892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mstruct!$Q$79</c:f>
              <c:strCache>
                <c:ptCount val="1"/>
                <c:pt idx="0">
                  <c:v>LINW (g.m-1)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924227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Nstruct!$F$37</c:f>
          <c:strCache>
            <c:ptCount val="1"/>
            <c:pt idx="0">
              <c:v>Dernière valeur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Nstruct!$C$39</c:f>
              <c:strCache>
                <c:ptCount val="1"/>
                <c:pt idx="0">
                  <c:v>0N</c:v>
                </c:pt>
              </c:strCache>
            </c:strRef>
          </c:tx>
          <c:spPr>
            <a:ln w="19050">
              <a:noFill/>
            </a:ln>
          </c:spPr>
          <c:xVal>
            <c:numRef>
              <c:f>Nstruct!$E$39:$E$49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Nstruct!$H$39:$H$49</c:f>
              <c:numCache>
                <c:formatCode>General</c:formatCode>
                <c:ptCount val="11"/>
                <c:pt idx="0">
                  <c:v>1.5292577000000001</c:v>
                </c:pt>
                <c:pt idx="2">
                  <c:v>0.91</c:v>
                </c:pt>
                <c:pt idx="3">
                  <c:v>0.86</c:v>
                </c:pt>
                <c:pt idx="4">
                  <c:v>0.8566667</c:v>
                </c:pt>
                <c:pt idx="5">
                  <c:v>0.7851958</c:v>
                </c:pt>
                <c:pt idx="6">
                  <c:v>0.58281769999999999</c:v>
                </c:pt>
                <c:pt idx="7">
                  <c:v>0.53415579999999996</c:v>
                </c:pt>
                <c:pt idx="8">
                  <c:v>0.42897190000000002</c:v>
                </c:pt>
                <c:pt idx="9">
                  <c:v>1.0490630999999999</c:v>
                </c:pt>
                <c:pt idx="10">
                  <c:v>0.52890749999999997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7A-402E-B5EA-4AA3F86C4B76}"/>
            </c:ext>
          </c:extLst>
        </c:ser>
        <c:ser>
          <c:idx val="0"/>
          <c:order val="1"/>
          <c:tx>
            <c:strRef>
              <c:f>Nstruct!$C$50</c:f>
              <c:strCache>
                <c:ptCount val="1"/>
                <c:pt idx="0">
                  <c:v>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Nstruct!$E$50:$E$60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Nstruct!$H$50:$H$60</c:f>
              <c:numCache>
                <c:formatCode>General</c:formatCode>
                <c:ptCount val="11"/>
                <c:pt idx="0">
                  <c:v>2.7367072000000001</c:v>
                </c:pt>
                <c:pt idx="1">
                  <c:v>3.1049134</c:v>
                </c:pt>
                <c:pt idx="2">
                  <c:v>2.1681663000000002</c:v>
                </c:pt>
                <c:pt idx="3">
                  <c:v>1.9220142</c:v>
                </c:pt>
                <c:pt idx="4">
                  <c:v>2.2599999999999998</c:v>
                </c:pt>
                <c:pt idx="5">
                  <c:v>1.4061823</c:v>
                </c:pt>
                <c:pt idx="6">
                  <c:v>0.91566840000000005</c:v>
                </c:pt>
                <c:pt idx="7">
                  <c:v>0.8793898</c:v>
                </c:pt>
                <c:pt idx="8">
                  <c:v>0.75329849999999998</c:v>
                </c:pt>
                <c:pt idx="9">
                  <c:v>2.3893678999999999</c:v>
                </c:pt>
                <c:pt idx="10">
                  <c:v>0.88300979999999996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7A-402E-B5EA-4AA3F86C4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714975"/>
        <c:axId val="866714559"/>
      </c:scatterChart>
      <c:valAx>
        <c:axId val="866714975"/>
        <c:scaling>
          <c:orientation val="minMax"/>
        </c:scaling>
        <c:delete val="0"/>
        <c:axPos val="b"/>
        <c:title>
          <c:tx>
            <c:strRef>
              <c:f>Nstruct!$E$38</c:f>
              <c:strCache>
                <c:ptCount val="1"/>
                <c:pt idx="0">
                  <c:v>Phytomer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6714559"/>
        <c:crosses val="autoZero"/>
        <c:crossBetween val="midCat"/>
      </c:valAx>
      <c:valAx>
        <c:axId val="8667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Nstruct!$H$38</c:f>
              <c:strCache>
                <c:ptCount val="1"/>
                <c:pt idx="0">
                  <c:v>%N Limbe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6671497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'shoot roots'!$B$100</c:f>
              <c:strCache>
                <c:ptCount val="1"/>
                <c:pt idx="0">
                  <c:v>T2</c:v>
                </c:pt>
              </c:strCache>
            </c:strRef>
          </c:tx>
          <c:spPr>
            <a:ln w="19050">
              <a:noFill/>
            </a:ln>
          </c:spPr>
          <c:xVal>
            <c:numRef>
              <c:f>'shoot roots'!$F$100:$F$105</c:f>
              <c:numCache>
                <c:formatCode>General</c:formatCode>
                <c:ptCount val="6"/>
                <c:pt idx="0">
                  <c:v>281.80990000000003</c:v>
                </c:pt>
                <c:pt idx="1">
                  <c:v>444.97649999999999</c:v>
                </c:pt>
                <c:pt idx="2">
                  <c:v>532.36300000000006</c:v>
                </c:pt>
                <c:pt idx="3">
                  <c:v>599.22460000000001</c:v>
                </c:pt>
                <c:pt idx="4">
                  <c:v>773.4117</c:v>
                </c:pt>
                <c:pt idx="5">
                  <c:v>1530.9282000000001</c:v>
                </c:pt>
              </c:numCache>
            </c:numRef>
          </c:xVal>
          <c:yVal>
            <c:numRef>
              <c:f>'shoot roots'!$G$100:$G$105</c:f>
              <c:numCache>
                <c:formatCode>General</c:formatCode>
                <c:ptCount val="6"/>
                <c:pt idx="0">
                  <c:v>0.80861769999999999</c:v>
                </c:pt>
                <c:pt idx="1">
                  <c:v>0.75703120000000002</c:v>
                </c:pt>
                <c:pt idx="2">
                  <c:v>0.89751999999999998</c:v>
                </c:pt>
                <c:pt idx="3">
                  <c:v>1.1000589000000001</c:v>
                </c:pt>
                <c:pt idx="4">
                  <c:v>1.2347718999999999</c:v>
                </c:pt>
                <c:pt idx="5">
                  <c:v>4.6283380999999997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62-44D7-AF08-F35B9188DE6A}"/>
            </c:ext>
          </c:extLst>
        </c:ser>
        <c:ser>
          <c:idx val="3"/>
          <c:order val="1"/>
          <c:tx>
            <c:strRef>
              <c:f>'shoot roots'!$B$94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'shoot roots'!$F$94:$F$99</c:f>
              <c:numCache>
                <c:formatCode>General</c:formatCode>
                <c:ptCount val="6"/>
                <c:pt idx="0">
                  <c:v>395.97179999999997</c:v>
                </c:pt>
                <c:pt idx="1">
                  <c:v>512.09429999999998</c:v>
                </c:pt>
                <c:pt idx="2">
                  <c:v>577.35230000000001</c:v>
                </c:pt>
                <c:pt idx="3">
                  <c:v>681.50980000000004</c:v>
                </c:pt>
                <c:pt idx="4">
                  <c:v>739.20489999999995</c:v>
                </c:pt>
                <c:pt idx="5">
                  <c:v>1565.6069</c:v>
                </c:pt>
              </c:numCache>
            </c:numRef>
          </c:xVal>
          <c:yVal>
            <c:numRef>
              <c:f>'shoot roots'!$G$94:$G$99</c:f>
              <c:numCache>
                <c:formatCode>General</c:formatCode>
                <c:ptCount val="6"/>
                <c:pt idx="0">
                  <c:v>0.87149650000000001</c:v>
                </c:pt>
                <c:pt idx="1">
                  <c:v>0.82499400000000001</c:v>
                </c:pt>
                <c:pt idx="2">
                  <c:v>0.92322170000000003</c:v>
                </c:pt>
                <c:pt idx="3">
                  <c:v>1.3596058</c:v>
                </c:pt>
                <c:pt idx="4">
                  <c:v>1.4188730000000001</c:v>
                </c:pt>
                <c:pt idx="5">
                  <c:v>6.0878494999999999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62-44D7-AF08-F35B9188DE6A}"/>
            </c:ext>
          </c:extLst>
        </c:ser>
        <c:ser>
          <c:idx val="1"/>
          <c:order val="2"/>
          <c:tx>
            <c:strRef>
              <c:f>'shoot roots'!$B$83</c:f>
              <c:strCache>
                <c:ptCount val="1"/>
                <c:pt idx="0">
                  <c:v>O1</c:v>
                </c:pt>
              </c:strCache>
            </c:strRef>
          </c:tx>
          <c:spPr>
            <a:ln w="19050">
              <a:noFill/>
            </a:ln>
          </c:spPr>
          <c:xVal>
            <c:numRef>
              <c:f>'shoot roots'!$F$83:$F$87</c:f>
              <c:numCache>
                <c:formatCode>General</c:formatCode>
                <c:ptCount val="5"/>
                <c:pt idx="0">
                  <c:v>439.22030000000001</c:v>
                </c:pt>
                <c:pt idx="1">
                  <c:v>551.59230000000002</c:v>
                </c:pt>
                <c:pt idx="2">
                  <c:v>630.68910000000005</c:v>
                </c:pt>
                <c:pt idx="3">
                  <c:v>718.8066</c:v>
                </c:pt>
                <c:pt idx="4">
                  <c:v>824.54539999999997</c:v>
                </c:pt>
              </c:numCache>
            </c:numRef>
          </c:xVal>
          <c:yVal>
            <c:numRef>
              <c:f>'shoot roots'!$G$83:$G$87</c:f>
              <c:numCache>
                <c:formatCode>General</c:formatCode>
                <c:ptCount val="5"/>
                <c:pt idx="0">
                  <c:v>0.97811289999999995</c:v>
                </c:pt>
                <c:pt idx="1">
                  <c:v>0.93273819999999996</c:v>
                </c:pt>
                <c:pt idx="2">
                  <c:v>1.1803619000000001</c:v>
                </c:pt>
                <c:pt idx="3">
                  <c:v>1.7632924999999999</c:v>
                </c:pt>
                <c:pt idx="4">
                  <c:v>1.5115175999999999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062-44D7-AF08-F35B9188DE6A}"/>
            </c:ext>
          </c:extLst>
        </c:ser>
        <c:ser>
          <c:idx val="0"/>
          <c:order val="3"/>
          <c:tx>
            <c:strRef>
              <c:f>'shoot roots'!$B$88</c:f>
              <c:strCache>
                <c:ptCount val="1"/>
                <c:pt idx="0">
                  <c:v>O2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'shoot roots'!$F$88:$F$93</c:f>
              <c:numCache>
                <c:formatCode>General</c:formatCode>
                <c:ptCount val="6"/>
                <c:pt idx="0">
                  <c:v>285.63400000000001</c:v>
                </c:pt>
                <c:pt idx="1">
                  <c:v>448.87650000000002</c:v>
                </c:pt>
                <c:pt idx="2">
                  <c:v>553.90060000000005</c:v>
                </c:pt>
                <c:pt idx="3">
                  <c:v>596.08259999999996</c:v>
                </c:pt>
                <c:pt idx="4">
                  <c:v>806.22649999999999</c:v>
                </c:pt>
                <c:pt idx="5">
                  <c:v>1582.5463</c:v>
                </c:pt>
              </c:numCache>
            </c:numRef>
          </c:xVal>
          <c:yVal>
            <c:numRef>
              <c:f>'shoot roots'!$G$88:$G$93</c:f>
              <c:numCache>
                <c:formatCode>General</c:formatCode>
                <c:ptCount val="6"/>
                <c:pt idx="0">
                  <c:v>0.99240890000000004</c:v>
                </c:pt>
                <c:pt idx="1">
                  <c:v>1.2161194</c:v>
                </c:pt>
                <c:pt idx="2">
                  <c:v>1.2772281999999999</c:v>
                </c:pt>
                <c:pt idx="3">
                  <c:v>1.5076001999999999</c:v>
                </c:pt>
                <c:pt idx="4">
                  <c:v>1.0861799999999999</c:v>
                </c:pt>
                <c:pt idx="5">
                  <c:v>3.3119200000000002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2-44D7-AF08-F35B9188D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009792"/>
        <c:axId val="1537011456"/>
      </c:scatterChart>
      <c:valAx>
        <c:axId val="153700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 depuis repiquage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011456"/>
        <c:crosses val="autoZero"/>
        <c:crossBetween val="midCat"/>
      </c:valAx>
      <c:valAx>
        <c:axId val="153701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Shoot/roots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7009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chart" Target="../charts/chart5.xml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549275</xdr:colOff>
      <xdr:row>0</xdr:row>
      <xdr:rowOff>95250</xdr:rowOff>
    </xdr:from>
    <xdr:to>
      <xdr:col>15</xdr:col>
      <xdr:colOff>615275</xdr:colOff>
      <xdr:row>21</xdr:row>
      <xdr:rowOff>144750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5275" y="95250"/>
          <a:ext cx="5400000" cy="405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23</xdr:col>
      <xdr:colOff>66000</xdr:colOff>
      <xdr:row>21</xdr:row>
      <xdr:rowOff>49500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0"/>
          <a:ext cx="5400000" cy="405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733425</xdr:colOff>
      <xdr:row>21</xdr:row>
      <xdr:rowOff>76200</xdr:rowOff>
    </xdr:from>
    <xdr:to>
      <xdr:col>21</xdr:col>
      <xdr:colOff>37425</xdr:colOff>
      <xdr:row>42</xdr:row>
      <xdr:rowOff>125700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63425" y="4267200"/>
          <a:ext cx="5400000" cy="405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</xdr:row>
      <xdr:rowOff>0</xdr:rowOff>
    </xdr:from>
    <xdr:to>
      <xdr:col>23</xdr:col>
      <xdr:colOff>66000</xdr:colOff>
      <xdr:row>67</xdr:row>
      <xdr:rowOff>49500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0" y="8763000"/>
          <a:ext cx="5400000" cy="4050000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58</xdr:row>
      <xdr:rowOff>152400</xdr:rowOff>
    </xdr:from>
    <xdr:to>
      <xdr:col>7</xdr:col>
      <xdr:colOff>161925</xdr:colOff>
      <xdr:row>73</xdr:row>
      <xdr:rowOff>38100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8</xdr:col>
      <xdr:colOff>28575</xdr:colOff>
      <xdr:row>45</xdr:row>
      <xdr:rowOff>104775</xdr:rowOff>
    </xdr:from>
    <xdr:to>
      <xdr:col>15</xdr:col>
      <xdr:colOff>94575</xdr:colOff>
      <xdr:row>66</xdr:row>
      <xdr:rowOff>154275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0" y="8677275"/>
          <a:ext cx="5400000" cy="4050000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89</xdr:row>
      <xdr:rowOff>171450</xdr:rowOff>
    </xdr:from>
    <xdr:to>
      <xdr:col>7</xdr:col>
      <xdr:colOff>95250</xdr:colOff>
      <xdr:row>104</xdr:row>
      <xdr:rowOff>57150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485775</xdr:colOff>
      <xdr:row>86</xdr:row>
      <xdr:rowOff>104775</xdr:rowOff>
    </xdr:from>
    <xdr:to>
      <xdr:col>14</xdr:col>
      <xdr:colOff>485775</xdr:colOff>
      <xdr:row>100</xdr:row>
      <xdr:rowOff>180975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37</xdr:row>
      <xdr:rowOff>19050</xdr:rowOff>
    </xdr:from>
    <xdr:to>
      <xdr:col>16</xdr:col>
      <xdr:colOff>427950</xdr:colOff>
      <xdr:row>58</xdr:row>
      <xdr:rowOff>68550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9950" y="7067550"/>
          <a:ext cx="5400000" cy="405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37</xdr:row>
      <xdr:rowOff>57150</xdr:rowOff>
    </xdr:from>
    <xdr:to>
      <xdr:col>23</xdr:col>
      <xdr:colOff>466050</xdr:colOff>
      <xdr:row>58</xdr:row>
      <xdr:rowOff>106650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92050" y="7105650"/>
          <a:ext cx="5400000" cy="4050000"/>
        </a:xfrm>
        <a:prstGeom prst="rect">
          <a:avLst/>
        </a:prstGeom>
      </xdr:spPr>
    </xdr:pic>
    <xdr:clientData/>
  </xdr:twoCellAnchor>
  <xdr:twoCellAnchor>
    <xdr:from>
      <xdr:col>9</xdr:col>
      <xdr:colOff>428624</xdr:colOff>
      <xdr:row>59</xdr:row>
      <xdr:rowOff>47625</xdr:rowOff>
    </xdr:from>
    <xdr:to>
      <xdr:col>15</xdr:col>
      <xdr:colOff>647699</xdr:colOff>
      <xdr:row>73</xdr:row>
      <xdr:rowOff>123825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314325</xdr:colOff>
      <xdr:row>68</xdr:row>
      <xdr:rowOff>180975</xdr:rowOff>
    </xdr:from>
    <xdr:to>
      <xdr:col>11</xdr:col>
      <xdr:colOff>674483</xdr:colOff>
      <xdr:row>87</xdr:row>
      <xdr:rowOff>109655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2325" y="13134975"/>
          <a:ext cx="5694158" cy="35481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0</xdr:row>
      <xdr:rowOff>142875</xdr:rowOff>
    </xdr:from>
    <xdr:to>
      <xdr:col>12</xdr:col>
      <xdr:colOff>561205</xdr:colOff>
      <xdr:row>17</xdr:row>
      <xdr:rowOff>180565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0" y="142875"/>
          <a:ext cx="6161905" cy="32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576366</xdr:colOff>
      <xdr:row>47</xdr:row>
      <xdr:rowOff>95250</xdr:rowOff>
    </xdr:from>
    <xdr:to>
      <xdr:col>11</xdr:col>
      <xdr:colOff>56718</xdr:colOff>
      <xdr:row>65</xdr:row>
      <xdr:rowOff>9525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0366" y="9048750"/>
          <a:ext cx="2528352" cy="334327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47</xdr:row>
      <xdr:rowOff>161925</xdr:rowOff>
    </xdr:from>
    <xdr:to>
      <xdr:col>19</xdr:col>
      <xdr:colOff>132430</xdr:colOff>
      <xdr:row>64</xdr:row>
      <xdr:rowOff>185794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0" y="9115425"/>
          <a:ext cx="5961730" cy="326236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47</xdr:row>
      <xdr:rowOff>142875</xdr:rowOff>
    </xdr:from>
    <xdr:to>
      <xdr:col>6</xdr:col>
      <xdr:colOff>571070</xdr:colOff>
      <xdr:row>51</xdr:row>
      <xdr:rowOff>95161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4975" y="9096375"/>
          <a:ext cx="3438095" cy="714286"/>
        </a:xfrm>
        <a:prstGeom prst="rect">
          <a:avLst/>
        </a:prstGeom>
      </xdr:spPr>
    </xdr:pic>
    <xdr:clientData/>
  </xdr:twoCellAnchor>
  <xdr:twoCellAnchor>
    <xdr:from>
      <xdr:col>10</xdr:col>
      <xdr:colOff>714375</xdr:colOff>
      <xdr:row>86</xdr:row>
      <xdr:rowOff>171450</xdr:rowOff>
    </xdr:from>
    <xdr:to>
      <xdr:col>16</xdr:col>
      <xdr:colOff>714375</xdr:colOff>
      <xdr:row>101</xdr:row>
      <xdr:rowOff>57150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476251</xdr:colOff>
      <xdr:row>13</xdr:row>
      <xdr:rowOff>138990</xdr:rowOff>
    </xdr:from>
    <xdr:to>
      <xdr:col>13</xdr:col>
      <xdr:colOff>247651</xdr:colOff>
      <xdr:row>24</xdr:row>
      <xdr:rowOff>104484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1" y="329490"/>
          <a:ext cx="3581400" cy="2060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14</xdr:row>
      <xdr:rowOff>114300</xdr:rowOff>
    </xdr:from>
    <xdr:to>
      <xdr:col>8</xdr:col>
      <xdr:colOff>247163</xdr:colOff>
      <xdr:row>25</xdr:row>
      <xdr:rowOff>28324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495300"/>
          <a:ext cx="3895238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49</xdr:row>
      <xdr:rowOff>123826</xdr:rowOff>
    </xdr:from>
    <xdr:to>
      <xdr:col>8</xdr:col>
      <xdr:colOff>208668</xdr:colOff>
      <xdr:row>59</xdr:row>
      <xdr:rowOff>146952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6600826"/>
          <a:ext cx="6028443" cy="1928126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32</xdr:row>
      <xdr:rowOff>57150</xdr:rowOff>
    </xdr:from>
    <xdr:to>
      <xdr:col>24</xdr:col>
      <xdr:colOff>394927</xdr:colOff>
      <xdr:row>43</xdr:row>
      <xdr:rowOff>148559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4250" y="6534150"/>
          <a:ext cx="7538677" cy="218690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33</xdr:row>
      <xdr:rowOff>12439</xdr:rowOff>
    </xdr:from>
    <xdr:to>
      <xdr:col>14</xdr:col>
      <xdr:colOff>36493</xdr:colOff>
      <xdr:row>45</xdr:row>
      <xdr:rowOff>18701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6679939"/>
          <a:ext cx="10561618" cy="22922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447675</xdr:colOff>
      <xdr:row>34</xdr:row>
      <xdr:rowOff>0</xdr:rowOff>
    </xdr:from>
    <xdr:to>
      <xdr:col>15</xdr:col>
      <xdr:colOff>9020</xdr:colOff>
      <xdr:row>49</xdr:row>
      <xdr:rowOff>68573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7675" y="6667500"/>
          <a:ext cx="3371345" cy="2926073"/>
        </a:xfrm>
        <a:prstGeom prst="rect">
          <a:avLst/>
        </a:prstGeom>
      </xdr:spPr>
    </xdr:pic>
    <xdr:clientData/>
  </xdr:twoCellAnchor>
  <xdr:twoCellAnchor editAs="oneCell">
    <xdr:from>
      <xdr:col>15</xdr:col>
      <xdr:colOff>504825</xdr:colOff>
      <xdr:row>33</xdr:row>
      <xdr:rowOff>171451</xdr:rowOff>
    </xdr:from>
    <xdr:to>
      <xdr:col>20</xdr:col>
      <xdr:colOff>75654</xdr:colOff>
      <xdr:row>51</xdr:row>
      <xdr:rowOff>174839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4825" y="6648451"/>
          <a:ext cx="3380829" cy="3432388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54</xdr:row>
      <xdr:rowOff>123826</xdr:rowOff>
    </xdr:from>
    <xdr:to>
      <xdr:col>13</xdr:col>
      <xdr:colOff>523317</xdr:colOff>
      <xdr:row>68</xdr:row>
      <xdr:rowOff>122665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0" y="10220326"/>
          <a:ext cx="4047567" cy="2675364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70</xdr:row>
      <xdr:rowOff>47625</xdr:rowOff>
    </xdr:from>
    <xdr:to>
      <xdr:col>12</xdr:col>
      <xdr:colOff>761557</xdr:colOff>
      <xdr:row>84</xdr:row>
      <xdr:rowOff>123482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2700" y="13201650"/>
          <a:ext cx="354285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87</xdr:row>
      <xdr:rowOff>161925</xdr:rowOff>
    </xdr:from>
    <xdr:to>
      <xdr:col>18</xdr:col>
      <xdr:colOff>513207</xdr:colOff>
      <xdr:row>113</xdr:row>
      <xdr:rowOff>179900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2825" y="16554450"/>
          <a:ext cx="6866382" cy="4970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0</xdr:row>
      <xdr:rowOff>0</xdr:rowOff>
    </xdr:from>
    <xdr:to>
      <xdr:col>12</xdr:col>
      <xdr:colOff>18586</xdr:colOff>
      <xdr:row>27</xdr:row>
      <xdr:rowOff>37452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0"/>
          <a:ext cx="3714286" cy="51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0</xdr:row>
      <xdr:rowOff>9525</xdr:rowOff>
    </xdr:from>
    <xdr:to>
      <xdr:col>17</xdr:col>
      <xdr:colOff>237634</xdr:colOff>
      <xdr:row>25</xdr:row>
      <xdr:rowOff>142263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25025" y="9525"/>
          <a:ext cx="3923809" cy="4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29</xdr:row>
      <xdr:rowOff>57150</xdr:rowOff>
    </xdr:from>
    <xdr:to>
      <xdr:col>13</xdr:col>
      <xdr:colOff>247058</xdr:colOff>
      <xdr:row>55</xdr:row>
      <xdr:rowOff>37483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72175" y="5581650"/>
          <a:ext cx="4733333" cy="49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57</xdr:row>
      <xdr:rowOff>171450</xdr:rowOff>
    </xdr:from>
    <xdr:to>
      <xdr:col>15</xdr:col>
      <xdr:colOff>49865</xdr:colOff>
      <xdr:row>85</xdr:row>
      <xdr:rowOff>18242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1700" y="11029950"/>
          <a:ext cx="6050615" cy="51807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AY44"/>
  <sheetViews>
    <sheetView tabSelected="1" workbookViewId="0">
      <selection activeCell="N2" sqref="N2"/>
    </sheetView>
  </sheetViews>
  <sheetFormatPr baseColWidth="10" defaultRowHeight="15" x14ac:dyDescent="0.25"/>
  <cols>
    <col min="5" max="5" width="12" bestFit="1" customWidth="1"/>
    <col min="35" max="35" width="17.85546875" bestFit="1" customWidth="1"/>
    <col min="36" max="36" width="21.7109375" bestFit="1" customWidth="1"/>
    <col min="44" max="44" width="12" bestFit="1" customWidth="1"/>
  </cols>
  <sheetData>
    <row r="1" spans="1:51" x14ac:dyDescent="0.25">
      <c r="A1" s="91" t="s">
        <v>252</v>
      </c>
      <c r="B1" s="92" t="s">
        <v>253</v>
      </c>
      <c r="C1" s="93"/>
      <c r="E1" s="97" t="s">
        <v>440</v>
      </c>
    </row>
    <row r="2" spans="1:51" s="48" customFormat="1" ht="15.75" thickBot="1" x14ac:dyDescent="0.3">
      <c r="A2" s="94" t="s">
        <v>252</v>
      </c>
      <c r="B2" s="95" t="s">
        <v>254</v>
      </c>
      <c r="C2" s="96"/>
      <c r="E2" s="98">
        <f xml:space="preserve"> 76.1/12*24*3600</f>
        <v>547920</v>
      </c>
    </row>
    <row r="4" spans="1:51" s="4" customFormat="1" ht="15" customHeight="1" x14ac:dyDescent="0.25">
      <c r="A4" s="126" t="s">
        <v>70</v>
      </c>
      <c r="B4" s="7" t="s">
        <v>0</v>
      </c>
      <c r="C4" s="7" t="s">
        <v>1</v>
      </c>
      <c r="D4" s="7" t="s">
        <v>2</v>
      </c>
      <c r="E4" s="7" t="s">
        <v>384</v>
      </c>
      <c r="F4" s="7" t="s">
        <v>3</v>
      </c>
      <c r="G4" s="7" t="s">
        <v>4</v>
      </c>
      <c r="H4" s="7" t="s">
        <v>5</v>
      </c>
      <c r="I4" s="7" t="s">
        <v>6</v>
      </c>
      <c r="J4" s="7" t="s">
        <v>7</v>
      </c>
      <c r="K4" s="63" t="s">
        <v>8</v>
      </c>
      <c r="L4" s="63" t="s">
        <v>9</v>
      </c>
      <c r="M4" s="63" t="s">
        <v>10</v>
      </c>
      <c r="N4" s="7" t="s">
        <v>152</v>
      </c>
      <c r="O4" s="7" t="s">
        <v>153</v>
      </c>
      <c r="P4" s="7" t="s">
        <v>148</v>
      </c>
      <c r="Q4" s="7" t="s">
        <v>149</v>
      </c>
      <c r="R4" s="7" t="s">
        <v>150</v>
      </c>
      <c r="S4" s="7" t="s">
        <v>151</v>
      </c>
      <c r="T4" s="7" t="s">
        <v>11</v>
      </c>
      <c r="U4" s="7" t="s">
        <v>12</v>
      </c>
      <c r="V4" s="7" t="s">
        <v>13</v>
      </c>
      <c r="W4" s="7" t="s">
        <v>14</v>
      </c>
      <c r="X4" s="7" t="s">
        <v>15</v>
      </c>
      <c r="Y4" s="7" t="s">
        <v>16</v>
      </c>
      <c r="Z4" s="7" t="s">
        <v>17</v>
      </c>
      <c r="AA4" s="7" t="s">
        <v>18</v>
      </c>
      <c r="AB4" s="7" t="s">
        <v>19</v>
      </c>
      <c r="AC4" s="7" t="s">
        <v>20</v>
      </c>
      <c r="AD4" s="7" t="s">
        <v>21</v>
      </c>
      <c r="AE4" s="7" t="s">
        <v>22</v>
      </c>
      <c r="AF4" s="7" t="s">
        <v>23</v>
      </c>
      <c r="AG4" s="7" t="s">
        <v>24</v>
      </c>
      <c r="AH4" s="7" t="s">
        <v>25</v>
      </c>
      <c r="AI4" s="7" t="s">
        <v>26</v>
      </c>
      <c r="AJ4" s="7" t="s">
        <v>27</v>
      </c>
      <c r="AK4" s="7" t="s">
        <v>28</v>
      </c>
      <c r="AL4" s="7" t="s">
        <v>29</v>
      </c>
      <c r="AM4" s="7" t="s">
        <v>43</v>
      </c>
      <c r="AN4" s="14" t="s">
        <v>101</v>
      </c>
      <c r="AO4" s="14" t="s">
        <v>386</v>
      </c>
      <c r="AP4" s="14" t="s">
        <v>191</v>
      </c>
      <c r="AQ4" s="14" t="s">
        <v>22</v>
      </c>
      <c r="AR4" s="14" t="s">
        <v>24</v>
      </c>
      <c r="AS4" s="8" t="s">
        <v>63</v>
      </c>
      <c r="AT4" s="8" t="s">
        <v>53</v>
      </c>
      <c r="AU4" s="8" t="s">
        <v>54</v>
      </c>
      <c r="AV4" s="8" t="s">
        <v>55</v>
      </c>
      <c r="AW4" s="8" t="s">
        <v>56</v>
      </c>
      <c r="AX4" s="8"/>
      <c r="AY4" s="8" t="s">
        <v>61</v>
      </c>
    </row>
    <row r="5" spans="1:51" x14ac:dyDescent="0.25">
      <c r="A5" s="126"/>
      <c r="B5">
        <v>1</v>
      </c>
      <c r="C5" t="s">
        <v>30</v>
      </c>
      <c r="D5">
        <v>3</v>
      </c>
      <c r="E5">
        <f>(10-D5)*$E$2</f>
        <v>3835440</v>
      </c>
      <c r="F5">
        <v>1589281</v>
      </c>
      <c r="G5">
        <f>432000*24/12</f>
        <v>864000</v>
      </c>
      <c r="H5" t="s">
        <v>31</v>
      </c>
      <c r="I5" t="s">
        <v>31</v>
      </c>
      <c r="J5">
        <f>H16+H19-M5</f>
        <v>2.895E-2</v>
      </c>
      <c r="K5" s="64">
        <f>J5-M5</f>
        <v>2.8899999999999999E-2</v>
      </c>
      <c r="L5" s="64">
        <v>9.2499999999999999E-2</v>
      </c>
      <c r="M5" s="64">
        <v>5.0000000000000002E-5</v>
      </c>
      <c r="N5">
        <v>3600</v>
      </c>
      <c r="O5">
        <v>3600</v>
      </c>
      <c r="P5">
        <v>0</v>
      </c>
      <c r="Q5">
        <v>0</v>
      </c>
      <c r="R5">
        <v>0</v>
      </c>
      <c r="S5">
        <v>0</v>
      </c>
      <c r="T5">
        <v>0.12280000000000001</v>
      </c>
      <c r="U5">
        <v>9.3426658551430383E-2</v>
      </c>
      <c r="V5">
        <v>2.9373341448569623E-2</v>
      </c>
      <c r="W5">
        <v>4.0000000000000001E-3</v>
      </c>
      <c r="X5">
        <v>27.6</v>
      </c>
      <c r="Y5">
        <v>0.08</v>
      </c>
      <c r="Z5" t="s">
        <v>31</v>
      </c>
      <c r="AA5" t="s">
        <v>32</v>
      </c>
      <c r="AB5">
        <v>1</v>
      </c>
      <c r="AC5" t="s">
        <v>33</v>
      </c>
      <c r="AD5" s="1">
        <f>AJ5*$AP$15</f>
        <v>8.1830418023733635</v>
      </c>
      <c r="AE5" s="1">
        <f t="shared" ref="AE5:AE12" si="0">AJ5*$AQ5</f>
        <v>0.65782748069341934</v>
      </c>
      <c r="AF5" s="1">
        <f>AJ5*$AQ$15</f>
        <v>8.1830418023733635</v>
      </c>
      <c r="AG5" s="45">
        <f t="shared" ref="AG5:AG12" si="1">AJ5*$AR5</f>
        <v>9.3975354384774175</v>
      </c>
      <c r="AH5" s="1">
        <f>AV5</f>
        <v>1.8534983222633695E-3</v>
      </c>
      <c r="AI5" s="1">
        <f>AY5</f>
        <v>1.3244862745926676E-6</v>
      </c>
      <c r="AJ5" s="1">
        <f>AH5+AI5</f>
        <v>1.8548228085379622E-3</v>
      </c>
      <c r="AK5" s="1">
        <f>AH5*0.005</f>
        <v>9.267491611316847E-6</v>
      </c>
      <c r="AL5">
        <f>AI5*0.005</f>
        <v>6.6224313729633385E-9</v>
      </c>
      <c r="AM5">
        <f>AK5+AL5</f>
        <v>9.2741140426898098E-6</v>
      </c>
      <c r="AN5" s="100">
        <f>AJ5+AD5*$E$31+AE5*$F$31+AG5*$J$31</f>
        <v>3.0281378254525958E-3</v>
      </c>
      <c r="AO5" s="101">
        <f>(1-AJ5/AN5)*100</f>
        <v>38.747081029552078</v>
      </c>
      <c r="AP5" s="15">
        <v>4.5999999999999996</v>
      </c>
      <c r="AQ5" s="15">
        <f>(($AP5/100)*(1+$AR$15*$E$31)-$Y$16)/(((1+1/$X$23)*(14*10^(-6)))-(($J$31/$X$23+$F$31)*$AP5/100))</f>
        <v>354.65785608488528</v>
      </c>
      <c r="AR5" s="15">
        <f>$AQ5/$X$23</f>
        <v>5066.5408012126463</v>
      </c>
      <c r="AS5" s="9">
        <v>851425</v>
      </c>
      <c r="AT5" s="10">
        <f>$T$27+$T$28*$T$30*(J5)^$T$29</f>
        <v>9.1058115591388438E-4</v>
      </c>
      <c r="AU5" s="9">
        <f t="shared" ref="AU5:AU12" si="2">J5*Y5</f>
        <v>2.3159999999999999E-3</v>
      </c>
      <c r="AV5" s="10">
        <f>((AU5-AT5)/($T$31-AS5))*(F5-$T$31)+AU5</f>
        <v>1.8534983222633695E-3</v>
      </c>
      <c r="AW5" s="10">
        <f t="shared" ref="AW5:AW12" si="3">$T$27+$T$28*$T$30*(L5)^$T$29</f>
        <v>4.0277279389003447E-3</v>
      </c>
      <c r="AX5" s="9"/>
      <c r="AY5" s="9">
        <f>$AU$20*$AT$22*$AT$24*(M5)^$AT$21</f>
        <v>1.3244862745926676E-6</v>
      </c>
    </row>
    <row r="6" spans="1:51" x14ac:dyDescent="0.25">
      <c r="A6" s="126"/>
      <c r="B6">
        <v>1</v>
      </c>
      <c r="C6" t="s">
        <v>30</v>
      </c>
      <c r="D6">
        <v>4</v>
      </c>
      <c r="E6">
        <f t="shared" ref="E6:E11" si="4">(10-D6)*$E$2</f>
        <v>3287520</v>
      </c>
      <c r="F6">
        <v>776406</v>
      </c>
      <c r="G6">
        <v>0</v>
      </c>
      <c r="H6" t="s">
        <v>31</v>
      </c>
      <c r="I6" t="s">
        <v>31</v>
      </c>
      <c r="J6">
        <f>J5-M6</f>
        <v>2.894E-2</v>
      </c>
      <c r="K6" s="64">
        <f t="shared" ref="K6:K12" si="5">J6-M6</f>
        <v>2.8930000000000001E-2</v>
      </c>
      <c r="L6" s="64">
        <v>2.5999999999999999E-2</v>
      </c>
      <c r="M6" s="64">
        <v>1.0000000000000001E-5</v>
      </c>
      <c r="N6">
        <v>3600</v>
      </c>
      <c r="O6">
        <v>0</v>
      </c>
      <c r="P6">
        <v>0</v>
      </c>
      <c r="Q6">
        <v>0</v>
      </c>
      <c r="R6">
        <v>0</v>
      </c>
      <c r="S6">
        <v>0</v>
      </c>
      <c r="T6">
        <v>0.1331</v>
      </c>
      <c r="U6">
        <v>9.9106478034251738E-2</v>
      </c>
      <c r="V6">
        <v>3.3993521965748258E-2</v>
      </c>
      <c r="W6">
        <v>4.4000000000000003E-3</v>
      </c>
      <c r="X6">
        <v>27.6</v>
      </c>
      <c r="Y6">
        <v>0.08</v>
      </c>
      <c r="Z6" t="s">
        <v>33</v>
      </c>
      <c r="AA6" t="s">
        <v>32</v>
      </c>
      <c r="AB6" t="s">
        <v>32</v>
      </c>
      <c r="AC6" t="s">
        <v>33</v>
      </c>
      <c r="AD6" s="1">
        <f>AJ6*$AP$15</f>
        <v>3.5017162544188412</v>
      </c>
      <c r="AE6" s="1">
        <f t="shared" si="0"/>
        <v>0.40920508349031792</v>
      </c>
      <c r="AF6" s="1">
        <f>AJ6*$AQ$15</f>
        <v>3.5017162544188412</v>
      </c>
      <c r="AG6" s="45">
        <f t="shared" si="1"/>
        <v>5.8457869070045412</v>
      </c>
      <c r="AH6" s="1">
        <f>AW6</f>
        <v>7.9355355356128927E-4</v>
      </c>
      <c r="AI6" s="1">
        <f>AY6</f>
        <v>1.6879744031468265E-7</v>
      </c>
      <c r="AJ6">
        <f t="shared" ref="AJ6:AJ12" si="6">AH6+AI6</f>
        <v>7.9372235100160394E-4</v>
      </c>
      <c r="AK6">
        <f t="shared" ref="AK6:AL12" si="7">AH6*0.005</f>
        <v>3.9677677678064465E-6</v>
      </c>
      <c r="AL6">
        <f t="shared" si="7"/>
        <v>8.4398720157341326E-10</v>
      </c>
      <c r="AM6">
        <f t="shared" ref="AM6:AM12" si="8">AK6+AL6</f>
        <v>3.9686117550080197E-6</v>
      </c>
      <c r="AN6" s="100">
        <f t="shared" ref="AN6:AN12" si="9">AJ6+AD6*$E$31+AE6*$F$31+AG6*$J$31</f>
        <v>1.4782009576411177E-3</v>
      </c>
      <c r="AO6" s="101">
        <f t="shared" ref="AO6:AO12" si="10">(1-AJ6/AN6)*100</f>
        <v>46.304841239704672</v>
      </c>
      <c r="AP6" s="15">
        <v>5.8</v>
      </c>
      <c r="AQ6" s="15">
        <f>(($AP6/100)*(1+$AR$15*$E$31)-$Y$16)/(((1+1/$X$23)*(14*10^(-6)))-(($J$31/$X$23+$F$31)*$AP6/100))</f>
        <v>515.55192187033549</v>
      </c>
      <c r="AR6" s="15">
        <f>$AQ6/$X$23</f>
        <v>7365.0274552905066</v>
      </c>
      <c r="AS6" s="9">
        <v>818263</v>
      </c>
      <c r="AT6" s="10">
        <f>$T$27+$T$28*$T$30*(J6)^$T$29</f>
        <v>9.1017858127080242E-4</v>
      </c>
      <c r="AU6" s="9">
        <f t="shared" si="2"/>
        <v>2.3151999999999999E-3</v>
      </c>
      <c r="AV6" s="10">
        <f>((AU6-AT6)/($T$31-AS6))*(F6-$T$31)+AU6</f>
        <v>8.5826926811062858E-4</v>
      </c>
      <c r="AW6" s="10">
        <f t="shared" si="3"/>
        <v>7.9355355356128927E-4</v>
      </c>
      <c r="AX6" s="9"/>
      <c r="AY6" s="9">
        <f>$AU$20*$AT$22*$AT$24*(M6)^$AT$21</f>
        <v>1.6879744031468265E-7</v>
      </c>
    </row>
    <row r="7" spans="1:51" x14ac:dyDescent="0.25">
      <c r="A7" s="126"/>
      <c r="B7">
        <v>1</v>
      </c>
      <c r="C7" t="s">
        <v>30</v>
      </c>
      <c r="D7">
        <v>5</v>
      </c>
      <c r="E7">
        <f t="shared" si="4"/>
        <v>2739600</v>
      </c>
      <c r="F7">
        <v>0</v>
      </c>
      <c r="G7">
        <v>0</v>
      </c>
      <c r="H7" t="s">
        <v>31</v>
      </c>
      <c r="I7" t="s">
        <v>33</v>
      </c>
      <c r="J7">
        <f>J6-M7</f>
        <v>2.894E-2</v>
      </c>
      <c r="K7" s="64">
        <f t="shared" si="5"/>
        <v>2.894E-2</v>
      </c>
      <c r="L7" s="64">
        <v>2E-3</v>
      </c>
      <c r="M7" s="64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t="s">
        <v>33</v>
      </c>
      <c r="AA7" t="s">
        <v>32</v>
      </c>
      <c r="AB7" t="s">
        <v>32</v>
      </c>
      <c r="AC7" t="s">
        <v>33</v>
      </c>
      <c r="AD7" s="1">
        <f>AJ7*$AP$15</f>
        <v>0.13143561599020981</v>
      </c>
      <c r="AE7" s="1">
        <f t="shared" si="0"/>
        <v>1.5359360469885189E-2</v>
      </c>
      <c r="AF7" s="1">
        <f>AJ7*$AQ$15</f>
        <v>0.13143561599020981</v>
      </c>
      <c r="AG7" s="45">
        <f t="shared" si="1"/>
        <v>0.21941943528407412</v>
      </c>
      <c r="AH7" s="1">
        <f>AW7</f>
        <v>2.9792072957780891E-5</v>
      </c>
      <c r="AI7" s="1">
        <v>0</v>
      </c>
      <c r="AJ7">
        <f t="shared" si="6"/>
        <v>2.9792072957780891E-5</v>
      </c>
      <c r="AK7">
        <f t="shared" si="7"/>
        <v>1.4896036478890447E-7</v>
      </c>
      <c r="AL7">
        <f t="shared" si="7"/>
        <v>0</v>
      </c>
      <c r="AM7">
        <f t="shared" si="8"/>
        <v>1.4896036478890447E-7</v>
      </c>
      <c r="AN7" s="100">
        <f t="shared" si="9"/>
        <v>5.5483722640206677E-5</v>
      </c>
      <c r="AO7" s="101">
        <f t="shared" si="10"/>
        <v>46.304841239704686</v>
      </c>
      <c r="AP7" s="15">
        <v>5.8</v>
      </c>
      <c r="AQ7" s="15">
        <f>(($AP7/100)*(1+$AR$15*$E$31)-$Y$16)/(((1+1/$X$23)*(14*10^(-6)))-(($J$31/$X$23+$F$31)*$AP7/100))</f>
        <v>515.55192187033549</v>
      </c>
      <c r="AR7" s="15">
        <f>$AQ7/$X$23</f>
        <v>7365.0274552905066</v>
      </c>
      <c r="AS7" s="9"/>
      <c r="AT7" s="10" t="e">
        <f t="shared" ref="AT7:AT12" si="11">$T$27+$T$28*$T$30*(T7*$T$32)^$T$29</f>
        <v>#VALUE!</v>
      </c>
      <c r="AU7" s="9" t="e">
        <f t="shared" si="2"/>
        <v>#VALUE!</v>
      </c>
      <c r="AV7" s="10" t="e">
        <f t="shared" ref="AV7:AV12" si="12">AT7+((AU7-AT7)/$T$31)*F7</f>
        <v>#VALUE!</v>
      </c>
      <c r="AW7" s="10">
        <f t="shared" si="3"/>
        <v>2.9792072957780891E-5</v>
      </c>
      <c r="AX7" s="9"/>
      <c r="AY7" s="9">
        <f>$AU$20*$AT$22*$AT$24*(M7)^$AT$21</f>
        <v>0</v>
      </c>
    </row>
    <row r="8" spans="1:51" x14ac:dyDescent="0.25">
      <c r="A8" s="126"/>
      <c r="B8">
        <v>1</v>
      </c>
      <c r="C8" t="s">
        <v>30</v>
      </c>
      <c r="D8">
        <v>6</v>
      </c>
      <c r="E8">
        <f t="shared" si="4"/>
        <v>2191680</v>
      </c>
      <c r="F8">
        <v>0</v>
      </c>
      <c r="G8">
        <v>0</v>
      </c>
      <c r="H8" t="s">
        <v>31</v>
      </c>
      <c r="I8" t="s">
        <v>33</v>
      </c>
      <c r="J8">
        <f t="shared" ref="J8:J12" si="13">J7-M8</f>
        <v>2.894E-2</v>
      </c>
      <c r="K8" s="64">
        <f t="shared" si="5"/>
        <v>2.894E-2</v>
      </c>
      <c r="L8" s="64">
        <v>7.2000000000000005E-4</v>
      </c>
      <c r="M8" s="64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33</v>
      </c>
      <c r="AA8" t="s">
        <v>32</v>
      </c>
      <c r="AB8" t="s">
        <v>32</v>
      </c>
      <c r="AC8" t="s">
        <v>33</v>
      </c>
      <c r="AD8" s="1">
        <f>AJ8*$AP$15</f>
        <v>3.5630437425207336E-2</v>
      </c>
      <c r="AE8" s="1">
        <f t="shared" si="0"/>
        <v>4.1637171781065104E-3</v>
      </c>
      <c r="AF8" s="1">
        <f>AJ8*$AQ$15</f>
        <v>3.5630437425207336E-2</v>
      </c>
      <c r="AG8" s="45">
        <f t="shared" si="1"/>
        <v>5.948167397295015E-2</v>
      </c>
      <c r="AH8" s="1">
        <f t="shared" ref="AH8:AH12" si="14">AW8</f>
        <v>8.076232483046996E-6</v>
      </c>
      <c r="AI8" s="1">
        <v>0</v>
      </c>
      <c r="AJ8">
        <f t="shared" si="6"/>
        <v>8.076232483046996E-6</v>
      </c>
      <c r="AK8">
        <f t="shared" si="7"/>
        <v>4.0381162415234981E-8</v>
      </c>
      <c r="AL8">
        <f t="shared" si="7"/>
        <v>0</v>
      </c>
      <c r="AM8">
        <f t="shared" si="8"/>
        <v>4.0381162415234981E-8</v>
      </c>
      <c r="AN8" s="100">
        <f t="shared" si="9"/>
        <v>1.5040895062999488E-5</v>
      </c>
      <c r="AO8" s="101">
        <f t="shared" si="10"/>
        <v>46.304841239704672</v>
      </c>
      <c r="AP8" s="15">
        <v>5.8</v>
      </c>
      <c r="AQ8" s="15">
        <f>(($AP8/100)*(1+$AR$15*$E$31)-$Y$16)/(((1+1/$X$23)*(14*10^(-6)))-(($J$31/$X$23+$F$31)*$AP8/100))</f>
        <v>515.55192187033549</v>
      </c>
      <c r="AR8" s="15">
        <f>$AQ8/$X$23</f>
        <v>7365.0274552905066</v>
      </c>
      <c r="AS8" s="9"/>
      <c r="AT8" s="10" t="e">
        <f t="shared" si="11"/>
        <v>#VALUE!</v>
      </c>
      <c r="AU8" s="9" t="e">
        <f t="shared" si="2"/>
        <v>#VALUE!</v>
      </c>
      <c r="AV8" s="10" t="e">
        <f t="shared" si="12"/>
        <v>#VALUE!</v>
      </c>
      <c r="AW8" s="10">
        <f t="shared" si="3"/>
        <v>8.076232483046996E-6</v>
      </c>
      <c r="AX8" s="9"/>
      <c r="AY8" s="9">
        <f>$AU$20*$AT$22*$AT$24*(M8)^$AT$21</f>
        <v>0</v>
      </c>
    </row>
    <row r="9" spans="1:51" x14ac:dyDescent="0.25">
      <c r="A9" s="126"/>
      <c r="B9">
        <v>1</v>
      </c>
      <c r="C9" t="s">
        <v>30</v>
      </c>
      <c r="D9">
        <v>7</v>
      </c>
      <c r="E9">
        <f t="shared" si="4"/>
        <v>1643760</v>
      </c>
      <c r="F9">
        <v>0</v>
      </c>
      <c r="G9">
        <v>0</v>
      </c>
      <c r="H9" t="s">
        <v>31</v>
      </c>
      <c r="I9" t="s">
        <v>33</v>
      </c>
      <c r="J9">
        <f t="shared" si="13"/>
        <v>2.894E-2</v>
      </c>
      <c r="K9" s="64">
        <f t="shared" si="5"/>
        <v>2.894E-2</v>
      </c>
      <c r="L9" s="64">
        <v>3.1E-4</v>
      </c>
      <c r="M9" s="64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33</v>
      </c>
      <c r="AA9" t="s">
        <v>32</v>
      </c>
      <c r="AB9" t="s">
        <v>32</v>
      </c>
      <c r="AC9" t="s">
        <v>33</v>
      </c>
      <c r="AD9" s="1">
        <f>AJ9*$AP$15</f>
        <v>1.2193691971899337E-2</v>
      </c>
      <c r="AE9" s="1">
        <f t="shared" si="0"/>
        <v>1.4249357683163858E-3</v>
      </c>
      <c r="AF9" s="1">
        <f>AJ9*$AQ$15</f>
        <v>1.2193691971899337E-2</v>
      </c>
      <c r="AG9" s="45">
        <f t="shared" si="1"/>
        <v>2.0356225261662652E-2</v>
      </c>
      <c r="AH9" s="1">
        <f t="shared" si="14"/>
        <v>2.7639035136305163E-6</v>
      </c>
      <c r="AI9" s="1">
        <v>0</v>
      </c>
      <c r="AJ9">
        <f t="shared" si="6"/>
        <v>2.7639035136305163E-6</v>
      </c>
      <c r="AK9">
        <f t="shared" si="7"/>
        <v>1.3819517568152583E-8</v>
      </c>
      <c r="AL9">
        <f t="shared" si="7"/>
        <v>0</v>
      </c>
      <c r="AM9">
        <f t="shared" si="8"/>
        <v>1.3819517568152583E-8</v>
      </c>
      <c r="AN9" s="100">
        <f t="shared" si="9"/>
        <v>5.147397973007344E-6</v>
      </c>
      <c r="AO9" s="101">
        <f t="shared" si="10"/>
        <v>46.304841239704686</v>
      </c>
      <c r="AP9" s="15">
        <v>5.8</v>
      </c>
      <c r="AQ9" s="15">
        <f>(($AP9/100)*(1+$AR$15*$E$31)-$Y$16)/(((1+1/$X$23)*(14*10^(-6)))-(($J$31/$X$23+$F$31)*$AP9/100))</f>
        <v>515.55192187033549</v>
      </c>
      <c r="AR9" s="15">
        <f>$AQ9/$X$23</f>
        <v>7365.0274552905066</v>
      </c>
      <c r="AS9" s="9"/>
      <c r="AT9" s="10" t="e">
        <f t="shared" si="11"/>
        <v>#VALUE!</v>
      </c>
      <c r="AU9" s="9" t="e">
        <f t="shared" si="2"/>
        <v>#VALUE!</v>
      </c>
      <c r="AV9" s="10" t="e">
        <f t="shared" si="12"/>
        <v>#VALUE!</v>
      </c>
      <c r="AW9" s="10">
        <f t="shared" si="3"/>
        <v>2.7639035136305163E-6</v>
      </c>
      <c r="AX9" s="9"/>
      <c r="AY9" s="9">
        <f>$AU$20*$AT$22*$AT$24*(M9)^$AT$21</f>
        <v>0</v>
      </c>
    </row>
    <row r="10" spans="1:51" x14ac:dyDescent="0.25">
      <c r="A10" s="126"/>
      <c r="B10">
        <v>1</v>
      </c>
      <c r="C10" t="s">
        <v>30</v>
      </c>
      <c r="D10">
        <v>8</v>
      </c>
      <c r="E10">
        <f t="shared" si="4"/>
        <v>1095840</v>
      </c>
      <c r="F10">
        <v>0</v>
      </c>
      <c r="G10">
        <v>0</v>
      </c>
      <c r="H10" t="s">
        <v>31</v>
      </c>
      <c r="I10" t="s">
        <v>33</v>
      </c>
      <c r="J10">
        <f t="shared" si="13"/>
        <v>2.894E-2</v>
      </c>
      <c r="K10" s="64">
        <f t="shared" si="5"/>
        <v>2.894E-2</v>
      </c>
      <c r="L10" s="64">
        <v>1.6000000000000001E-4</v>
      </c>
      <c r="M10" s="64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t="s">
        <v>33</v>
      </c>
      <c r="AA10" t="s">
        <v>32</v>
      </c>
      <c r="AB10" t="s">
        <v>32</v>
      </c>
      <c r="AC10" t="s">
        <v>33</v>
      </c>
      <c r="AD10" s="1">
        <f>AJ10*$AP$15</f>
        <v>5.2963394285683064E-3</v>
      </c>
      <c r="AE10" s="1">
        <f t="shared" si="0"/>
        <v>6.1892194015589891E-4</v>
      </c>
      <c r="AF10" s="1">
        <f>AJ10*$AQ$15</f>
        <v>5.2963394285683064E-3</v>
      </c>
      <c r="AG10" s="45">
        <f t="shared" si="1"/>
        <v>8.8417420022271279E-3</v>
      </c>
      <c r="AH10" s="1">
        <f t="shared" si="14"/>
        <v>1.2005036038088161E-6</v>
      </c>
      <c r="AI10" s="1">
        <v>0</v>
      </c>
      <c r="AJ10">
        <f t="shared" si="6"/>
        <v>1.2005036038088161E-6</v>
      </c>
      <c r="AK10">
        <f t="shared" si="7"/>
        <v>6.0025180190440811E-9</v>
      </c>
      <c r="AL10">
        <f t="shared" si="7"/>
        <v>0</v>
      </c>
      <c r="AM10">
        <f t="shared" si="8"/>
        <v>6.0025180190440811E-9</v>
      </c>
      <c r="AN10" s="100">
        <f t="shared" si="9"/>
        <v>2.235776244126731E-6</v>
      </c>
      <c r="AO10" s="101">
        <f t="shared" si="10"/>
        <v>46.304841239704672</v>
      </c>
      <c r="AP10" s="15">
        <v>5.8</v>
      </c>
      <c r="AQ10" s="15">
        <f>(($AP10/100)*(1+$AR$15*$E$31)-$Y$16)/(((1+1/$X$23)*(14*10^(-6)))-(($J$31/$X$23+$F$31)*$AP10/100))</f>
        <v>515.55192187033549</v>
      </c>
      <c r="AR10" s="15">
        <f>$AQ10/$X$23</f>
        <v>7365.0274552905066</v>
      </c>
      <c r="AS10" s="9"/>
      <c r="AT10" s="10" t="e">
        <f t="shared" si="11"/>
        <v>#VALUE!</v>
      </c>
      <c r="AU10" s="9" t="e">
        <f t="shared" si="2"/>
        <v>#VALUE!</v>
      </c>
      <c r="AV10" s="10" t="e">
        <f t="shared" si="12"/>
        <v>#VALUE!</v>
      </c>
      <c r="AW10" s="10">
        <f t="shared" si="3"/>
        <v>1.2005036038088161E-6</v>
      </c>
      <c r="AX10" s="9"/>
      <c r="AY10" s="9">
        <f>$AU$20*$AT$22*$AT$24*(M10)^$AT$21</f>
        <v>0</v>
      </c>
    </row>
    <row r="11" spans="1:51" x14ac:dyDescent="0.25">
      <c r="A11" s="126"/>
      <c r="B11">
        <v>1</v>
      </c>
      <c r="C11" t="s">
        <v>30</v>
      </c>
      <c r="D11">
        <v>9</v>
      </c>
      <c r="E11">
        <f t="shared" si="4"/>
        <v>547920</v>
      </c>
      <c r="F11">
        <v>0</v>
      </c>
      <c r="G11">
        <v>0</v>
      </c>
      <c r="H11" t="s">
        <v>31</v>
      </c>
      <c r="I11" t="s">
        <v>33</v>
      </c>
      <c r="J11">
        <f t="shared" si="13"/>
        <v>2.894E-2</v>
      </c>
      <c r="K11" s="64">
        <f t="shared" si="5"/>
        <v>2.894E-2</v>
      </c>
      <c r="L11" s="65">
        <v>6.9999999999999994E-5</v>
      </c>
      <c r="M11" s="64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t="s">
        <v>33</v>
      </c>
      <c r="AA11" t="s">
        <v>32</v>
      </c>
      <c r="AB11" t="s">
        <v>32</v>
      </c>
      <c r="AC11" t="s">
        <v>33</v>
      </c>
      <c r="AD11" s="1">
        <f>AJ11*$AP$15</f>
        <v>1.9146799290632522E-3</v>
      </c>
      <c r="AE11" s="1">
        <f t="shared" si="0"/>
        <v>2.2374650123089325E-4</v>
      </c>
      <c r="AF11" s="1">
        <f>AJ11*$AQ$15</f>
        <v>1.9146799290632522E-3</v>
      </c>
      <c r="AG11" s="45">
        <f t="shared" si="1"/>
        <v>3.1963785890127606E-3</v>
      </c>
      <c r="AH11" s="1">
        <f t="shared" si="14"/>
        <v>4.3399411725433714E-7</v>
      </c>
      <c r="AI11" s="1">
        <v>0</v>
      </c>
      <c r="AJ11">
        <f t="shared" si="6"/>
        <v>4.3399411725433714E-7</v>
      </c>
      <c r="AK11">
        <f t="shared" si="7"/>
        <v>2.1699705862716857E-9</v>
      </c>
      <c r="AL11">
        <f t="shared" si="7"/>
        <v>0</v>
      </c>
      <c r="AM11">
        <f t="shared" si="8"/>
        <v>2.1699705862716857E-9</v>
      </c>
      <c r="AN11" s="100">
        <f t="shared" si="9"/>
        <v>8.0825558071587727E-7</v>
      </c>
      <c r="AO11" s="101">
        <f t="shared" si="10"/>
        <v>46.304841239704686</v>
      </c>
      <c r="AP11" s="15">
        <v>5.8</v>
      </c>
      <c r="AQ11" s="15">
        <f>(($AP11/100)*(1+$AR$15*$E$31)-$Y$16)/(((1+1/$X$23)*(14*10^(-6)))-(($J$31/$X$23+$F$31)*$AP11/100))</f>
        <v>515.55192187033549</v>
      </c>
      <c r="AR11" s="15">
        <f>$AQ11/$X$23</f>
        <v>7365.0274552905066</v>
      </c>
      <c r="AS11" s="9"/>
      <c r="AT11" s="10" t="e">
        <f t="shared" si="11"/>
        <v>#VALUE!</v>
      </c>
      <c r="AU11" s="9" t="e">
        <f t="shared" si="2"/>
        <v>#VALUE!</v>
      </c>
      <c r="AV11" s="10" t="e">
        <f t="shared" si="12"/>
        <v>#VALUE!</v>
      </c>
      <c r="AW11" s="10">
        <f t="shared" si="3"/>
        <v>4.3399411725433714E-7</v>
      </c>
      <c r="AX11" s="9"/>
      <c r="AY11" s="9">
        <f>$AU$20*$AT$22*$AT$24*(M11)^$AT$21</f>
        <v>0</v>
      </c>
    </row>
    <row r="12" spans="1:51" x14ac:dyDescent="0.25">
      <c r="A12" s="126"/>
      <c r="B12">
        <v>1</v>
      </c>
      <c r="C12" t="s">
        <v>30</v>
      </c>
      <c r="D12">
        <v>10</v>
      </c>
      <c r="E12">
        <f>(10-D12)*$E$2</f>
        <v>0</v>
      </c>
      <c r="F12">
        <v>0</v>
      </c>
      <c r="G12">
        <v>0</v>
      </c>
      <c r="H12" t="s">
        <v>31</v>
      </c>
      <c r="I12" t="s">
        <v>33</v>
      </c>
      <c r="J12">
        <f t="shared" si="13"/>
        <v>2.894E-2</v>
      </c>
      <c r="K12" s="64">
        <f t="shared" si="5"/>
        <v>2.894E-2</v>
      </c>
      <c r="L12" s="65">
        <v>5.0000000000000002E-5</v>
      </c>
      <c r="M12" s="64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33</v>
      </c>
      <c r="AA12" t="s">
        <v>32</v>
      </c>
      <c r="AB12" t="s">
        <v>32</v>
      </c>
      <c r="AC12" t="s">
        <v>33</v>
      </c>
      <c r="AD12" s="1">
        <f>AJ12*$AP$15</f>
        <v>1.2855761246405892E-3</v>
      </c>
      <c r="AE12" s="1">
        <f t="shared" si="0"/>
        <v>1.5023041480099003E-4</v>
      </c>
      <c r="AF12" s="1">
        <f>AJ12*$AQ$15</f>
        <v>1.2855761246405892E-3</v>
      </c>
      <c r="AG12" s="45">
        <f t="shared" si="1"/>
        <v>2.1461487828712861E-3</v>
      </c>
      <c r="AH12" s="1">
        <f t="shared" si="14"/>
        <v>2.9139725491853351E-7</v>
      </c>
      <c r="AI12" s="1">
        <v>0</v>
      </c>
      <c r="AJ12">
        <f t="shared" si="6"/>
        <v>2.9139725491853351E-7</v>
      </c>
      <c r="AK12">
        <f t="shared" si="7"/>
        <v>1.4569862745926675E-9</v>
      </c>
      <c r="AL12">
        <f t="shared" si="7"/>
        <v>0</v>
      </c>
      <c r="AM12">
        <f t="shared" si="8"/>
        <v>1.4569862745926675E-9</v>
      </c>
      <c r="AN12" s="103">
        <f t="shared" si="9"/>
        <v>5.4268813361625835E-7</v>
      </c>
      <c r="AO12" s="102">
        <f t="shared" si="10"/>
        <v>46.304841239704686</v>
      </c>
      <c r="AP12" s="16">
        <v>5.8</v>
      </c>
      <c r="AQ12" s="16">
        <f>(($AP12/100)*(1+$AR$15*$E$31)-$Y$16)/(((1+1/$X$23)*(14*10^(-6)))-(($J$31/$X$23+$F$31)*$AP12/100))</f>
        <v>515.55192187033549</v>
      </c>
      <c r="AR12" s="16">
        <f>$AQ12/$X$23</f>
        <v>7365.0274552905066</v>
      </c>
      <c r="AS12" s="9"/>
      <c r="AT12" s="10" t="e">
        <f t="shared" si="11"/>
        <v>#VALUE!</v>
      </c>
      <c r="AU12" s="9" t="e">
        <f t="shared" si="2"/>
        <v>#VALUE!</v>
      </c>
      <c r="AV12" s="10" t="e">
        <f t="shared" si="12"/>
        <v>#VALUE!</v>
      </c>
      <c r="AW12" s="10">
        <f t="shared" si="3"/>
        <v>2.9139725491853351E-7</v>
      </c>
      <c r="AX12" s="9"/>
      <c r="AY12" s="9">
        <f>$AU$20*$AT$22*$AT$24*(M12)^$AT$21</f>
        <v>0</v>
      </c>
    </row>
    <row r="13" spans="1:51" x14ac:dyDescent="0.25">
      <c r="A13" s="6"/>
      <c r="W13" s="1"/>
      <c r="X13" s="1"/>
      <c r="Y13" s="1"/>
      <c r="Z13" s="1"/>
      <c r="AA13" s="1"/>
      <c r="AB13" s="1"/>
      <c r="AC13" s="1"/>
      <c r="AD13" s="1"/>
      <c r="AE13" s="1"/>
    </row>
    <row r="14" spans="1:51" s="4" customFormat="1" x14ac:dyDescent="0.25">
      <c r="A14" s="126" t="s">
        <v>71</v>
      </c>
      <c r="B14" s="7" t="s">
        <v>0</v>
      </c>
      <c r="C14" s="7" t="s">
        <v>1</v>
      </c>
      <c r="D14" s="7" t="s">
        <v>2</v>
      </c>
      <c r="E14" s="7" t="s">
        <v>34</v>
      </c>
      <c r="F14" s="63" t="s">
        <v>35</v>
      </c>
      <c r="G14" s="63" t="s">
        <v>439</v>
      </c>
      <c r="H14" s="63" t="s">
        <v>36</v>
      </c>
      <c r="I14" s="63" t="s">
        <v>37</v>
      </c>
      <c r="J14" s="7" t="s">
        <v>27</v>
      </c>
      <c r="K14" s="7" t="s">
        <v>43</v>
      </c>
      <c r="L14" s="7" t="s">
        <v>22</v>
      </c>
      <c r="M14" s="7" t="s">
        <v>24</v>
      </c>
      <c r="N14" s="7" t="s">
        <v>23</v>
      </c>
      <c r="O14" s="7" t="s">
        <v>21</v>
      </c>
      <c r="P14" s="7" t="s">
        <v>44</v>
      </c>
      <c r="Q14" s="7" t="s">
        <v>45</v>
      </c>
      <c r="R14" s="7" t="s">
        <v>147</v>
      </c>
      <c r="S14" s="7" t="s">
        <v>66</v>
      </c>
      <c r="T14" s="7" t="s">
        <v>64</v>
      </c>
      <c r="U14" s="14" t="s">
        <v>62</v>
      </c>
      <c r="V14" s="14" t="s">
        <v>191</v>
      </c>
      <c r="W14" s="14" t="s">
        <v>22</v>
      </c>
      <c r="X14" s="14" t="s">
        <v>24</v>
      </c>
      <c r="AA14" s="14" t="s">
        <v>23</v>
      </c>
      <c r="AB14" s="5"/>
      <c r="AC14" s="14" t="s">
        <v>45</v>
      </c>
      <c r="AD14" s="14" t="s">
        <v>101</v>
      </c>
      <c r="AE14" s="14" t="s">
        <v>386</v>
      </c>
      <c r="AF14" s="5"/>
      <c r="AG14" s="5"/>
      <c r="AO14" s="27"/>
      <c r="AP14" s="115" t="s">
        <v>21</v>
      </c>
      <c r="AQ14" s="115" t="s">
        <v>396</v>
      </c>
      <c r="AR14" s="116" t="s">
        <v>262</v>
      </c>
    </row>
    <row r="15" spans="1:51" x14ac:dyDescent="0.25">
      <c r="A15" s="126"/>
      <c r="B15">
        <v>1</v>
      </c>
      <c r="C15" t="s">
        <v>30</v>
      </c>
      <c r="D15">
        <v>1</v>
      </c>
      <c r="E15" t="s">
        <v>38</v>
      </c>
      <c r="F15" s="64" t="s">
        <v>39</v>
      </c>
      <c r="G15" s="64">
        <f>280</f>
        <v>280</v>
      </c>
      <c r="H15" s="64">
        <v>8.2000000000000003E-2</v>
      </c>
      <c r="I15" s="64" t="s">
        <v>33</v>
      </c>
      <c r="J15">
        <f>P15*$U$15</f>
        <v>5.4756904468575684E-3</v>
      </c>
      <c r="K15">
        <f>J15*0.005</f>
        <v>2.7378452234287844E-5</v>
      </c>
      <c r="L15">
        <f>J15*$W15</f>
        <v>1.5581618763794147</v>
      </c>
      <c r="M15">
        <f>J15*$X15</f>
        <v>22.259455376848781</v>
      </c>
      <c r="N15">
        <f>AA15*$J15</f>
        <v>0</v>
      </c>
      <c r="O15" s="1">
        <f>J15*$AB$16</f>
        <v>24.157457853783391</v>
      </c>
      <c r="P15">
        <v>1.9556037310205601E-4</v>
      </c>
      <c r="Q15" s="1">
        <f>J15*$AC15</f>
        <v>0.36139556949259949</v>
      </c>
      <c r="R15">
        <v>0.8</v>
      </c>
      <c r="S15">
        <v>0</v>
      </c>
      <c r="T15">
        <v>0</v>
      </c>
      <c r="U15" s="15">
        <v>28</v>
      </c>
      <c r="V15" s="15">
        <v>4.3</v>
      </c>
      <c r="W15" s="15">
        <f>(($V15/100)*(1+$AB$16*$E$31)-$Y$16)/(((1+1/$X$23)*(14*10^(-6)))-(($J$31/$X$23+$F$31)*$V15/100))</f>
        <v>284.55989094007765</v>
      </c>
      <c r="X15" s="15">
        <f>$W15/$X$23</f>
        <v>4065.1412991439661</v>
      </c>
      <c r="Y15" s="115" t="s">
        <v>43</v>
      </c>
      <c r="Z15" s="115" t="s">
        <v>27</v>
      </c>
      <c r="AA15" s="124">
        <f>IF(F15="HiddenElement",$AA$22/100/(1-$X$33)*$X$32*10^6/$X$30,0)</f>
        <v>0</v>
      </c>
      <c r="AB15" s="123" t="s">
        <v>21</v>
      </c>
      <c r="AC15" s="15">
        <f t="shared" ref="AC15:AC20" si="15">ROUND(X15/$AR$6*120,0)</f>
        <v>66</v>
      </c>
      <c r="AD15" s="15">
        <f>J15+L15*$F$31+M15*$J$31+O15*$E$31</f>
        <v>8.3912812506856411E-3</v>
      </c>
      <c r="AE15" s="101">
        <f>(1-J15/AD15)*100</f>
        <v>34.745478273533536</v>
      </c>
      <c r="AF15" s="1"/>
      <c r="AO15" s="117"/>
      <c r="AP15" s="119">
        <f>$AP$16/100/(1-$X$33)*$X$32*10^6/$X$30</f>
        <v>4411.7647058823532</v>
      </c>
      <c r="AQ15" s="119">
        <f>$AQ$16/100/(1-$X$33)*$X$32*10^6/$X$30</f>
        <v>4411.7647058823532</v>
      </c>
      <c r="AR15" s="120">
        <f>AQ15+AP15</f>
        <v>8823.5294117647063</v>
      </c>
    </row>
    <row r="16" spans="1:51" x14ac:dyDescent="0.25">
      <c r="A16" s="126"/>
      <c r="B16">
        <v>1</v>
      </c>
      <c r="C16" t="s">
        <v>30</v>
      </c>
      <c r="D16">
        <v>1</v>
      </c>
      <c r="E16" t="s">
        <v>40</v>
      </c>
      <c r="F16" s="64" t="s">
        <v>41</v>
      </c>
      <c r="G16" s="64">
        <f>280</f>
        <v>280</v>
      </c>
      <c r="H16" s="64">
        <v>2.8500000000000001E-2</v>
      </c>
      <c r="I16" s="64" t="s">
        <v>33</v>
      </c>
      <c r="J16">
        <f>H16*$U$16</f>
        <v>2.2800000000000003E-3</v>
      </c>
      <c r="K16">
        <f t="shared" ref="K16:K20" si="16">J16*0.005</f>
        <v>1.1400000000000003E-5</v>
      </c>
      <c r="L16">
        <f>J16*$W16</f>
        <v>0.18488867627936192</v>
      </c>
      <c r="M16">
        <f>J16*$X16</f>
        <v>2.6412668039908844</v>
      </c>
      <c r="N16">
        <f>AA16*$J16</f>
        <v>0</v>
      </c>
      <c r="O16" s="1">
        <f>J16*$AB$16</f>
        <v>10.058823529411766</v>
      </c>
      <c r="P16">
        <v>2.6899999999999998E-4</v>
      </c>
      <c r="Q16" s="1">
        <f>J16*$AC16</f>
        <v>4.3320000000000004E-2</v>
      </c>
      <c r="R16">
        <v>0.4</v>
      </c>
      <c r="S16">
        <v>0</v>
      </c>
      <c r="T16">
        <v>0</v>
      </c>
      <c r="U16" s="15">
        <v>0.08</v>
      </c>
      <c r="V16" s="15">
        <v>1.8</v>
      </c>
      <c r="W16" s="15">
        <f>(($V16/100)*(1+$AB$16*$E$31)-$Y$16)/(((1+1/$X$23)*(14*10^(-6)))-(($J$31/$X$23+$F$31)*$V16/100))</f>
        <v>81.091524683930658</v>
      </c>
      <c r="X16" s="15">
        <f>$W16/$X$23</f>
        <v>1158.4503526275807</v>
      </c>
      <c r="Y16" s="19">
        <v>5.0000000000000001E-3</v>
      </c>
      <c r="Z16" s="19">
        <v>1</v>
      </c>
      <c r="AA16" s="124">
        <f>IF(F16="HiddenElement",$AA$22/100/(1-$X$33)*$X$32*10^6/$X$30,0)</f>
        <v>0</v>
      </c>
      <c r="AB16" s="78">
        <f>$AB$17/100/(1-$X$33)*$X$32*10^6/$X$30</f>
        <v>4411.7647058823532</v>
      </c>
      <c r="AC16" s="15">
        <f t="shared" si="15"/>
        <v>19</v>
      </c>
      <c r="AD16" s="15">
        <f t="shared" ref="AD16:AD20" si="17">J16+L16*$F$31+M16*$J$31+O16*$E$31</f>
        <v>2.8314542624324136E-3</v>
      </c>
      <c r="AE16" s="101">
        <f t="shared" ref="AE16:AE20" si="18">(1-J16/AD16)*100</f>
        <v>19.476008132961198</v>
      </c>
      <c r="AF16" s="1"/>
      <c r="AO16" s="118" t="s">
        <v>436</v>
      </c>
      <c r="AP16" s="121">
        <v>10</v>
      </c>
      <c r="AQ16" s="121">
        <v>10</v>
      </c>
      <c r="AR16" s="122">
        <f>AQ16+AP16</f>
        <v>20</v>
      </c>
    </row>
    <row r="17" spans="1:47" x14ac:dyDescent="0.25">
      <c r="A17" s="126"/>
      <c r="B17">
        <v>1</v>
      </c>
      <c r="C17" t="s">
        <v>30</v>
      </c>
      <c r="D17">
        <v>2</v>
      </c>
      <c r="E17" t="s">
        <v>38</v>
      </c>
      <c r="F17" s="64" t="s">
        <v>39</v>
      </c>
      <c r="G17" s="64">
        <v>180</v>
      </c>
      <c r="H17" s="64">
        <v>9.1999999999999998E-2</v>
      </c>
      <c r="I17" s="64" t="s">
        <v>33</v>
      </c>
      <c r="J17">
        <f>P17*$U$17</f>
        <v>6.4501906365818599E-3</v>
      </c>
      <c r="K17">
        <f t="shared" si="16"/>
        <v>3.2250953182909302E-5</v>
      </c>
      <c r="L17">
        <f t="shared" ref="L17:L20" si="19">J17*$W17</f>
        <v>2.1752707068834716</v>
      </c>
      <c r="M17">
        <f>J17*$X17</f>
        <v>31.075295812621015</v>
      </c>
      <c r="N17">
        <f>AA17*$J17</f>
        <v>0</v>
      </c>
      <c r="O17" s="1">
        <f>J17*$AB$16</f>
        <v>28.456723396684676</v>
      </c>
      <c r="P17">
        <v>2.3036395130649501E-4</v>
      </c>
      <c r="Q17" s="1">
        <f>J17*$AC17</f>
        <v>0.50311486965338503</v>
      </c>
      <c r="R17">
        <v>1</v>
      </c>
      <c r="S17">
        <v>0</v>
      </c>
      <c r="T17">
        <v>0</v>
      </c>
      <c r="U17" s="15">
        <v>28</v>
      </c>
      <c r="V17" s="15">
        <v>4.8</v>
      </c>
      <c r="W17" s="15">
        <f>(($V17/100)*(1+$AB$16*$E$31)-$Y$16)/(((1+1/$X$23)*(14*10^(-6)))-(($J$31/$X$23+$F$31)*$V17/100))</f>
        <v>337.24130486106213</v>
      </c>
      <c r="X17" s="15">
        <f t="shared" ref="X17:X20" si="20">$W17/$X$23</f>
        <v>4817.732926586601</v>
      </c>
      <c r="Z17" s="33"/>
      <c r="AA17" s="124">
        <f>IF(F17="HiddenElement",$AA$22/100/(1-$X$33)*$X$32*10^6/$X$30,0)</f>
        <v>0</v>
      </c>
      <c r="AB17" s="75">
        <v>10</v>
      </c>
      <c r="AC17" s="15">
        <f t="shared" si="15"/>
        <v>78</v>
      </c>
      <c r="AD17" s="15">
        <f t="shared" si="17"/>
        <v>1.0369976759499418E-2</v>
      </c>
      <c r="AE17" s="101">
        <f t="shared" si="18"/>
        <v>37.799372301648006</v>
      </c>
      <c r="AF17" s="1"/>
      <c r="AG17" s="1"/>
    </row>
    <row r="18" spans="1:47" x14ac:dyDescent="0.25">
      <c r="A18" s="126"/>
      <c r="B18">
        <v>1</v>
      </c>
      <c r="C18" t="s">
        <v>30</v>
      </c>
      <c r="D18">
        <v>2</v>
      </c>
      <c r="E18" t="s">
        <v>40</v>
      </c>
      <c r="F18" s="64" t="s">
        <v>42</v>
      </c>
      <c r="G18" s="64">
        <v>180</v>
      </c>
      <c r="H18" s="64">
        <v>2.8500000000000001E-2</v>
      </c>
      <c r="I18" s="64" t="s">
        <v>33</v>
      </c>
      <c r="J18">
        <f>H18*$U$18</f>
        <v>2.2800000000000003E-3</v>
      </c>
      <c r="K18">
        <f t="shared" si="16"/>
        <v>1.1400000000000003E-5</v>
      </c>
      <c r="L18">
        <f t="shared" si="19"/>
        <v>0.26304034345651023</v>
      </c>
      <c r="M18">
        <f>J18*$X18</f>
        <v>3.7577191922358604</v>
      </c>
      <c r="N18">
        <f>AA18*$J18</f>
        <v>3.0176470588235293</v>
      </c>
      <c r="O18" s="1">
        <f>J18*$AB$16</f>
        <v>10.058823529411766</v>
      </c>
      <c r="P18">
        <v>2.4800000000000001E-4</v>
      </c>
      <c r="Q18" s="1">
        <f>J18*$AC18</f>
        <v>6.1560000000000011E-2</v>
      </c>
      <c r="R18">
        <v>0.5</v>
      </c>
      <c r="S18">
        <v>0</v>
      </c>
      <c r="T18">
        <v>0</v>
      </c>
      <c r="U18" s="15">
        <v>0.08</v>
      </c>
      <c r="V18" s="15">
        <v>2.2999999999999998</v>
      </c>
      <c r="W18" s="15">
        <f>(($V18/100)*(1+$AB$16*$E$31)-$Y$16)/(((1+1/$X$23)*(14*10^(-6)))-(($J$31/$X$23+$F$31)*$V18/100))</f>
        <v>115.36857169145185</v>
      </c>
      <c r="X18" s="15">
        <f t="shared" si="20"/>
        <v>1648.1224527350262</v>
      </c>
      <c r="AA18" s="124">
        <f>IF(F18="HiddenElement",$AA$22/100/(1-$X$33)*$X$32*10^6/$X$30,0)</f>
        <v>1323.5294117647056</v>
      </c>
      <c r="AB18" s="76" t="s">
        <v>292</v>
      </c>
      <c r="AC18" s="15">
        <f t="shared" si="15"/>
        <v>27</v>
      </c>
      <c r="AD18" s="15">
        <f t="shared" si="17"/>
        <v>2.9430710217257907E-3</v>
      </c>
      <c r="AE18" s="101">
        <f t="shared" si="18"/>
        <v>22.529902161075654</v>
      </c>
      <c r="AF18" s="1"/>
      <c r="AG18" s="1"/>
    </row>
    <row r="19" spans="1:47" x14ac:dyDescent="0.25">
      <c r="A19" s="126"/>
      <c r="B19">
        <v>1</v>
      </c>
      <c r="C19" t="s">
        <v>30</v>
      </c>
      <c r="D19">
        <v>2</v>
      </c>
      <c r="E19" t="s">
        <v>40</v>
      </c>
      <c r="F19" s="64" t="s">
        <v>41</v>
      </c>
      <c r="G19" s="64">
        <v>180</v>
      </c>
      <c r="H19" s="64">
        <v>5.0000000000000001E-4</v>
      </c>
      <c r="I19" s="64" t="s">
        <v>33</v>
      </c>
      <c r="J19">
        <f>H19*$U$19</f>
        <v>4.0000000000000003E-5</v>
      </c>
      <c r="K19">
        <f t="shared" si="16"/>
        <v>2.0000000000000002E-7</v>
      </c>
      <c r="L19">
        <f t="shared" si="19"/>
        <v>4.6147428676580745E-3</v>
      </c>
      <c r="M19">
        <f>J19*$X19</f>
        <v>6.5924898109401053E-2</v>
      </c>
      <c r="N19">
        <f>AA19*$J19</f>
        <v>0</v>
      </c>
      <c r="O19" s="1">
        <f>J19*$AB$16</f>
        <v>0.17647058823529413</v>
      </c>
      <c r="P19">
        <v>5.0000000000000004E-6</v>
      </c>
      <c r="Q19" s="1">
        <f>J19*$AC19</f>
        <v>1.08E-3</v>
      </c>
      <c r="R19">
        <v>0.5</v>
      </c>
      <c r="S19">
        <v>0</v>
      </c>
      <c r="T19">
        <v>0</v>
      </c>
      <c r="U19" s="15">
        <v>0.08</v>
      </c>
      <c r="V19" s="15">
        <v>2.2999999999999998</v>
      </c>
      <c r="W19" s="15">
        <f>(($V19/100)*(1+$AB$16*$E$31)-$Y$16)/(((1+1/$X$23)*(14*10^(-6)))-(($J$31/$X$23+$F$31)*$V19/100))</f>
        <v>115.36857169145185</v>
      </c>
      <c r="X19" s="15">
        <f t="shared" si="20"/>
        <v>1648.1224527350262</v>
      </c>
      <c r="AA19" s="124">
        <f>IF(F19="HiddenElement",$AA$22/100/(1-$X$33)*$X$32*10^6/$X$30,0)</f>
        <v>0</v>
      </c>
      <c r="AB19" s="1"/>
      <c r="AC19" s="15">
        <f t="shared" si="15"/>
        <v>27</v>
      </c>
      <c r="AD19" s="15">
        <f t="shared" si="17"/>
        <v>5.1632824942557729E-5</v>
      </c>
      <c r="AE19" s="101">
        <f t="shared" si="18"/>
        <v>22.529902161075654</v>
      </c>
      <c r="AS19" s="108" t="s">
        <v>57</v>
      </c>
      <c r="AT19" s="9" t="s">
        <v>47</v>
      </c>
      <c r="AU19" s="10">
        <v>0</v>
      </c>
    </row>
    <row r="20" spans="1:47" x14ac:dyDescent="0.25">
      <c r="A20" s="126"/>
      <c r="B20">
        <v>1</v>
      </c>
      <c r="C20" t="s">
        <v>30</v>
      </c>
      <c r="D20">
        <v>3</v>
      </c>
      <c r="E20" t="s">
        <v>38</v>
      </c>
      <c r="F20" s="64" t="s">
        <v>39</v>
      </c>
      <c r="G20" s="64">
        <v>80</v>
      </c>
      <c r="H20" s="64">
        <v>6.0421565000000003E-2</v>
      </c>
      <c r="I20" s="64" t="s">
        <v>31</v>
      </c>
      <c r="J20">
        <f>P20*$U$20</f>
        <v>5.5610799999999995E-3</v>
      </c>
      <c r="K20">
        <f t="shared" si="16"/>
        <v>2.7805399999999996E-5</v>
      </c>
      <c r="L20">
        <f t="shared" si="19"/>
        <v>2.0654328503573844</v>
      </c>
      <c r="M20">
        <f>J20*$X20</f>
        <v>29.506183576534056</v>
      </c>
      <c r="N20">
        <f>AA20*$J20</f>
        <v>0</v>
      </c>
      <c r="O20" s="1">
        <f>J20*$AB$16</f>
        <v>24.534176470588235</v>
      </c>
      <c r="P20">
        <v>1.9861E-4</v>
      </c>
      <c r="Q20" s="1">
        <f>J20*$AC20</f>
        <v>0.47825287999999994</v>
      </c>
      <c r="R20">
        <v>1.2</v>
      </c>
      <c r="S20">
        <v>0</v>
      </c>
      <c r="T20">
        <v>0</v>
      </c>
      <c r="U20" s="16">
        <v>28</v>
      </c>
      <c r="V20" s="16">
        <v>5.0999999999999996</v>
      </c>
      <c r="W20" s="16">
        <f>(($V20/100)*(1+$AB$16*$E$31)-$Y$16)/(((1+1/$X$23)*(14*10^(-6)))-(($J$31/$X$23+$F$31)*$V20/100))</f>
        <v>371.40858436803364</v>
      </c>
      <c r="X20" s="16">
        <f t="shared" si="20"/>
        <v>5305.836919543337</v>
      </c>
      <c r="AA20" s="125">
        <f>IF(F20="HiddenElement",$AA$22/100/(1-$X$33)*$X$32*10^6/$X$30,0)</f>
        <v>0</v>
      </c>
      <c r="AC20" s="16">
        <f t="shared" si="15"/>
        <v>86</v>
      </c>
      <c r="AD20" s="16">
        <f t="shared" si="17"/>
        <v>9.2119221564015731E-3</v>
      </c>
      <c r="AE20" s="102">
        <f t="shared" si="18"/>
        <v>39.631708718516698</v>
      </c>
      <c r="AS20" s="108"/>
      <c r="AT20" s="9" t="s">
        <v>48</v>
      </c>
      <c r="AU20" s="9">
        <v>0.106</v>
      </c>
    </row>
    <row r="21" spans="1:47" x14ac:dyDescent="0.25">
      <c r="A21" s="4"/>
      <c r="W21" s="15"/>
      <c r="X21" s="15"/>
      <c r="Z21" s="1"/>
      <c r="AN21" s="108"/>
      <c r="AO21" s="108"/>
      <c r="AP21" s="108"/>
      <c r="AQ21" s="108"/>
      <c r="AR21" s="108"/>
      <c r="AS21" s="9" t="s">
        <v>49</v>
      </c>
      <c r="AT21" s="9">
        <v>1.28</v>
      </c>
    </row>
    <row r="22" spans="1:47" x14ac:dyDescent="0.25">
      <c r="A22" s="4"/>
      <c r="W22" s="109"/>
      <c r="X22" s="20" t="s">
        <v>126</v>
      </c>
      <c r="Y22" s="54" t="s">
        <v>127</v>
      </c>
      <c r="AA22" s="75">
        <v>3</v>
      </c>
      <c r="AN22" s="108"/>
      <c r="AO22" s="108"/>
      <c r="AP22" s="108"/>
      <c r="AQ22" s="108"/>
      <c r="AR22" s="108"/>
      <c r="AS22" s="9" t="s">
        <v>50</v>
      </c>
      <c r="AT22" s="9">
        <v>0.8</v>
      </c>
    </row>
    <row r="23" spans="1:47" x14ac:dyDescent="0.25">
      <c r="A23" s="4"/>
      <c r="X23" s="16">
        <v>7.0000000000000007E-2</v>
      </c>
      <c r="Y23" s="104">
        <f>(SUMPRODUCT(V15:V20,AD15:AD20)+SUMPRODUCT(AP5:AP12,AN5:AN12))/SUM(AD15:AD20,AN5:AN12)</f>
        <v>4.3711506633130819</v>
      </c>
      <c r="AA23" s="76" t="s">
        <v>292</v>
      </c>
      <c r="AN23" s="108"/>
      <c r="AO23" s="108"/>
      <c r="AP23" s="108"/>
      <c r="AQ23" s="108"/>
      <c r="AR23" s="108"/>
      <c r="AS23" s="9" t="s">
        <v>60</v>
      </c>
      <c r="AT23" s="9">
        <f>210*3600*24/12</f>
        <v>1512000</v>
      </c>
    </row>
    <row r="24" spans="1:47" x14ac:dyDescent="0.25">
      <c r="A24" s="4"/>
      <c r="F24" s="1"/>
      <c r="G24" s="1"/>
      <c r="AN24" s="9"/>
      <c r="AO24" s="9"/>
      <c r="AP24" s="9"/>
      <c r="AQ24" s="9"/>
      <c r="AR24" s="9"/>
      <c r="AS24" s="9" t="s">
        <v>58</v>
      </c>
      <c r="AT24" s="9">
        <v>5</v>
      </c>
    </row>
    <row r="25" spans="1:47" x14ac:dyDescent="0.25">
      <c r="A25" s="126" t="s">
        <v>72</v>
      </c>
      <c r="B25" s="7" t="s">
        <v>0</v>
      </c>
      <c r="C25" s="7" t="s">
        <v>1</v>
      </c>
      <c r="D25" s="7" t="s">
        <v>34</v>
      </c>
      <c r="E25" s="7" t="s">
        <v>21</v>
      </c>
      <c r="F25" s="7" t="s">
        <v>22</v>
      </c>
      <c r="G25" s="7" t="s">
        <v>64</v>
      </c>
      <c r="H25" s="7" t="s">
        <v>65</v>
      </c>
      <c r="I25" s="7" t="s">
        <v>66</v>
      </c>
      <c r="J25" s="7" t="s">
        <v>24</v>
      </c>
      <c r="K25" s="7" t="s">
        <v>27</v>
      </c>
      <c r="L25" s="7" t="s">
        <v>43</v>
      </c>
      <c r="M25" s="7" t="s">
        <v>45</v>
      </c>
      <c r="AM25" s="11"/>
      <c r="AN25" s="11"/>
      <c r="AO25" s="11"/>
      <c r="AP25" s="11"/>
      <c r="AQ25" s="11"/>
      <c r="AR25" s="9" t="s">
        <v>59</v>
      </c>
      <c r="AS25" s="9">
        <f>1/59</f>
        <v>1.6949152542372881E-2</v>
      </c>
    </row>
    <row r="26" spans="1:47" x14ac:dyDescent="0.25">
      <c r="A26" s="126"/>
      <c r="B26">
        <v>1</v>
      </c>
      <c r="C26" t="s">
        <v>30</v>
      </c>
      <c r="D26" t="s">
        <v>67</v>
      </c>
      <c r="E26" s="33">
        <v>0</v>
      </c>
      <c r="F26" s="33">
        <v>0</v>
      </c>
      <c r="G26" s="33" t="s">
        <v>32</v>
      </c>
      <c r="H26" s="33" t="s">
        <v>32</v>
      </c>
      <c r="I26" s="33" t="s">
        <v>32</v>
      </c>
      <c r="J26" s="33" t="s">
        <v>32</v>
      </c>
      <c r="K26" s="33" t="s">
        <v>32</v>
      </c>
      <c r="L26" s="33" t="s">
        <v>32</v>
      </c>
      <c r="M26" s="33" t="s">
        <v>32</v>
      </c>
      <c r="AM26" s="12"/>
      <c r="AN26" s="12"/>
      <c r="AO26" s="12"/>
      <c r="AP26" s="12"/>
      <c r="AQ26" s="12"/>
      <c r="AR26" s="9"/>
      <c r="AS26" s="9"/>
    </row>
    <row r="27" spans="1:47" x14ac:dyDescent="0.25">
      <c r="A27" s="126"/>
      <c r="B27">
        <v>1</v>
      </c>
      <c r="C27" t="s">
        <v>30</v>
      </c>
      <c r="D27" t="s">
        <v>68</v>
      </c>
      <c r="E27" s="33">
        <f>E28*$K$27</f>
        <v>181.09461261082845</v>
      </c>
      <c r="F27" s="33">
        <f>F28*$K$27</f>
        <v>14.618940950398287</v>
      </c>
      <c r="G27" s="33">
        <f>G28*$K$27</f>
        <v>12.494821325126741</v>
      </c>
      <c r="H27" s="33" t="s">
        <v>32</v>
      </c>
      <c r="I27" s="33" t="s">
        <v>32</v>
      </c>
      <c r="J27" s="33" t="s">
        <v>32</v>
      </c>
      <c r="K27" s="1">
        <f>$P$33/$O$28/(1+$E$28*$E$31+$F$28*$F$31+$G$28*$G$31)</f>
        <v>4.1048112191787778E-2</v>
      </c>
      <c r="L27" s="33">
        <f>K27*$Y$16</f>
        <v>2.0524056095893889E-4</v>
      </c>
      <c r="M27" s="33">
        <f>M28*$K$27</f>
        <v>0.20524056095893889</v>
      </c>
      <c r="N27" s="106" t="s">
        <v>391</v>
      </c>
      <c r="O27" s="20" t="s">
        <v>69</v>
      </c>
      <c r="P27" s="20" t="s">
        <v>129</v>
      </c>
      <c r="Q27" s="20" t="s">
        <v>128</v>
      </c>
      <c r="R27" s="127" t="s">
        <v>46</v>
      </c>
      <c r="S27" s="9" t="s">
        <v>47</v>
      </c>
      <c r="T27" s="10">
        <v>2.6499999999999999E-8</v>
      </c>
      <c r="AM27" s="12"/>
      <c r="AN27" s="12"/>
      <c r="AO27" s="12"/>
      <c r="AP27" s="12"/>
      <c r="AQ27" s="12"/>
      <c r="AR27" s="9"/>
      <c r="AS27" s="9"/>
    </row>
    <row r="28" spans="1:47" x14ac:dyDescent="0.25">
      <c r="E28" s="79">
        <f>AB16</f>
        <v>4411.7647058823532</v>
      </c>
      <c r="F28" s="80">
        <f>(($Q$28/100)*(1+$E$28*$E$31)-$Y$16)/((1+1/$P$28)*(14*10^-6-$J$31*$Q$28/100))</f>
        <v>356.14161455451784</v>
      </c>
      <c r="G28" s="80">
        <f>F28/$P$28</f>
        <v>304.39454235428877</v>
      </c>
      <c r="H28" s="21"/>
      <c r="I28" s="21"/>
      <c r="J28" s="21"/>
      <c r="K28" s="21"/>
      <c r="L28" s="21"/>
      <c r="M28" s="22">
        <v>5</v>
      </c>
      <c r="N28" s="107">
        <f>SUM(AJ5:AJ12,J15:J20)/K27</f>
        <v>0.60363468680702481</v>
      </c>
      <c r="O28" s="16">
        <v>0.8</v>
      </c>
      <c r="P28" s="16">
        <v>1.17</v>
      </c>
      <c r="Q28" s="16">
        <v>1.2</v>
      </c>
      <c r="R28" s="127"/>
      <c r="S28" s="9" t="s">
        <v>48</v>
      </c>
      <c r="T28" s="9">
        <v>0.106</v>
      </c>
      <c r="AM28" s="12" t="s">
        <v>73</v>
      </c>
      <c r="AN28" s="12"/>
      <c r="AO28" s="12"/>
      <c r="AP28" s="12"/>
      <c r="AQ28" s="12"/>
      <c r="AR28" s="9"/>
      <c r="AS28" s="9"/>
    </row>
    <row r="29" spans="1:47" x14ac:dyDescent="0.25">
      <c r="F29" s="1"/>
      <c r="R29" s="127"/>
      <c r="S29" s="9" t="s">
        <v>49</v>
      </c>
      <c r="T29" s="9">
        <v>1.28</v>
      </c>
      <c r="W29" s="73" t="s">
        <v>284</v>
      </c>
      <c r="X29" s="74">
        <v>180</v>
      </c>
      <c r="AM29" s="13" t="s">
        <v>74</v>
      </c>
      <c r="AN29" s="13"/>
      <c r="AO29" s="13"/>
      <c r="AP29" s="13"/>
      <c r="AQ29" s="13"/>
      <c r="AR29" s="9"/>
      <c r="AS29" s="9"/>
    </row>
    <row r="30" spans="1:47" x14ac:dyDescent="0.25">
      <c r="D30" s="32" t="s">
        <v>124</v>
      </c>
      <c r="F30" s="1"/>
      <c r="O30" s="49" t="s">
        <v>395</v>
      </c>
      <c r="P30" s="99">
        <f>K27+SUM(J15:J20)+SUM(AJ5:AJ12)</f>
        <v>6.5826176538697212E-2</v>
      </c>
      <c r="R30" s="127"/>
      <c r="S30" s="9" t="s">
        <v>50</v>
      </c>
      <c r="T30" s="9">
        <v>0.8</v>
      </c>
      <c r="W30" s="73" t="s">
        <v>267</v>
      </c>
      <c r="X30" s="74">
        <v>340</v>
      </c>
      <c r="AM30" s="13"/>
      <c r="AN30" s="13"/>
      <c r="AO30" s="13"/>
      <c r="AP30" s="13"/>
      <c r="AQ30" s="13"/>
      <c r="AR30" s="9"/>
      <c r="AS30" s="9"/>
    </row>
    <row r="31" spans="1:47" x14ac:dyDescent="0.25">
      <c r="D31" s="23" t="s">
        <v>125</v>
      </c>
      <c r="E31" s="23">
        <f xml:space="preserve"> (0.000001*12) / 0.42</f>
        <v>2.8571428571428574E-5</v>
      </c>
      <c r="F31" s="24">
        <f>( 0.000001*14) / 0.135</f>
        <v>1.037037037037037E-4</v>
      </c>
      <c r="G31" s="24">
        <f>62*10^-6</f>
        <v>6.2000000000000003E-5</v>
      </c>
      <c r="J31" s="24">
        <f>( 0.000001*14) / 0.151</f>
        <v>9.2715231788079476E-5</v>
      </c>
      <c r="R31" s="127"/>
      <c r="S31" s="9" t="s">
        <v>51</v>
      </c>
      <c r="T31" s="9">
        <f>271*3600 * 24 /12</f>
        <v>1951200</v>
      </c>
      <c r="W31" s="49" t="s">
        <v>268</v>
      </c>
      <c r="X31" s="51">
        <v>12</v>
      </c>
      <c r="AM31" s="12" t="s">
        <v>75</v>
      </c>
      <c r="AN31" s="12"/>
      <c r="AO31" s="12"/>
      <c r="AP31" s="12"/>
      <c r="AQ31" s="12"/>
      <c r="AR31" s="9"/>
      <c r="AS31" s="9"/>
    </row>
    <row r="32" spans="1:47" x14ac:dyDescent="0.25">
      <c r="D32" s="23" t="s">
        <v>76</v>
      </c>
      <c r="E32" s="23">
        <f>E26*E31</f>
        <v>0</v>
      </c>
      <c r="F32" s="24">
        <f>F26*F31</f>
        <v>0</v>
      </c>
      <c r="G32" s="24"/>
      <c r="O32" s="49" t="s">
        <v>390</v>
      </c>
      <c r="P32" s="99">
        <f>E26*E31+F26*F31</f>
        <v>0</v>
      </c>
      <c r="R32" s="127"/>
      <c r="S32" s="11" t="s">
        <v>52</v>
      </c>
      <c r="T32" s="9">
        <v>1.557936E-2</v>
      </c>
      <c r="W32" s="49" t="s">
        <v>269</v>
      </c>
      <c r="X32" s="51">
        <v>12</v>
      </c>
    </row>
    <row r="33" spans="15:24" x14ac:dyDescent="0.25">
      <c r="O33" s="49" t="s">
        <v>243</v>
      </c>
      <c r="P33" s="99">
        <f t="array" ref="P33">SUM(J15:J20,AJ5:AJ12)+SUM(AE5:AE12*F31,L15:L20*F31)+SUM(AG5:AG12*J31,M15:M20*J31)+SUM(AD5:AD12*E31,O15:O20*E31)+SUM(N15:N20*E31,AF5:AF12*E31)</f>
        <v>3.8810368978886789E-2</v>
      </c>
      <c r="W33" s="49" t="s">
        <v>328</v>
      </c>
      <c r="X33" s="77">
        <v>0.2</v>
      </c>
    </row>
    <row r="34" spans="15:24" x14ac:dyDescent="0.25">
      <c r="O34" s="49" t="s">
        <v>244</v>
      </c>
      <c r="P34" s="50">
        <f>K27+E27*E31+F27*F31+G27*G31</f>
        <v>4.8512961223608493E-2</v>
      </c>
    </row>
    <row r="35" spans="15:24" x14ac:dyDescent="0.25">
      <c r="O35" s="49" t="s">
        <v>387</v>
      </c>
      <c r="P35" s="50">
        <f>P34+P33+P32</f>
        <v>8.7323330202495275E-2</v>
      </c>
      <c r="Q35" s="44"/>
    </row>
    <row r="36" spans="15:24" x14ac:dyDescent="0.25">
      <c r="O36" s="51"/>
      <c r="P36" s="52"/>
      <c r="Q36" s="1"/>
    </row>
    <row r="37" spans="15:24" x14ac:dyDescent="0.25">
      <c r="O37" s="49" t="s">
        <v>393</v>
      </c>
      <c r="P37" s="53">
        <f>1-SUM($AJ$5:$AJ$12,$J$15:$J$20)/$P$33</f>
        <v>0.36156071176780258</v>
      </c>
    </row>
    <row r="38" spans="15:24" x14ac:dyDescent="0.25">
      <c r="O38" s="49" t="s">
        <v>394</v>
      </c>
      <c r="P38" s="53">
        <f>1-$K$27/$P$34</f>
        <v>0.15387329166350705</v>
      </c>
    </row>
    <row r="39" spans="15:24" x14ac:dyDescent="0.25">
      <c r="O39" s="49" t="s">
        <v>245</v>
      </c>
      <c r="P39" s="53">
        <f>1-SUM($AJ$5:$AJ$12,$J$15:$J$20)/($P$33+N28/(1+N28)*P32)</f>
        <v>0.36156071176780258</v>
      </c>
    </row>
    <row r="40" spans="15:24" x14ac:dyDescent="0.25">
      <c r="O40" s="49" t="s">
        <v>246</v>
      </c>
      <c r="P40" s="53">
        <f>1-$K$27/($P$34+1/(1+N28)*P32)</f>
        <v>0.15387329166350705</v>
      </c>
    </row>
    <row r="42" spans="15:24" x14ac:dyDescent="0.25">
      <c r="O42" s="49" t="s">
        <v>389</v>
      </c>
      <c r="P42" s="105" t="e">
        <f>(F26*14*10^-6)/(E26*E31+F26*F31)*100</f>
        <v>#DIV/0!</v>
      </c>
    </row>
    <row r="43" spans="15:24" x14ac:dyDescent="0.25">
      <c r="O43" s="49" t="s">
        <v>388</v>
      </c>
      <c r="P43" s="105" t="e">
        <f>($Y$23*$P$33+$Q$28*$P$34+$P$32*$P$42)/$P$35</f>
        <v>#DIV/0!</v>
      </c>
    </row>
    <row r="44" spans="15:24" x14ac:dyDescent="0.25">
      <c r="O44" s="49" t="s">
        <v>392</v>
      </c>
      <c r="P44" s="105">
        <f>($Y$23*$P$33+$Q$28*$P$34)/($P$33+$P$34)</f>
        <v>2.6094002948058139</v>
      </c>
    </row>
  </sheetData>
  <mergeCells count="4">
    <mergeCell ref="A4:A12"/>
    <mergeCell ref="A14:A20"/>
    <mergeCell ref="A25:A27"/>
    <mergeCell ref="R27:R3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Y44"/>
  <sheetViews>
    <sheetView workbookViewId="0">
      <selection activeCell="O39" sqref="O39"/>
    </sheetView>
  </sheetViews>
  <sheetFormatPr baseColWidth="10" defaultRowHeight="15" x14ac:dyDescent="0.25"/>
  <cols>
    <col min="5" max="5" width="12" bestFit="1" customWidth="1"/>
    <col min="35" max="35" width="17.85546875" bestFit="1" customWidth="1"/>
    <col min="36" max="36" width="21.7109375" bestFit="1" customWidth="1"/>
    <col min="44" max="44" width="12" bestFit="1" customWidth="1"/>
  </cols>
  <sheetData>
    <row r="1" spans="1:51" x14ac:dyDescent="0.25">
      <c r="A1" s="91" t="s">
        <v>252</v>
      </c>
      <c r="B1" s="92" t="s">
        <v>253</v>
      </c>
      <c r="C1" s="93"/>
      <c r="E1" s="97" t="s">
        <v>385</v>
      </c>
    </row>
    <row r="2" spans="1:51" s="48" customFormat="1" ht="15.75" thickBot="1" x14ac:dyDescent="0.3">
      <c r="A2" s="94" t="s">
        <v>252</v>
      </c>
      <c r="B2" s="95" t="s">
        <v>254</v>
      </c>
      <c r="C2" s="96"/>
      <c r="E2" s="98">
        <f xml:space="preserve"> 76.1/12*24*3600</f>
        <v>547920</v>
      </c>
    </row>
    <row r="4" spans="1:51" s="4" customFormat="1" ht="15" customHeight="1" x14ac:dyDescent="0.25">
      <c r="A4" s="126" t="s">
        <v>70</v>
      </c>
      <c r="B4" s="7" t="s">
        <v>0</v>
      </c>
      <c r="C4" s="7" t="s">
        <v>1</v>
      </c>
      <c r="D4" s="7" t="s">
        <v>2</v>
      </c>
      <c r="E4" s="7" t="s">
        <v>384</v>
      </c>
      <c r="F4" s="7" t="s">
        <v>3</v>
      </c>
      <c r="G4" s="7" t="s">
        <v>4</v>
      </c>
      <c r="H4" s="7" t="s">
        <v>5</v>
      </c>
      <c r="I4" s="7" t="s">
        <v>6</v>
      </c>
      <c r="J4" s="7" t="s">
        <v>7</v>
      </c>
      <c r="K4" s="63" t="s">
        <v>8</v>
      </c>
      <c r="L4" s="63" t="s">
        <v>9</v>
      </c>
      <c r="M4" s="63" t="s">
        <v>10</v>
      </c>
      <c r="N4" s="7" t="s">
        <v>152</v>
      </c>
      <c r="O4" s="7" t="s">
        <v>153</v>
      </c>
      <c r="P4" s="7" t="s">
        <v>148</v>
      </c>
      <c r="Q4" s="7" t="s">
        <v>149</v>
      </c>
      <c r="R4" s="7" t="s">
        <v>150</v>
      </c>
      <c r="S4" s="7" t="s">
        <v>151</v>
      </c>
      <c r="T4" s="7" t="s">
        <v>11</v>
      </c>
      <c r="U4" s="7" t="s">
        <v>12</v>
      </c>
      <c r="V4" s="7" t="s">
        <v>13</v>
      </c>
      <c r="W4" s="7" t="s">
        <v>14</v>
      </c>
      <c r="X4" s="7" t="s">
        <v>15</v>
      </c>
      <c r="Y4" s="7" t="s">
        <v>16</v>
      </c>
      <c r="Z4" s="7" t="s">
        <v>17</v>
      </c>
      <c r="AA4" s="7" t="s">
        <v>18</v>
      </c>
      <c r="AB4" s="7" t="s">
        <v>19</v>
      </c>
      <c r="AC4" s="7" t="s">
        <v>20</v>
      </c>
      <c r="AD4" s="7" t="s">
        <v>21</v>
      </c>
      <c r="AE4" s="7" t="s">
        <v>22</v>
      </c>
      <c r="AF4" s="7" t="s">
        <v>23</v>
      </c>
      <c r="AG4" s="7" t="s">
        <v>24</v>
      </c>
      <c r="AH4" s="7" t="s">
        <v>25</v>
      </c>
      <c r="AI4" s="7" t="s">
        <v>26</v>
      </c>
      <c r="AJ4" s="7" t="s">
        <v>27</v>
      </c>
      <c r="AK4" s="7" t="s">
        <v>28</v>
      </c>
      <c r="AL4" s="7" t="s">
        <v>29</v>
      </c>
      <c r="AM4" s="7" t="s">
        <v>43</v>
      </c>
      <c r="AN4" s="14" t="s">
        <v>101</v>
      </c>
      <c r="AO4" s="14" t="s">
        <v>386</v>
      </c>
      <c r="AP4" s="14" t="s">
        <v>191</v>
      </c>
      <c r="AQ4" s="14" t="s">
        <v>22</v>
      </c>
      <c r="AR4" s="14" t="s">
        <v>24</v>
      </c>
      <c r="AS4" s="8" t="s">
        <v>63</v>
      </c>
      <c r="AT4" s="8" t="s">
        <v>53</v>
      </c>
      <c r="AU4" s="8" t="s">
        <v>54</v>
      </c>
      <c r="AV4" s="8" t="s">
        <v>55</v>
      </c>
      <c r="AW4" s="8" t="s">
        <v>56</v>
      </c>
      <c r="AX4" s="8"/>
      <c r="AY4" s="8" t="s">
        <v>61</v>
      </c>
    </row>
    <row r="5" spans="1:51" x14ac:dyDescent="0.25">
      <c r="A5" s="126"/>
      <c r="B5">
        <v>1</v>
      </c>
      <c r="C5" t="s">
        <v>30</v>
      </c>
      <c r="D5">
        <v>3</v>
      </c>
      <c r="E5">
        <f t="shared" ref="E5:E11" si="0">(10-D5)*$E$2</f>
        <v>3835440</v>
      </c>
      <c r="F5">
        <v>1589281</v>
      </c>
      <c r="G5">
        <f>432000*24/12</f>
        <v>864000</v>
      </c>
      <c r="H5" t="s">
        <v>31</v>
      </c>
      <c r="I5" t="s">
        <v>31</v>
      </c>
      <c r="J5">
        <f>G16+G19-M5</f>
        <v>2.895E-2</v>
      </c>
      <c r="K5" s="64">
        <f>J5-M5</f>
        <v>2.8899999999999999E-2</v>
      </c>
      <c r="L5" s="64">
        <v>9.2499999999999999E-2</v>
      </c>
      <c r="M5" s="64">
        <v>5.0000000000000002E-5</v>
      </c>
      <c r="N5">
        <v>3600</v>
      </c>
      <c r="O5">
        <v>3600</v>
      </c>
      <c r="P5">
        <v>0</v>
      </c>
      <c r="Q5">
        <v>0</v>
      </c>
      <c r="R5">
        <v>0</v>
      </c>
      <c r="S5">
        <v>0</v>
      </c>
      <c r="T5">
        <v>0.12280000000000001</v>
      </c>
      <c r="U5">
        <v>9.3426658551430383E-2</v>
      </c>
      <c r="V5">
        <v>2.9373341448569623E-2</v>
      </c>
      <c r="W5">
        <v>4.0000000000000001E-3</v>
      </c>
      <c r="X5">
        <v>27.6</v>
      </c>
      <c r="Y5">
        <v>0.08</v>
      </c>
      <c r="Z5" t="s">
        <v>31</v>
      </c>
      <c r="AA5" t="s">
        <v>32</v>
      </c>
      <c r="AB5">
        <v>1</v>
      </c>
      <c r="AC5" t="s">
        <v>33</v>
      </c>
      <c r="AD5" s="1">
        <f t="shared" ref="AD5:AD12" si="1">AJ5*$AA$16</f>
        <v>8.1830418023733635</v>
      </c>
      <c r="AE5" s="1">
        <f t="shared" ref="AE5:AE12" si="2">AJ5*$AQ5</f>
        <v>0.58530775522953393</v>
      </c>
      <c r="AF5">
        <v>0</v>
      </c>
      <c r="AG5" s="45">
        <f t="shared" ref="AG5:AG12" si="3">AJ5*$AR5</f>
        <v>8.3615393604219133</v>
      </c>
      <c r="AH5" s="1">
        <f>AV5</f>
        <v>1.8534983222633695E-3</v>
      </c>
      <c r="AI5" s="1">
        <f>AY5</f>
        <v>1.3244862745926676E-6</v>
      </c>
      <c r="AJ5" s="1">
        <f>AH5+AI5</f>
        <v>1.8548228085379622E-3</v>
      </c>
      <c r="AK5" s="1">
        <f>AH5*0.005</f>
        <v>9.267491611316847E-6</v>
      </c>
      <c r="AL5">
        <f>AI5*0.005</f>
        <v>6.6224313729633385E-9</v>
      </c>
      <c r="AM5">
        <f>AK5+AL5</f>
        <v>9.2741140426898098E-6</v>
      </c>
      <c r="AN5" s="100">
        <f>AJ5+AD5*$E$31+AE5*$F$31+AG5*$J$31</f>
        <v>2.9245646448219577E-3</v>
      </c>
      <c r="AO5" s="101">
        <f>(1-AJ5/AN5)*100</f>
        <v>36.577814690402221</v>
      </c>
      <c r="AP5" s="15">
        <v>4.5999999999999996</v>
      </c>
      <c r="AQ5" s="15">
        <f t="shared" ref="AQ5:AQ12" si="4">(($AP5/100)*(1+$AA$16*$E$31)-$X$16)/(((1+1/$W$23)*(14*10^(-6)))-(($J$31/$W$23+$F$31)*$AP5/100))</f>
        <v>315.55992978698299</v>
      </c>
      <c r="AR5" s="15">
        <f t="shared" ref="AR5:AR12" si="5">$AQ5/$W$23</f>
        <v>4507.9989969568996</v>
      </c>
      <c r="AS5" s="9">
        <v>851425</v>
      </c>
      <c r="AT5" s="10">
        <f>$T$27+$T$28*$T$30*(J5)^$T$29</f>
        <v>9.1058115591388438E-4</v>
      </c>
      <c r="AU5" s="9">
        <f t="shared" ref="AU5:AU12" si="6">J5*Y5</f>
        <v>2.3159999999999999E-3</v>
      </c>
      <c r="AV5" s="10">
        <f>((AU5-AT5)/($T$31-AS5))*(F5-$T$31)+AU5</f>
        <v>1.8534983222633695E-3</v>
      </c>
      <c r="AW5" s="10">
        <f t="shared" ref="AW5:AW12" si="7">$T$27+$T$28*$T$30*(L5)^$T$29</f>
        <v>4.0277279389003447E-3</v>
      </c>
      <c r="AX5" s="9"/>
      <c r="AY5" s="9">
        <f t="shared" ref="AY5:AY12" si="8">$AT$20*$AS$22*$AS$24*(M5)^$AS$21</f>
        <v>1.3244862745926676E-6</v>
      </c>
    </row>
    <row r="6" spans="1:51" x14ac:dyDescent="0.25">
      <c r="A6" s="126"/>
      <c r="B6">
        <v>1</v>
      </c>
      <c r="C6" t="s">
        <v>30</v>
      </c>
      <c r="D6">
        <v>4</v>
      </c>
      <c r="E6">
        <f t="shared" si="0"/>
        <v>3287520</v>
      </c>
      <c r="F6">
        <v>776406</v>
      </c>
      <c r="G6">
        <v>0</v>
      </c>
      <c r="H6" t="s">
        <v>31</v>
      </c>
      <c r="I6" t="s">
        <v>31</v>
      </c>
      <c r="J6">
        <f>J5-M6</f>
        <v>2.894E-2</v>
      </c>
      <c r="K6" s="64">
        <f t="shared" ref="K6:K12" si="9">J6-M6</f>
        <v>2.8930000000000001E-2</v>
      </c>
      <c r="L6" s="64">
        <v>2.5999999999999999E-2</v>
      </c>
      <c r="M6" s="64">
        <v>1.0000000000000001E-5</v>
      </c>
      <c r="N6">
        <v>3600</v>
      </c>
      <c r="O6">
        <v>0</v>
      </c>
      <c r="P6">
        <v>0</v>
      </c>
      <c r="Q6">
        <v>0</v>
      </c>
      <c r="R6">
        <v>0</v>
      </c>
      <c r="S6">
        <v>0</v>
      </c>
      <c r="T6">
        <v>0.1331</v>
      </c>
      <c r="U6">
        <v>9.9106478034251738E-2</v>
      </c>
      <c r="V6">
        <v>3.3993521965748258E-2</v>
      </c>
      <c r="W6">
        <v>4.4000000000000003E-3</v>
      </c>
      <c r="X6">
        <v>27.6</v>
      </c>
      <c r="Y6">
        <v>0.08</v>
      </c>
      <c r="Z6" t="s">
        <v>33</v>
      </c>
      <c r="AA6" t="s">
        <v>32</v>
      </c>
      <c r="AB6" t="s">
        <v>32</v>
      </c>
      <c r="AC6" t="s">
        <v>33</v>
      </c>
      <c r="AD6" s="1">
        <f t="shared" si="1"/>
        <v>3.5017162544188412</v>
      </c>
      <c r="AE6" s="1">
        <f t="shared" si="2"/>
        <v>0.36496394733565457</v>
      </c>
      <c r="AF6">
        <v>0</v>
      </c>
      <c r="AG6" s="45">
        <f t="shared" si="3"/>
        <v>5.2137706762236364</v>
      </c>
      <c r="AH6" s="1">
        <f>AW6</f>
        <v>7.9355355356128927E-4</v>
      </c>
      <c r="AI6" s="1">
        <f>AY6</f>
        <v>1.6879744031468265E-7</v>
      </c>
      <c r="AJ6">
        <f t="shared" ref="AJ6:AJ12" si="10">AH6+AI6</f>
        <v>7.9372235100160394E-4</v>
      </c>
      <c r="AK6">
        <f t="shared" ref="AK6:AL12" si="11">AH6*0.005</f>
        <v>3.9677677678064465E-6</v>
      </c>
      <c r="AL6">
        <f t="shared" si="11"/>
        <v>8.4398720157341326E-10</v>
      </c>
      <c r="AM6">
        <f t="shared" ref="AM6:AM12" si="12">AK6+AL6</f>
        <v>3.9686117550080197E-6</v>
      </c>
      <c r="AN6" s="100">
        <f t="shared" ref="AN6:AN12" si="13">AJ6+AD6*$E$31+AE6*$F$31+AG6*$J$31</f>
        <v>1.4150154566351394E-3</v>
      </c>
      <c r="AO6" s="101">
        <f t="shared" ref="AO6:AO12" si="14">(1-AJ6/AN6)*100</f>
        <v>43.907160357876954</v>
      </c>
      <c r="AP6" s="15">
        <v>5.8</v>
      </c>
      <c r="AQ6" s="15">
        <f t="shared" si="4"/>
        <v>459.81311585229264</v>
      </c>
      <c r="AR6" s="15">
        <f t="shared" si="5"/>
        <v>6568.7587978898946</v>
      </c>
      <c r="AS6" s="9">
        <v>818263</v>
      </c>
      <c r="AT6" s="10">
        <f>$T$27+$T$28*$T$30*(J6)^$T$29</f>
        <v>9.1017858127080242E-4</v>
      </c>
      <c r="AU6" s="9">
        <f t="shared" si="6"/>
        <v>2.3151999999999999E-3</v>
      </c>
      <c r="AV6" s="10">
        <f>((AU6-AT6)/($T$31-AS6))*(F6-$T$31)+AU6</f>
        <v>8.5826926811062858E-4</v>
      </c>
      <c r="AW6" s="10">
        <f t="shared" si="7"/>
        <v>7.9355355356128927E-4</v>
      </c>
      <c r="AX6" s="9"/>
      <c r="AY6" s="9">
        <f t="shared" si="8"/>
        <v>1.6879744031468265E-7</v>
      </c>
    </row>
    <row r="7" spans="1:51" x14ac:dyDescent="0.25">
      <c r="A7" s="126"/>
      <c r="B7">
        <v>1</v>
      </c>
      <c r="C7" t="s">
        <v>30</v>
      </c>
      <c r="D7">
        <v>5</v>
      </c>
      <c r="E7">
        <f t="shared" si="0"/>
        <v>2739600</v>
      </c>
      <c r="F7">
        <v>0</v>
      </c>
      <c r="G7">
        <v>0</v>
      </c>
      <c r="H7" t="s">
        <v>31</v>
      </c>
      <c r="I7" t="s">
        <v>33</v>
      </c>
      <c r="J7">
        <f>J6-M7</f>
        <v>2.894E-2</v>
      </c>
      <c r="K7" s="64">
        <f t="shared" si="9"/>
        <v>2.894E-2</v>
      </c>
      <c r="L7" s="64">
        <v>2E-3</v>
      </c>
      <c r="M7" s="64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t="s">
        <v>33</v>
      </c>
      <c r="AA7" t="s">
        <v>32</v>
      </c>
      <c r="AB7" t="s">
        <v>32</v>
      </c>
      <c r="AC7" t="s">
        <v>33</v>
      </c>
      <c r="AD7" s="1">
        <f t="shared" si="1"/>
        <v>0.13143561599020981</v>
      </c>
      <c r="AE7" s="1">
        <f t="shared" si="2"/>
        <v>1.369878589441606E-2</v>
      </c>
      <c r="AF7">
        <v>0</v>
      </c>
      <c r="AG7" s="45">
        <f t="shared" si="3"/>
        <v>0.19569694134880083</v>
      </c>
      <c r="AH7" s="1">
        <f>AW7</f>
        <v>2.9792072957780891E-5</v>
      </c>
      <c r="AI7" s="1">
        <v>0</v>
      </c>
      <c r="AJ7">
        <f t="shared" si="10"/>
        <v>2.9792072957780891E-5</v>
      </c>
      <c r="AK7">
        <f t="shared" si="11"/>
        <v>1.4896036478890447E-7</v>
      </c>
      <c r="AL7">
        <f t="shared" si="11"/>
        <v>0</v>
      </c>
      <c r="AM7">
        <f t="shared" si="12"/>
        <v>1.4896036478890447E-7</v>
      </c>
      <c r="AN7" s="100">
        <f t="shared" si="13"/>
        <v>5.3112078382654143E-5</v>
      </c>
      <c r="AO7" s="101">
        <f t="shared" si="14"/>
        <v>43.907160357876954</v>
      </c>
      <c r="AP7" s="15">
        <v>5.8</v>
      </c>
      <c r="AQ7" s="15">
        <f t="shared" si="4"/>
        <v>459.81311585229264</v>
      </c>
      <c r="AR7" s="15">
        <f t="shared" si="5"/>
        <v>6568.7587978898946</v>
      </c>
      <c r="AS7" s="9"/>
      <c r="AT7" s="10" t="e">
        <f t="shared" ref="AT7:AT12" si="15">$T$27+$T$28*$T$30*(T7*$T$32)^$T$29</f>
        <v>#VALUE!</v>
      </c>
      <c r="AU7" s="9" t="e">
        <f t="shared" si="6"/>
        <v>#VALUE!</v>
      </c>
      <c r="AV7" s="10" t="e">
        <f t="shared" ref="AV7:AV12" si="16">AT7+((AU7-AT7)/$T$31)*F7</f>
        <v>#VALUE!</v>
      </c>
      <c r="AW7" s="10">
        <f t="shared" si="7"/>
        <v>2.9792072957780891E-5</v>
      </c>
      <c r="AX7" s="9"/>
      <c r="AY7" s="9">
        <f t="shared" si="8"/>
        <v>0</v>
      </c>
    </row>
    <row r="8" spans="1:51" x14ac:dyDescent="0.25">
      <c r="A8" s="126"/>
      <c r="B8">
        <v>1</v>
      </c>
      <c r="C8" t="s">
        <v>30</v>
      </c>
      <c r="D8">
        <v>6</v>
      </c>
      <c r="E8">
        <f t="shared" si="0"/>
        <v>2191680</v>
      </c>
      <c r="F8">
        <v>0</v>
      </c>
      <c r="G8">
        <v>0</v>
      </c>
      <c r="H8" t="s">
        <v>31</v>
      </c>
      <c r="I8" t="s">
        <v>33</v>
      </c>
      <c r="J8">
        <f t="shared" ref="J8:J12" si="17">J7-M8</f>
        <v>2.894E-2</v>
      </c>
      <c r="K8" s="64">
        <f t="shared" si="9"/>
        <v>2.894E-2</v>
      </c>
      <c r="L8" s="64">
        <v>7.2000000000000005E-4</v>
      </c>
      <c r="M8" s="64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33</v>
      </c>
      <c r="AA8" t="s">
        <v>32</v>
      </c>
      <c r="AB8" t="s">
        <v>32</v>
      </c>
      <c r="AC8" t="s">
        <v>33</v>
      </c>
      <c r="AD8" s="1">
        <f t="shared" si="1"/>
        <v>3.5630437425207336E-2</v>
      </c>
      <c r="AE8" s="1">
        <f t="shared" si="2"/>
        <v>3.7135576223773373E-3</v>
      </c>
      <c r="AF8">
        <v>0</v>
      </c>
      <c r="AG8" s="45">
        <f t="shared" si="3"/>
        <v>5.3050823176819105E-2</v>
      </c>
      <c r="AH8" s="1">
        <f t="shared" ref="AH8:AH12" si="18">AW8</f>
        <v>8.076232483046996E-6</v>
      </c>
      <c r="AI8" s="1">
        <v>0</v>
      </c>
      <c r="AJ8">
        <f t="shared" si="10"/>
        <v>8.076232483046996E-6</v>
      </c>
      <c r="AK8">
        <f t="shared" si="11"/>
        <v>4.0381162415234981E-8</v>
      </c>
      <c r="AL8">
        <f t="shared" si="11"/>
        <v>0</v>
      </c>
      <c r="AM8">
        <f t="shared" si="12"/>
        <v>4.0381162415234981E-8</v>
      </c>
      <c r="AN8" s="100">
        <f t="shared" si="13"/>
        <v>1.4397974027654913E-5</v>
      </c>
      <c r="AO8" s="101">
        <f t="shared" si="14"/>
        <v>43.907160357876954</v>
      </c>
      <c r="AP8" s="15">
        <v>5.8</v>
      </c>
      <c r="AQ8" s="15">
        <f t="shared" si="4"/>
        <v>459.81311585229264</v>
      </c>
      <c r="AR8" s="15">
        <f t="shared" si="5"/>
        <v>6568.7587978898946</v>
      </c>
      <c r="AS8" s="9"/>
      <c r="AT8" s="10" t="e">
        <f t="shared" si="15"/>
        <v>#VALUE!</v>
      </c>
      <c r="AU8" s="9" t="e">
        <f t="shared" si="6"/>
        <v>#VALUE!</v>
      </c>
      <c r="AV8" s="10" t="e">
        <f t="shared" si="16"/>
        <v>#VALUE!</v>
      </c>
      <c r="AW8" s="10">
        <f t="shared" si="7"/>
        <v>8.076232483046996E-6</v>
      </c>
      <c r="AX8" s="9"/>
      <c r="AY8" s="9">
        <f t="shared" si="8"/>
        <v>0</v>
      </c>
    </row>
    <row r="9" spans="1:51" x14ac:dyDescent="0.25">
      <c r="A9" s="126"/>
      <c r="B9">
        <v>1</v>
      </c>
      <c r="C9" t="s">
        <v>30</v>
      </c>
      <c r="D9">
        <v>7</v>
      </c>
      <c r="E9">
        <f t="shared" si="0"/>
        <v>1643760</v>
      </c>
      <c r="F9">
        <v>0</v>
      </c>
      <c r="G9">
        <v>0</v>
      </c>
      <c r="H9" t="s">
        <v>31</v>
      </c>
      <c r="I9" t="s">
        <v>33</v>
      </c>
      <c r="J9">
        <f t="shared" si="17"/>
        <v>2.894E-2</v>
      </c>
      <c r="K9" s="64">
        <f t="shared" si="9"/>
        <v>2.894E-2</v>
      </c>
      <c r="L9" s="64">
        <v>3.1E-4</v>
      </c>
      <c r="M9" s="64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33</v>
      </c>
      <c r="AA9" t="s">
        <v>32</v>
      </c>
      <c r="AB9" t="s">
        <v>32</v>
      </c>
      <c r="AC9" t="s">
        <v>33</v>
      </c>
      <c r="AD9" s="1">
        <f t="shared" si="1"/>
        <v>1.2193691971899337E-2</v>
      </c>
      <c r="AE9" s="1">
        <f t="shared" si="2"/>
        <v>1.2708790865175474E-3</v>
      </c>
      <c r="AF9">
        <v>0</v>
      </c>
      <c r="AG9" s="45">
        <f t="shared" si="3"/>
        <v>1.8155415521679246E-2</v>
      </c>
      <c r="AH9" s="1">
        <f t="shared" si="18"/>
        <v>2.7639035136305163E-6</v>
      </c>
      <c r="AI9" s="1">
        <v>0</v>
      </c>
      <c r="AJ9">
        <f t="shared" si="10"/>
        <v>2.7639035136305163E-6</v>
      </c>
      <c r="AK9">
        <f t="shared" si="11"/>
        <v>1.3819517568152583E-8</v>
      </c>
      <c r="AL9">
        <f t="shared" si="11"/>
        <v>0</v>
      </c>
      <c r="AM9">
        <f t="shared" si="12"/>
        <v>1.3819517568152583E-8</v>
      </c>
      <c r="AN9" s="100">
        <f t="shared" si="13"/>
        <v>4.9273731393604766E-6</v>
      </c>
      <c r="AO9" s="101">
        <f t="shared" si="14"/>
        <v>43.907160357876954</v>
      </c>
      <c r="AP9" s="15">
        <v>5.8</v>
      </c>
      <c r="AQ9" s="15">
        <f t="shared" si="4"/>
        <v>459.81311585229264</v>
      </c>
      <c r="AR9" s="15">
        <f t="shared" si="5"/>
        <v>6568.7587978898946</v>
      </c>
      <c r="AS9" s="9"/>
      <c r="AT9" s="10" t="e">
        <f t="shared" si="15"/>
        <v>#VALUE!</v>
      </c>
      <c r="AU9" s="9" t="e">
        <f t="shared" si="6"/>
        <v>#VALUE!</v>
      </c>
      <c r="AV9" s="10" t="e">
        <f t="shared" si="16"/>
        <v>#VALUE!</v>
      </c>
      <c r="AW9" s="10">
        <f t="shared" si="7"/>
        <v>2.7639035136305163E-6</v>
      </c>
      <c r="AX9" s="9"/>
      <c r="AY9" s="9">
        <f t="shared" si="8"/>
        <v>0</v>
      </c>
    </row>
    <row r="10" spans="1:51" x14ac:dyDescent="0.25">
      <c r="A10" s="126"/>
      <c r="B10">
        <v>1</v>
      </c>
      <c r="C10" t="s">
        <v>30</v>
      </c>
      <c r="D10">
        <v>8</v>
      </c>
      <c r="E10">
        <f t="shared" si="0"/>
        <v>1095840</v>
      </c>
      <c r="F10">
        <v>0</v>
      </c>
      <c r="G10">
        <v>0</v>
      </c>
      <c r="H10" t="s">
        <v>31</v>
      </c>
      <c r="I10" t="s">
        <v>33</v>
      </c>
      <c r="J10">
        <f t="shared" si="17"/>
        <v>2.894E-2</v>
      </c>
      <c r="K10" s="64">
        <f t="shared" si="9"/>
        <v>2.894E-2</v>
      </c>
      <c r="L10" s="64">
        <v>1.6000000000000001E-4</v>
      </c>
      <c r="M10" s="64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t="s">
        <v>33</v>
      </c>
      <c r="AA10" t="s">
        <v>32</v>
      </c>
      <c r="AB10" t="s">
        <v>32</v>
      </c>
      <c r="AC10" t="s">
        <v>33</v>
      </c>
      <c r="AD10" s="1">
        <f t="shared" si="1"/>
        <v>5.2963394285683064E-3</v>
      </c>
      <c r="AE10" s="1">
        <f t="shared" si="2"/>
        <v>5.5200730265923803E-4</v>
      </c>
      <c r="AF10">
        <v>0</v>
      </c>
      <c r="AG10" s="45">
        <f t="shared" si="3"/>
        <v>7.8858186094176858E-3</v>
      </c>
      <c r="AH10" s="1">
        <f t="shared" si="18"/>
        <v>1.2005036038088161E-6</v>
      </c>
      <c r="AI10" s="1">
        <v>0</v>
      </c>
      <c r="AJ10">
        <f t="shared" si="10"/>
        <v>1.2005036038088161E-6</v>
      </c>
      <c r="AK10">
        <f t="shared" si="11"/>
        <v>6.0025180190440811E-9</v>
      </c>
      <c r="AL10">
        <f t="shared" si="11"/>
        <v>0</v>
      </c>
      <c r="AM10">
        <f t="shared" si="12"/>
        <v>6.0025180190440811E-9</v>
      </c>
      <c r="AN10" s="100">
        <f t="shared" si="13"/>
        <v>2.1402082894503617E-6</v>
      </c>
      <c r="AO10" s="101">
        <f t="shared" si="14"/>
        <v>43.907160357876954</v>
      </c>
      <c r="AP10" s="15">
        <v>5.8</v>
      </c>
      <c r="AQ10" s="15">
        <f t="shared" si="4"/>
        <v>459.81311585229264</v>
      </c>
      <c r="AR10" s="15">
        <f t="shared" si="5"/>
        <v>6568.7587978898946</v>
      </c>
      <c r="AS10" s="9"/>
      <c r="AT10" s="10" t="e">
        <f t="shared" si="15"/>
        <v>#VALUE!</v>
      </c>
      <c r="AU10" s="9" t="e">
        <f t="shared" si="6"/>
        <v>#VALUE!</v>
      </c>
      <c r="AV10" s="10" t="e">
        <f t="shared" si="16"/>
        <v>#VALUE!</v>
      </c>
      <c r="AW10" s="10">
        <f t="shared" si="7"/>
        <v>1.2005036038088161E-6</v>
      </c>
      <c r="AX10" s="9"/>
      <c r="AY10" s="9">
        <f t="shared" si="8"/>
        <v>0</v>
      </c>
    </row>
    <row r="11" spans="1:51" x14ac:dyDescent="0.25">
      <c r="A11" s="126"/>
      <c r="B11">
        <v>1</v>
      </c>
      <c r="C11" t="s">
        <v>30</v>
      </c>
      <c r="D11">
        <v>9</v>
      </c>
      <c r="E11">
        <f t="shared" si="0"/>
        <v>547920</v>
      </c>
      <c r="F11">
        <v>0</v>
      </c>
      <c r="G11">
        <v>0</v>
      </c>
      <c r="H11" t="s">
        <v>31</v>
      </c>
      <c r="I11" t="s">
        <v>33</v>
      </c>
      <c r="J11">
        <f t="shared" si="17"/>
        <v>2.894E-2</v>
      </c>
      <c r="K11" s="64">
        <f t="shared" si="9"/>
        <v>2.894E-2</v>
      </c>
      <c r="L11" s="65">
        <v>6.9999999999999994E-5</v>
      </c>
      <c r="M11" s="64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t="s">
        <v>33</v>
      </c>
      <c r="AA11" t="s">
        <v>32</v>
      </c>
      <c r="AB11" t="s">
        <v>32</v>
      </c>
      <c r="AC11" t="s">
        <v>33</v>
      </c>
      <c r="AD11" s="1">
        <f t="shared" si="1"/>
        <v>1.9146799290632522E-3</v>
      </c>
      <c r="AE11" s="1">
        <f t="shared" si="2"/>
        <v>1.9955618731628199E-4</v>
      </c>
      <c r="AF11">
        <v>0</v>
      </c>
      <c r="AG11" s="45">
        <f t="shared" si="3"/>
        <v>2.8508026759468856E-3</v>
      </c>
      <c r="AH11" s="1">
        <f t="shared" si="18"/>
        <v>4.3399411725433714E-7</v>
      </c>
      <c r="AI11" s="1">
        <v>0</v>
      </c>
      <c r="AJ11">
        <f t="shared" si="10"/>
        <v>4.3399411725433714E-7</v>
      </c>
      <c r="AK11">
        <f t="shared" si="11"/>
        <v>2.1699705862716857E-9</v>
      </c>
      <c r="AL11">
        <f t="shared" si="11"/>
        <v>0</v>
      </c>
      <c r="AM11">
        <f t="shared" si="12"/>
        <v>2.1699705862716857E-9</v>
      </c>
      <c r="AN11" s="100">
        <f t="shared" si="13"/>
        <v>7.737068046888971E-7</v>
      </c>
      <c r="AO11" s="101">
        <f t="shared" si="14"/>
        <v>43.907160357876961</v>
      </c>
      <c r="AP11" s="15">
        <v>5.8</v>
      </c>
      <c r="AQ11" s="15">
        <f t="shared" si="4"/>
        <v>459.81311585229264</v>
      </c>
      <c r="AR11" s="15">
        <f t="shared" si="5"/>
        <v>6568.7587978898946</v>
      </c>
      <c r="AS11" s="9"/>
      <c r="AT11" s="10" t="e">
        <f t="shared" si="15"/>
        <v>#VALUE!</v>
      </c>
      <c r="AU11" s="9" t="e">
        <f t="shared" si="6"/>
        <v>#VALUE!</v>
      </c>
      <c r="AV11" s="10" t="e">
        <f t="shared" si="16"/>
        <v>#VALUE!</v>
      </c>
      <c r="AW11" s="10">
        <f t="shared" si="7"/>
        <v>4.3399411725433714E-7</v>
      </c>
      <c r="AX11" s="9"/>
      <c r="AY11" s="9">
        <f t="shared" si="8"/>
        <v>0</v>
      </c>
    </row>
    <row r="12" spans="1:51" x14ac:dyDescent="0.25">
      <c r="A12" s="126"/>
      <c r="B12">
        <v>1</v>
      </c>
      <c r="C12" t="s">
        <v>30</v>
      </c>
      <c r="D12">
        <v>10</v>
      </c>
      <c r="E12">
        <f>(10-D12)*$E$2</f>
        <v>0</v>
      </c>
      <c r="F12">
        <v>0</v>
      </c>
      <c r="G12">
        <v>0</v>
      </c>
      <c r="H12" t="s">
        <v>31</v>
      </c>
      <c r="I12" t="s">
        <v>33</v>
      </c>
      <c r="J12">
        <f t="shared" si="17"/>
        <v>2.894E-2</v>
      </c>
      <c r="K12" s="64">
        <f t="shared" si="9"/>
        <v>2.894E-2</v>
      </c>
      <c r="L12" s="65">
        <v>5.0000000000000002E-5</v>
      </c>
      <c r="M12" s="64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33</v>
      </c>
      <c r="AA12" t="s">
        <v>32</v>
      </c>
      <c r="AB12" t="s">
        <v>32</v>
      </c>
      <c r="AC12" t="s">
        <v>33</v>
      </c>
      <c r="AD12" s="1">
        <f t="shared" si="1"/>
        <v>1.2855761246405892E-3</v>
      </c>
      <c r="AE12" s="1">
        <f t="shared" si="2"/>
        <v>1.3398827973489571E-4</v>
      </c>
      <c r="AF12">
        <v>0</v>
      </c>
      <c r="AG12" s="45">
        <f t="shared" si="3"/>
        <v>1.9141182819270813E-3</v>
      </c>
      <c r="AH12" s="1">
        <f t="shared" si="18"/>
        <v>2.9139725491853351E-7</v>
      </c>
      <c r="AI12" s="1">
        <v>0</v>
      </c>
      <c r="AJ12">
        <f t="shared" si="10"/>
        <v>2.9139725491853351E-7</v>
      </c>
      <c r="AK12">
        <f t="shared" si="11"/>
        <v>1.4569862745926675E-9</v>
      </c>
      <c r="AL12">
        <f t="shared" si="11"/>
        <v>0</v>
      </c>
      <c r="AM12">
        <f t="shared" si="12"/>
        <v>1.4569862745926675E-9</v>
      </c>
      <c r="AN12" s="103">
        <f t="shared" si="13"/>
        <v>5.1949100237690249E-7</v>
      </c>
      <c r="AO12" s="102">
        <f t="shared" si="14"/>
        <v>43.907160357876961</v>
      </c>
      <c r="AP12" s="16">
        <v>5.8</v>
      </c>
      <c r="AQ12" s="16">
        <f t="shared" si="4"/>
        <v>459.81311585229264</v>
      </c>
      <c r="AR12" s="16">
        <f t="shared" si="5"/>
        <v>6568.7587978898946</v>
      </c>
      <c r="AS12" s="9"/>
      <c r="AT12" s="10" t="e">
        <f t="shared" si="15"/>
        <v>#VALUE!</v>
      </c>
      <c r="AU12" s="9" t="e">
        <f t="shared" si="6"/>
        <v>#VALUE!</v>
      </c>
      <c r="AV12" s="10" t="e">
        <f t="shared" si="16"/>
        <v>#VALUE!</v>
      </c>
      <c r="AW12" s="10">
        <f t="shared" si="7"/>
        <v>2.9139725491853351E-7</v>
      </c>
      <c r="AX12" s="9"/>
      <c r="AY12" s="9">
        <f t="shared" si="8"/>
        <v>0</v>
      </c>
    </row>
    <row r="13" spans="1:51" x14ac:dyDescent="0.25">
      <c r="A13" s="6"/>
      <c r="W13" s="1"/>
      <c r="X13" s="1"/>
      <c r="Y13" s="1"/>
      <c r="Z13" s="1"/>
      <c r="AA13" s="1"/>
      <c r="AB13" s="1"/>
      <c r="AC13" s="1"/>
      <c r="AD13" s="1"/>
      <c r="AE13" s="1"/>
    </row>
    <row r="14" spans="1:51" s="4" customFormat="1" x14ac:dyDescent="0.25">
      <c r="A14" s="126" t="s">
        <v>71</v>
      </c>
      <c r="B14" s="7" t="s">
        <v>0</v>
      </c>
      <c r="C14" s="7" t="s">
        <v>1</v>
      </c>
      <c r="D14" s="7" t="s">
        <v>2</v>
      </c>
      <c r="E14" s="7" t="s">
        <v>34</v>
      </c>
      <c r="F14" s="63" t="s">
        <v>35</v>
      </c>
      <c r="G14" s="63" t="s">
        <v>36</v>
      </c>
      <c r="H14" s="63" t="s">
        <v>37</v>
      </c>
      <c r="I14" s="7" t="s">
        <v>27</v>
      </c>
      <c r="J14" s="7" t="s">
        <v>43</v>
      </c>
      <c r="K14" s="7" t="s">
        <v>22</v>
      </c>
      <c r="L14" s="7" t="s">
        <v>24</v>
      </c>
      <c r="M14" s="7" t="s">
        <v>23</v>
      </c>
      <c r="N14" s="7" t="s">
        <v>21</v>
      </c>
      <c r="O14" s="7" t="s">
        <v>44</v>
      </c>
      <c r="P14" s="7" t="s">
        <v>45</v>
      </c>
      <c r="Q14" s="7" t="s">
        <v>147</v>
      </c>
      <c r="R14" s="7" t="s">
        <v>66</v>
      </c>
      <c r="S14" s="7" t="s">
        <v>64</v>
      </c>
      <c r="T14" s="14" t="s">
        <v>62</v>
      </c>
      <c r="U14" s="14" t="s">
        <v>191</v>
      </c>
      <c r="V14" s="14" t="s">
        <v>22</v>
      </c>
      <c r="W14" s="14" t="s">
        <v>24</v>
      </c>
      <c r="AA14" s="5"/>
      <c r="AB14" s="14" t="s">
        <v>45</v>
      </c>
      <c r="AC14" s="14" t="s">
        <v>101</v>
      </c>
      <c r="AD14" s="14" t="s">
        <v>386</v>
      </c>
      <c r="AE14" s="5"/>
      <c r="AF14" s="5"/>
      <c r="AO14" s="56"/>
      <c r="AP14" s="56"/>
      <c r="AQ14" s="49"/>
    </row>
    <row r="15" spans="1:51" x14ac:dyDescent="0.25">
      <c r="A15" s="126"/>
      <c r="B15">
        <v>1</v>
      </c>
      <c r="C15" t="s">
        <v>30</v>
      </c>
      <c r="D15">
        <v>1</v>
      </c>
      <c r="E15" t="s">
        <v>38</v>
      </c>
      <c r="F15" s="64" t="s">
        <v>39</v>
      </c>
      <c r="G15" s="64">
        <v>8.2000000000000003E-2</v>
      </c>
      <c r="H15" s="64" t="s">
        <v>33</v>
      </c>
      <c r="I15">
        <f>O15*$T$15</f>
        <v>5.4756904468575684E-3</v>
      </c>
      <c r="J15">
        <f>I15*0.005</f>
        <v>2.7378452234287844E-5</v>
      </c>
      <c r="K15">
        <f>I15*$V15</f>
        <v>1.5581618763794147</v>
      </c>
      <c r="L15">
        <f>I15*$W15</f>
        <v>22.259455376848781</v>
      </c>
      <c r="M15">
        <v>0</v>
      </c>
      <c r="N15" s="1">
        <f t="shared" ref="N15:N20" si="19">I15*$AA$16</f>
        <v>24.157457853783391</v>
      </c>
      <c r="O15">
        <v>1.9556037310205601E-4</v>
      </c>
      <c r="P15" s="1">
        <f>I15*$AB15</f>
        <v>0.40520109306746005</v>
      </c>
      <c r="Q15">
        <v>0.8</v>
      </c>
      <c r="R15">
        <v>0</v>
      </c>
      <c r="S15">
        <v>0</v>
      </c>
      <c r="T15" s="15">
        <v>28</v>
      </c>
      <c r="U15" s="15">
        <v>4.3</v>
      </c>
      <c r="V15" s="15">
        <f t="shared" ref="V15:V20" si="20">(($U15/100)*(1+$AA$16*$E$31)-$X$16)/(((1+1/$W$23)*(14*10^(-6)))-(($J$31/$W$23+$F$31)*$U15/100))</f>
        <v>284.55989094007765</v>
      </c>
      <c r="W15" s="15">
        <f>$V15/$W$23</f>
        <v>4065.1412991439661</v>
      </c>
      <c r="X15" s="17" t="s">
        <v>43</v>
      </c>
      <c r="Y15" s="17" t="s">
        <v>27</v>
      </c>
      <c r="Z15" s="17" t="s">
        <v>23</v>
      </c>
      <c r="AA15" s="18" t="s">
        <v>21</v>
      </c>
      <c r="AB15" s="15">
        <f t="shared" ref="AB15:AB20" si="21">ROUND(W15/$AR$6*120,0)</f>
        <v>74</v>
      </c>
      <c r="AC15" s="15">
        <f>I15+K15*$F$31+L15*$J$31+N15*$E$31</f>
        <v>8.3912812506856411E-3</v>
      </c>
      <c r="AD15" s="101">
        <f>(1-I15/AC15)*100</f>
        <v>34.745478273533536</v>
      </c>
      <c r="AE15" s="1"/>
      <c r="AO15" s="51"/>
      <c r="AP15" s="51"/>
      <c r="AQ15" s="51"/>
    </row>
    <row r="16" spans="1:51" x14ac:dyDescent="0.25">
      <c r="A16" s="126"/>
      <c r="B16">
        <v>1</v>
      </c>
      <c r="C16" t="s">
        <v>30</v>
      </c>
      <c r="D16">
        <v>1</v>
      </c>
      <c r="E16" t="s">
        <v>40</v>
      </c>
      <c r="F16" s="64" t="s">
        <v>41</v>
      </c>
      <c r="G16" s="64">
        <v>2.8500000000000001E-2</v>
      </c>
      <c r="H16" s="64" t="s">
        <v>33</v>
      </c>
      <c r="I16">
        <f>G16*$T$16</f>
        <v>2.2800000000000003E-3</v>
      </c>
      <c r="J16">
        <f t="shared" ref="J16:J20" si="22">I16*0.005</f>
        <v>1.1400000000000003E-5</v>
      </c>
      <c r="K16">
        <f>I16*$V16</f>
        <v>0.18488867627936192</v>
      </c>
      <c r="L16">
        <f t="shared" ref="L16:L20" si="23">I16*$W16</f>
        <v>2.6412668039908844</v>
      </c>
      <c r="M16">
        <v>0</v>
      </c>
      <c r="N16" s="1">
        <f t="shared" si="19"/>
        <v>10.058823529411766</v>
      </c>
      <c r="O16">
        <v>2.6899999999999998E-4</v>
      </c>
      <c r="P16" s="1">
        <f t="shared" ref="P16:P20" si="24">I16*$AB16</f>
        <v>4.7880000000000006E-2</v>
      </c>
      <c r="Q16">
        <v>0.4</v>
      </c>
      <c r="R16">
        <v>0</v>
      </c>
      <c r="S16">
        <v>0</v>
      </c>
      <c r="T16" s="15">
        <v>0.08</v>
      </c>
      <c r="U16" s="15">
        <v>1.8</v>
      </c>
      <c r="V16" s="15">
        <f t="shared" si="20"/>
        <v>81.091524683930658</v>
      </c>
      <c r="W16" s="15">
        <f>$V16/$W$23</f>
        <v>1158.4503526275807</v>
      </c>
      <c r="X16" s="19">
        <v>5.0000000000000001E-3</v>
      </c>
      <c r="Y16" s="19">
        <v>1</v>
      </c>
      <c r="Z16" s="19">
        <v>0</v>
      </c>
      <c r="AA16" s="78">
        <f>$AA$17/100/(1-$X$33)*$X$32*10^6/$X$30</f>
        <v>4411.7647058823532</v>
      </c>
      <c r="AB16" s="15">
        <f t="shared" si="21"/>
        <v>21</v>
      </c>
      <c r="AC16" s="15">
        <f t="shared" ref="AC16:AC20" si="25">I16+K16*$F$31+L16*$J$31+N16*$E$31</f>
        <v>2.8314542624324136E-3</v>
      </c>
      <c r="AD16" s="101">
        <f t="shared" ref="AD16:AD20" si="26">(1-I16/AC16)*100</f>
        <v>19.476008132961198</v>
      </c>
      <c r="AE16" s="1"/>
      <c r="AN16" s="60"/>
      <c r="AO16" s="60"/>
      <c r="AP16" s="60"/>
      <c r="AQ16" s="51"/>
    </row>
    <row r="17" spans="1:46" x14ac:dyDescent="0.25">
      <c r="A17" s="126"/>
      <c r="B17">
        <v>1</v>
      </c>
      <c r="C17" t="s">
        <v>30</v>
      </c>
      <c r="D17">
        <v>2</v>
      </c>
      <c r="E17" t="s">
        <v>38</v>
      </c>
      <c r="F17" s="64" t="s">
        <v>39</v>
      </c>
      <c r="G17" s="64">
        <v>9.1999999999999998E-2</v>
      </c>
      <c r="H17" s="64" t="s">
        <v>33</v>
      </c>
      <c r="I17">
        <f>O17*$T$17</f>
        <v>6.4501906365818599E-3</v>
      </c>
      <c r="J17">
        <f t="shared" si="22"/>
        <v>3.2250953182909302E-5</v>
      </c>
      <c r="K17">
        <f t="shared" ref="K17:K20" si="27">I17*$V17</f>
        <v>2.1752707068834716</v>
      </c>
      <c r="L17">
        <f t="shared" si="23"/>
        <v>31.075295812621015</v>
      </c>
      <c r="M17">
        <v>0</v>
      </c>
      <c r="N17" s="1">
        <f t="shared" si="19"/>
        <v>28.456723396684676</v>
      </c>
      <c r="O17">
        <v>2.3036395130649501E-4</v>
      </c>
      <c r="P17" s="1">
        <f t="shared" si="24"/>
        <v>0.56761677601920368</v>
      </c>
      <c r="Q17">
        <v>1</v>
      </c>
      <c r="R17">
        <v>0</v>
      </c>
      <c r="S17">
        <v>0</v>
      </c>
      <c r="T17" s="15">
        <v>28</v>
      </c>
      <c r="U17" s="15">
        <v>4.8</v>
      </c>
      <c r="V17" s="15">
        <f t="shared" si="20"/>
        <v>337.24130486106213</v>
      </c>
      <c r="W17" s="15">
        <f t="shared" ref="W17:W20" si="28">$V17/$W$23</f>
        <v>4817.732926586601</v>
      </c>
      <c r="Y17" s="33"/>
      <c r="AA17" s="75">
        <v>10</v>
      </c>
      <c r="AB17" s="15">
        <f t="shared" si="21"/>
        <v>88</v>
      </c>
      <c r="AC17" s="15">
        <f t="shared" si="25"/>
        <v>1.0369976759499418E-2</v>
      </c>
      <c r="AD17" s="101">
        <f t="shared" si="26"/>
        <v>37.799372301648006</v>
      </c>
      <c r="AE17" s="1"/>
      <c r="AF17" s="1"/>
    </row>
    <row r="18" spans="1:46" x14ac:dyDescent="0.25">
      <c r="A18" s="126"/>
      <c r="B18">
        <v>1</v>
      </c>
      <c r="C18" t="s">
        <v>30</v>
      </c>
      <c r="D18">
        <v>2</v>
      </c>
      <c r="E18" t="s">
        <v>40</v>
      </c>
      <c r="F18" s="64" t="s">
        <v>42</v>
      </c>
      <c r="G18" s="64">
        <v>2.8500000000000001E-2</v>
      </c>
      <c r="H18" s="64" t="s">
        <v>33</v>
      </c>
      <c r="I18">
        <f>G18*$T$18</f>
        <v>2.2800000000000003E-3</v>
      </c>
      <c r="J18">
        <f t="shared" si="22"/>
        <v>1.1400000000000003E-5</v>
      </c>
      <c r="K18">
        <f t="shared" si="27"/>
        <v>0.26304034345651023</v>
      </c>
      <c r="L18">
        <f t="shared" si="23"/>
        <v>3.7577191922358604</v>
      </c>
      <c r="M18">
        <v>0</v>
      </c>
      <c r="N18" s="1">
        <f t="shared" si="19"/>
        <v>10.058823529411766</v>
      </c>
      <c r="O18">
        <v>2.4800000000000001E-4</v>
      </c>
      <c r="P18" s="1">
        <f t="shared" si="24"/>
        <v>6.8400000000000016E-2</v>
      </c>
      <c r="Q18">
        <v>0.5</v>
      </c>
      <c r="R18">
        <v>0</v>
      </c>
      <c r="S18">
        <v>0</v>
      </c>
      <c r="T18" s="15">
        <v>0.08</v>
      </c>
      <c r="U18" s="15">
        <v>2.2999999999999998</v>
      </c>
      <c r="V18" s="15">
        <f t="shared" si="20"/>
        <v>115.36857169145185</v>
      </c>
      <c r="W18" s="15">
        <f t="shared" si="28"/>
        <v>1648.1224527350262</v>
      </c>
      <c r="AA18" s="76" t="s">
        <v>292</v>
      </c>
      <c r="AB18" s="15">
        <f t="shared" si="21"/>
        <v>30</v>
      </c>
      <c r="AC18" s="15">
        <f t="shared" si="25"/>
        <v>2.9430710217257907E-3</v>
      </c>
      <c r="AD18" s="101">
        <f t="shared" si="26"/>
        <v>22.529902161075654</v>
      </c>
      <c r="AE18" s="1"/>
      <c r="AF18" s="1"/>
    </row>
    <row r="19" spans="1:46" x14ac:dyDescent="0.25">
      <c r="A19" s="126"/>
      <c r="B19">
        <v>1</v>
      </c>
      <c r="C19" t="s">
        <v>30</v>
      </c>
      <c r="D19">
        <v>2</v>
      </c>
      <c r="E19" t="s">
        <v>40</v>
      </c>
      <c r="F19" s="64" t="s">
        <v>41</v>
      </c>
      <c r="G19" s="64">
        <v>5.0000000000000001E-4</v>
      </c>
      <c r="H19" s="64" t="s">
        <v>33</v>
      </c>
      <c r="I19">
        <f>G19*$T$19</f>
        <v>4.0000000000000003E-5</v>
      </c>
      <c r="J19">
        <f t="shared" si="22"/>
        <v>2.0000000000000002E-7</v>
      </c>
      <c r="K19">
        <f t="shared" si="27"/>
        <v>4.6147428676580745E-3</v>
      </c>
      <c r="L19">
        <f t="shared" si="23"/>
        <v>6.5924898109401053E-2</v>
      </c>
      <c r="M19">
        <v>0</v>
      </c>
      <c r="N19" s="1">
        <f t="shared" si="19"/>
        <v>0.17647058823529413</v>
      </c>
      <c r="O19">
        <v>5.0000000000000004E-6</v>
      </c>
      <c r="P19" s="1">
        <f t="shared" si="24"/>
        <v>1.2000000000000001E-3</v>
      </c>
      <c r="Q19">
        <v>0.5</v>
      </c>
      <c r="R19">
        <v>0</v>
      </c>
      <c r="S19">
        <v>0</v>
      </c>
      <c r="T19" s="15">
        <v>0.08</v>
      </c>
      <c r="U19" s="15">
        <v>2.2999999999999998</v>
      </c>
      <c r="V19" s="15">
        <f t="shared" si="20"/>
        <v>115.36857169145185</v>
      </c>
      <c r="W19" s="15">
        <f t="shared" si="28"/>
        <v>1648.1224527350262</v>
      </c>
      <c r="AA19" s="1"/>
      <c r="AB19" s="15">
        <f t="shared" si="21"/>
        <v>30</v>
      </c>
      <c r="AC19" s="15">
        <f t="shared" si="25"/>
        <v>5.1632824942557729E-5</v>
      </c>
      <c r="AD19" s="101">
        <f t="shared" si="26"/>
        <v>22.529902161075654</v>
      </c>
      <c r="AR19" s="41" t="s">
        <v>57</v>
      </c>
      <c r="AS19" s="9" t="s">
        <v>47</v>
      </c>
      <c r="AT19" s="10">
        <v>0</v>
      </c>
    </row>
    <row r="20" spans="1:46" x14ac:dyDescent="0.25">
      <c r="A20" s="126"/>
      <c r="B20">
        <v>1</v>
      </c>
      <c r="C20" t="s">
        <v>30</v>
      </c>
      <c r="D20">
        <v>3</v>
      </c>
      <c r="E20" t="s">
        <v>38</v>
      </c>
      <c r="F20" s="64" t="s">
        <v>39</v>
      </c>
      <c r="G20" s="64">
        <v>6.0421565000000003E-2</v>
      </c>
      <c r="H20" s="64" t="s">
        <v>31</v>
      </c>
      <c r="I20">
        <f>O20*$T$20</f>
        <v>5.5610799999999995E-3</v>
      </c>
      <c r="J20">
        <f t="shared" si="22"/>
        <v>2.7805399999999996E-5</v>
      </c>
      <c r="K20">
        <f t="shared" si="27"/>
        <v>2.0654328503573844</v>
      </c>
      <c r="L20">
        <f t="shared" si="23"/>
        <v>29.506183576534056</v>
      </c>
      <c r="M20">
        <v>0</v>
      </c>
      <c r="N20" s="1">
        <f t="shared" si="19"/>
        <v>24.534176470588235</v>
      </c>
      <c r="O20">
        <v>1.9861E-4</v>
      </c>
      <c r="P20" s="1">
        <f t="shared" si="24"/>
        <v>0.53942475999999995</v>
      </c>
      <c r="Q20">
        <v>1.2</v>
      </c>
      <c r="R20">
        <v>0</v>
      </c>
      <c r="S20">
        <v>0</v>
      </c>
      <c r="T20" s="16">
        <v>28</v>
      </c>
      <c r="U20" s="16">
        <v>5.0999999999999996</v>
      </c>
      <c r="V20" s="16">
        <f t="shared" si="20"/>
        <v>371.40858436803364</v>
      </c>
      <c r="W20" s="16">
        <f t="shared" si="28"/>
        <v>5305.836919543337</v>
      </c>
      <c r="AB20" s="16">
        <f t="shared" si="21"/>
        <v>97</v>
      </c>
      <c r="AC20" s="16">
        <f t="shared" si="25"/>
        <v>9.2119221564015731E-3</v>
      </c>
      <c r="AD20" s="102">
        <f t="shared" si="26"/>
        <v>39.631708718516698</v>
      </c>
      <c r="AR20" s="41"/>
      <c r="AS20" s="9" t="s">
        <v>48</v>
      </c>
      <c r="AT20" s="9">
        <v>0.106</v>
      </c>
    </row>
    <row r="21" spans="1:46" x14ac:dyDescent="0.25">
      <c r="A21" s="4"/>
      <c r="V21" s="15">
        <f>(($U15/100)*(1+$AA$16*$E$31*(1+1/$P$30))-$X$16)/((1+1/$P$30)*(((1+1/$W$23)*(14*10^(-6)))-(($J$31/$W$23+$F$31)*$U15/100)))</f>
        <v>50.764389392958748</v>
      </c>
      <c r="W21" s="15">
        <f>$V21*(1+1/P30)/$W$23</f>
        <v>11848.628908954028</v>
      </c>
      <c r="Y21" s="1">
        <f>(J15+(V21*I15+W21*I15+V21*I15/P30)*14*10^-6)/(I15+V21*I15*F31+V21*I15/P30*F31+W21*I15*J31+AA16*I15*E31+I15*AA16/P30*E31)*100</f>
        <v>4.3000000000000007</v>
      </c>
      <c r="AM21" s="41"/>
      <c r="AN21" s="86"/>
      <c r="AO21" s="86"/>
      <c r="AP21" s="41"/>
      <c r="AQ21" s="41"/>
      <c r="AR21" s="9" t="s">
        <v>49</v>
      </c>
      <c r="AS21" s="9">
        <v>1.28</v>
      </c>
    </row>
    <row r="22" spans="1:46" x14ac:dyDescent="0.25">
      <c r="A22" s="4"/>
      <c r="V22" s="109">
        <f>V21*I15/P30</f>
        <v>4.2635896067188179</v>
      </c>
      <c r="W22" s="20" t="s">
        <v>126</v>
      </c>
      <c r="X22" s="54" t="s">
        <v>127</v>
      </c>
      <c r="AM22" s="41"/>
      <c r="AN22" s="86"/>
      <c r="AO22" s="86"/>
      <c r="AP22" s="41"/>
      <c r="AQ22" s="41"/>
      <c r="AR22" s="9" t="s">
        <v>50</v>
      </c>
      <c r="AS22" s="9">
        <v>0.8</v>
      </c>
    </row>
    <row r="23" spans="1:46" x14ac:dyDescent="0.25">
      <c r="A23" s="4"/>
      <c r="V23">
        <f>V21*I15</f>
        <v>0.2779700820395819</v>
      </c>
      <c r="W23" s="16">
        <v>7.0000000000000007E-2</v>
      </c>
      <c r="X23" s="104">
        <f>(SUMPRODUCT(U15:U20,AC15:AC20)+SUMPRODUCT(AP5:AP12,AN5:AN12))/SUM(AC15:AC20,AN5:AN12)</f>
        <v>4.3680412383571046</v>
      </c>
      <c r="AM23" s="41"/>
      <c r="AN23" s="86"/>
      <c r="AO23" s="86"/>
      <c r="AP23" s="41"/>
      <c r="AQ23" s="41"/>
      <c r="AR23" s="9" t="s">
        <v>60</v>
      </c>
      <c r="AS23" s="9">
        <f>210*3600*24/12</f>
        <v>1512000</v>
      </c>
    </row>
    <row r="24" spans="1:46" x14ac:dyDescent="0.25">
      <c r="A24" s="4"/>
      <c r="F24" s="1"/>
      <c r="V24">
        <f>(V22+V23)/I15</f>
        <v>829.40402362678219</v>
      </c>
      <c r="AM24" s="9"/>
      <c r="AN24" s="9"/>
      <c r="AO24" s="9"/>
      <c r="AP24" s="9"/>
      <c r="AQ24" s="9"/>
      <c r="AR24" s="9" t="s">
        <v>58</v>
      </c>
      <c r="AS24" s="9">
        <v>5</v>
      </c>
    </row>
    <row r="25" spans="1:46" x14ac:dyDescent="0.25">
      <c r="A25" s="126" t="s">
        <v>72</v>
      </c>
      <c r="B25" s="7" t="s">
        <v>0</v>
      </c>
      <c r="C25" s="7" t="s">
        <v>1</v>
      </c>
      <c r="D25" s="7" t="s">
        <v>34</v>
      </c>
      <c r="E25" s="7" t="s">
        <v>21</v>
      </c>
      <c r="F25" s="7" t="s">
        <v>22</v>
      </c>
      <c r="G25" s="7" t="s">
        <v>64</v>
      </c>
      <c r="H25" s="7" t="s">
        <v>65</v>
      </c>
      <c r="I25" s="7" t="s">
        <v>66</v>
      </c>
      <c r="J25" s="7" t="s">
        <v>24</v>
      </c>
      <c r="K25" s="7" t="s">
        <v>27</v>
      </c>
      <c r="L25" s="7" t="s">
        <v>43</v>
      </c>
      <c r="M25" s="7" t="s">
        <v>45</v>
      </c>
      <c r="V25">
        <f>V24/W21</f>
        <v>7.0000000000000021E-2</v>
      </c>
      <c r="AM25" s="11"/>
      <c r="AN25" s="11"/>
      <c r="AO25" s="11"/>
      <c r="AP25" s="11"/>
      <c r="AQ25" s="11"/>
      <c r="AR25" s="9" t="s">
        <v>59</v>
      </c>
      <c r="AS25" s="9">
        <f>1/59</f>
        <v>1.6949152542372881E-2</v>
      </c>
    </row>
    <row r="26" spans="1:46" x14ac:dyDescent="0.25">
      <c r="A26" s="126"/>
      <c r="B26">
        <v>1</v>
      </c>
      <c r="C26" t="s">
        <v>30</v>
      </c>
      <c r="D26" t="s">
        <v>67</v>
      </c>
      <c r="E26" s="33">
        <f>SUM($K$27,$I$15:$I$20,$AJ$5:$AJ$12)*AA16</f>
        <v>287.63054382647715</v>
      </c>
      <c r="F26" s="33">
        <f>SUM(K15:K20,F27,AD5:AD12)*1.2</f>
        <v>39.022228608616963</v>
      </c>
      <c r="G26" s="33" t="s">
        <v>32</v>
      </c>
      <c r="H26" s="33" t="s">
        <v>32</v>
      </c>
      <c r="I26" s="33" t="s">
        <v>32</v>
      </c>
      <c r="J26" s="33" t="s">
        <v>32</v>
      </c>
      <c r="K26" s="33" t="s">
        <v>32</v>
      </c>
      <c r="L26" s="33" t="s">
        <v>32</v>
      </c>
      <c r="M26" s="33" t="s">
        <v>32</v>
      </c>
      <c r="AM26" s="12"/>
      <c r="AN26" s="12"/>
      <c r="AO26" s="12"/>
      <c r="AP26" s="12"/>
      <c r="AQ26" s="12"/>
      <c r="AR26" s="9"/>
      <c r="AS26" s="9"/>
    </row>
    <row r="27" spans="1:46" x14ac:dyDescent="0.25">
      <c r="A27" s="126"/>
      <c r="B27">
        <v>1</v>
      </c>
      <c r="C27" t="s">
        <v>30</v>
      </c>
      <c r="D27" t="s">
        <v>68</v>
      </c>
      <c r="E27" s="33">
        <f>E28*$K$27</f>
        <v>178.31555406070026</v>
      </c>
      <c r="F27" s="33">
        <f>F28*$K$27</f>
        <v>14.39460024662854</v>
      </c>
      <c r="G27" s="33">
        <f>G28*$K$27</f>
        <v>12.303077133870547</v>
      </c>
      <c r="H27" s="33" t="s">
        <v>32</v>
      </c>
      <c r="I27" s="33" t="s">
        <v>32</v>
      </c>
      <c r="J27" s="33" t="s">
        <v>32</v>
      </c>
      <c r="K27" s="1">
        <f>$P$33/$O$28/(1+$E$28*$E$31+$F$28*$F$31+$G$28*$G$31)</f>
        <v>4.0418192253758728E-2</v>
      </c>
      <c r="L27" s="33">
        <f>K27*$X$16</f>
        <v>2.0209096126879363E-4</v>
      </c>
      <c r="M27" s="33">
        <f>M28*$K$27</f>
        <v>0.20209096126879364</v>
      </c>
      <c r="N27" s="106" t="s">
        <v>391</v>
      </c>
      <c r="O27" s="20" t="s">
        <v>69</v>
      </c>
      <c r="P27" s="20" t="s">
        <v>129</v>
      </c>
      <c r="Q27" s="20" t="s">
        <v>128</v>
      </c>
      <c r="R27" s="127" t="s">
        <v>46</v>
      </c>
      <c r="S27" s="9" t="s">
        <v>47</v>
      </c>
      <c r="T27" s="10">
        <v>2.6499999999999999E-8</v>
      </c>
      <c r="AM27" s="12"/>
      <c r="AN27" s="12"/>
      <c r="AO27" s="12"/>
      <c r="AP27" s="12"/>
      <c r="AQ27" s="12"/>
      <c r="AR27" s="9"/>
      <c r="AS27" s="9"/>
    </row>
    <row r="28" spans="1:46" x14ac:dyDescent="0.25">
      <c r="E28" s="79">
        <f>AA16</f>
        <v>4411.7647058823532</v>
      </c>
      <c r="F28" s="80">
        <f>(($Q$28/100)*(1+$E$28*$E$31)-$X$16)/((1+1/$P$28)*(14*10^-6-$J$31*$Q$28/100))</f>
        <v>356.14161455451784</v>
      </c>
      <c r="G28" s="80">
        <f>F28/$P$28</f>
        <v>304.39454235428877</v>
      </c>
      <c r="H28" s="21"/>
      <c r="I28" s="21"/>
      <c r="J28" s="21"/>
      <c r="K28" s="21"/>
      <c r="L28" s="21"/>
      <c r="M28" s="22">
        <v>5</v>
      </c>
      <c r="N28" s="107">
        <f>SUM(AJ5:AJ12,I15:I20)/K27</f>
        <v>0.61304236941980439</v>
      </c>
      <c r="O28" s="16">
        <v>0.8</v>
      </c>
      <c r="P28" s="16">
        <v>1.17</v>
      </c>
      <c r="Q28" s="16">
        <v>1.2</v>
      </c>
      <c r="R28" s="127"/>
      <c r="S28" s="9" t="s">
        <v>48</v>
      </c>
      <c r="T28" s="9">
        <v>0.106</v>
      </c>
      <c r="AM28" s="12" t="s">
        <v>73</v>
      </c>
      <c r="AN28" s="12"/>
      <c r="AO28" s="12"/>
      <c r="AP28" s="12"/>
      <c r="AQ28" s="12"/>
      <c r="AR28" s="9"/>
      <c r="AS28" s="9"/>
    </row>
    <row r="29" spans="1:46" x14ac:dyDescent="0.25">
      <c r="F29" s="1"/>
      <c r="R29" s="127"/>
      <c r="S29" s="9" t="s">
        <v>49</v>
      </c>
      <c r="T29" s="9">
        <v>1.28</v>
      </c>
      <c r="W29" s="73" t="s">
        <v>284</v>
      </c>
      <c r="X29" s="74">
        <v>180</v>
      </c>
      <c r="AM29" s="13" t="s">
        <v>74</v>
      </c>
      <c r="AN29" s="13"/>
      <c r="AO29" s="13"/>
      <c r="AP29" s="13"/>
      <c r="AQ29" s="13"/>
      <c r="AR29" s="9"/>
      <c r="AS29" s="9"/>
    </row>
    <row r="30" spans="1:46" x14ac:dyDescent="0.25">
      <c r="D30" s="32" t="s">
        <v>124</v>
      </c>
      <c r="F30" s="1"/>
      <c r="O30" s="49" t="s">
        <v>395</v>
      </c>
      <c r="P30" s="99">
        <f>K27+SUM(I15:I20)+SUM(AJ5:AJ12)</f>
        <v>6.5196256600668162E-2</v>
      </c>
      <c r="R30" s="127"/>
      <c r="S30" s="9" t="s">
        <v>50</v>
      </c>
      <c r="T30" s="9">
        <v>0.8</v>
      </c>
      <c r="W30" s="73" t="s">
        <v>267</v>
      </c>
      <c r="X30" s="74">
        <v>340</v>
      </c>
      <c r="AM30" s="13"/>
      <c r="AN30" s="13"/>
      <c r="AO30" s="13"/>
      <c r="AP30" s="13"/>
      <c r="AQ30" s="13"/>
      <c r="AR30" s="9"/>
      <c r="AS30" s="9"/>
    </row>
    <row r="31" spans="1:46" x14ac:dyDescent="0.25">
      <c r="D31" s="23" t="s">
        <v>125</v>
      </c>
      <c r="E31" s="23">
        <f xml:space="preserve"> (0.000001*12) / 0.42</f>
        <v>2.8571428571428574E-5</v>
      </c>
      <c r="F31" s="24">
        <f>( 0.000001*14) / 0.135</f>
        <v>1.037037037037037E-4</v>
      </c>
      <c r="G31" s="24">
        <f>62*10^-6</f>
        <v>6.2000000000000003E-5</v>
      </c>
      <c r="J31" s="24">
        <f>( 0.000001*14) / 0.151</f>
        <v>9.2715231788079476E-5</v>
      </c>
      <c r="R31" s="127"/>
      <c r="S31" s="9" t="s">
        <v>51</v>
      </c>
      <c r="T31" s="9">
        <f>271*3600 * 24 /12</f>
        <v>1951200</v>
      </c>
      <c r="W31" s="49" t="s">
        <v>268</v>
      </c>
      <c r="X31" s="51">
        <v>12</v>
      </c>
      <c r="AM31" s="12" t="s">
        <v>75</v>
      </c>
      <c r="AN31" s="12"/>
      <c r="AO31" s="12"/>
      <c r="AP31" s="12"/>
      <c r="AQ31" s="12"/>
      <c r="AR31" s="9"/>
      <c r="AS31" s="9"/>
    </row>
    <row r="32" spans="1:46" x14ac:dyDescent="0.25">
      <c r="D32" s="23" t="s">
        <v>76</v>
      </c>
      <c r="E32" s="23">
        <f>E26*E31</f>
        <v>8.2180155378993487E-3</v>
      </c>
      <c r="F32" s="24">
        <f>F26*F31</f>
        <v>4.0467496334862033E-3</v>
      </c>
      <c r="G32" s="24"/>
      <c r="O32" s="49" t="s">
        <v>390</v>
      </c>
      <c r="P32" s="99">
        <f>E26*E31+F26*F31</f>
        <v>1.2264765171385552E-2</v>
      </c>
      <c r="R32" s="127"/>
      <c r="S32" s="11" t="s">
        <v>52</v>
      </c>
      <c r="T32" s="9">
        <v>1.557936E-2</v>
      </c>
      <c r="W32" s="49" t="s">
        <v>269</v>
      </c>
      <c r="X32" s="51">
        <v>12</v>
      </c>
    </row>
    <row r="33" spans="15:24" x14ac:dyDescent="0.25">
      <c r="O33" s="49" t="s">
        <v>243</v>
      </c>
      <c r="P33" s="99">
        <f t="array" ref="P33">SUM(I15:I20,AJ5:AJ12)+SUM(AE5:AE12*F31,K15:K20*F31)+SUM(AG5:AG12*J31,L15:L20*J31)+SUM(AD5:AD12*E31,N15:N20*E31)</f>
        <v>3.8214789208790671E-2</v>
      </c>
      <c r="W33" s="49" t="s">
        <v>328</v>
      </c>
      <c r="X33" s="77">
        <v>0.2</v>
      </c>
    </row>
    <row r="34" spans="15:24" x14ac:dyDescent="0.25">
      <c r="O34" s="49" t="s">
        <v>244</v>
      </c>
      <c r="P34" s="50">
        <f>K27+E27*E31+F27*F31+G27*G31</f>
        <v>4.7768486510988334E-2</v>
      </c>
    </row>
    <row r="35" spans="15:24" x14ac:dyDescent="0.25">
      <c r="O35" s="49" t="s">
        <v>387</v>
      </c>
      <c r="P35" s="50">
        <f>P34+P33+P32</f>
        <v>9.8248040891164568E-2</v>
      </c>
      <c r="Q35" s="44"/>
    </row>
    <row r="36" spans="15:24" x14ac:dyDescent="0.25">
      <c r="O36" s="51"/>
      <c r="P36" s="52"/>
      <c r="Q36" s="1"/>
    </row>
    <row r="37" spans="15:24" x14ac:dyDescent="0.25">
      <c r="O37" s="49" t="s">
        <v>393</v>
      </c>
      <c r="P37" s="53">
        <f>1-SUM($AJ$5:$AJ$12,$I$15:$I$20)/$P$33</f>
        <v>0.35161059736502076</v>
      </c>
    </row>
    <row r="38" spans="15:24" x14ac:dyDescent="0.25">
      <c r="O38" s="49" t="s">
        <v>394</v>
      </c>
      <c r="P38" s="53">
        <f>1-$K$27/$P$34</f>
        <v>0.15387329166350694</v>
      </c>
    </row>
    <row r="39" spans="15:24" x14ac:dyDescent="0.25">
      <c r="O39" s="49" t="s">
        <v>245</v>
      </c>
      <c r="P39" s="53">
        <f>1-SUM($AJ$5:$AJ$12,$I$15:$I$20)/($P$33+N28/(1+N28)*P32)</f>
        <v>0.42210019520238218</v>
      </c>
    </row>
    <row r="40" spans="15:24" x14ac:dyDescent="0.25">
      <c r="O40" s="49" t="s">
        <v>246</v>
      </c>
      <c r="P40" s="53">
        <f>1-$K$27/($P$34+1/(1+N28)*P32)</f>
        <v>0.27006062226011518</v>
      </c>
    </row>
    <row r="42" spans="15:24" x14ac:dyDescent="0.25">
      <c r="O42" s="49" t="s">
        <v>389</v>
      </c>
      <c r="P42" s="105">
        <f>(F26*14*10^-6)/(E26*E31+F26*F31)*100</f>
        <v>4.4543143948260413</v>
      </c>
    </row>
    <row r="43" spans="15:24" x14ac:dyDescent="0.25">
      <c r="O43" s="49" t="s">
        <v>388</v>
      </c>
      <c r="P43" s="105">
        <f>($X$23*$P$33+$Q$28*$P$34+$P$32*$P$42)/$P$35</f>
        <v>2.8385001524183147</v>
      </c>
    </row>
    <row r="44" spans="15:24" x14ac:dyDescent="0.25">
      <c r="O44" s="49" t="s">
        <v>392</v>
      </c>
      <c r="P44" s="105">
        <f>($X$23*$P$33+$Q$28*$P$34)/($P$33+$P$34)</f>
        <v>2.6080183281587126</v>
      </c>
    </row>
  </sheetData>
  <mergeCells count="4">
    <mergeCell ref="A25:A27"/>
    <mergeCell ref="A4:A12"/>
    <mergeCell ref="A14:A20"/>
    <mergeCell ref="R27:R3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Y36"/>
  <sheetViews>
    <sheetView topLeftCell="B1" workbookViewId="0">
      <selection activeCell="E43" sqref="E43"/>
    </sheetView>
  </sheetViews>
  <sheetFormatPr baseColWidth="10" defaultRowHeight="15" x14ac:dyDescent="0.25"/>
  <cols>
    <col min="5" max="5" width="12" bestFit="1" customWidth="1"/>
    <col min="35" max="35" width="17.85546875" bestFit="1" customWidth="1"/>
    <col min="36" max="36" width="21.7109375" bestFit="1" customWidth="1"/>
    <col min="45" max="45" width="12" bestFit="1" customWidth="1"/>
  </cols>
  <sheetData>
    <row r="1" spans="1:51" x14ac:dyDescent="0.25">
      <c r="A1" s="56" t="s">
        <v>252</v>
      </c>
      <c r="B1" s="57" t="s">
        <v>253</v>
      </c>
    </row>
    <row r="2" spans="1:51" s="31" customFormat="1" x14ac:dyDescent="0.25">
      <c r="A2" s="58" t="s">
        <v>252</v>
      </c>
      <c r="B2" s="59" t="s">
        <v>254</v>
      </c>
    </row>
    <row r="4" spans="1:51" s="4" customFormat="1" ht="15" customHeight="1" x14ac:dyDescent="0.25">
      <c r="A4" s="126" t="s">
        <v>70</v>
      </c>
      <c r="B4" s="7" t="s">
        <v>0</v>
      </c>
      <c r="C4" s="7" t="s">
        <v>1</v>
      </c>
      <c r="D4" s="7" t="s">
        <v>2</v>
      </c>
      <c r="E4" s="7" t="s">
        <v>3</v>
      </c>
      <c r="F4" s="7" t="s">
        <v>4</v>
      </c>
      <c r="G4" s="7" t="s">
        <v>5</v>
      </c>
      <c r="H4" s="7" t="s">
        <v>6</v>
      </c>
      <c r="I4" s="7" t="s">
        <v>7</v>
      </c>
      <c r="J4" s="63" t="s">
        <v>8</v>
      </c>
      <c r="K4" s="63" t="s">
        <v>9</v>
      </c>
      <c r="L4" s="63" t="s">
        <v>10</v>
      </c>
      <c r="M4" s="7" t="s">
        <v>152</v>
      </c>
      <c r="N4" s="7" t="s">
        <v>153</v>
      </c>
      <c r="O4" s="7" t="s">
        <v>148</v>
      </c>
      <c r="P4" s="7" t="s">
        <v>149</v>
      </c>
      <c r="Q4" s="7" t="s">
        <v>150</v>
      </c>
      <c r="R4" s="7" t="s">
        <v>151</v>
      </c>
      <c r="S4" s="7" t="s">
        <v>11</v>
      </c>
      <c r="T4" s="7" t="s">
        <v>12</v>
      </c>
      <c r="U4" s="7" t="s">
        <v>13</v>
      </c>
      <c r="V4" s="7" t="s">
        <v>14</v>
      </c>
      <c r="W4" s="7" t="s">
        <v>15</v>
      </c>
      <c r="X4" s="7" t="s">
        <v>16</v>
      </c>
      <c r="Y4" s="7" t="s">
        <v>17</v>
      </c>
      <c r="Z4" s="7" t="s">
        <v>18</v>
      </c>
      <c r="AA4" s="7" t="s">
        <v>19</v>
      </c>
      <c r="AB4" s="7" t="s">
        <v>20</v>
      </c>
      <c r="AC4" s="7" t="s">
        <v>21</v>
      </c>
      <c r="AD4" s="7" t="s">
        <v>22</v>
      </c>
      <c r="AE4" s="7" t="s">
        <v>23</v>
      </c>
      <c r="AF4" s="7" t="s">
        <v>24</v>
      </c>
      <c r="AG4" s="7" t="s">
        <v>25</v>
      </c>
      <c r="AH4" s="7" t="s">
        <v>26</v>
      </c>
      <c r="AI4" s="7" t="s">
        <v>27</v>
      </c>
      <c r="AJ4" s="7" t="s">
        <v>28</v>
      </c>
      <c r="AK4" s="7" t="s">
        <v>29</v>
      </c>
      <c r="AL4" s="7" t="s">
        <v>43</v>
      </c>
      <c r="AM4" s="14" t="s">
        <v>191</v>
      </c>
      <c r="AN4" s="14" t="s">
        <v>333</v>
      </c>
      <c r="AO4" s="14" t="s">
        <v>334</v>
      </c>
      <c r="AP4" s="14" t="s">
        <v>335</v>
      </c>
      <c r="AQ4" s="14" t="s">
        <v>22</v>
      </c>
      <c r="AR4" s="14" t="s">
        <v>24</v>
      </c>
      <c r="AS4" s="8" t="s">
        <v>63</v>
      </c>
      <c r="AT4" s="8" t="s">
        <v>53</v>
      </c>
      <c r="AU4" s="8" t="s">
        <v>54</v>
      </c>
      <c r="AV4" s="8" t="s">
        <v>55</v>
      </c>
      <c r="AW4" s="8" t="s">
        <v>56</v>
      </c>
      <c r="AX4" s="8"/>
      <c r="AY4" s="8" t="s">
        <v>61</v>
      </c>
    </row>
    <row r="5" spans="1:51" x14ac:dyDescent="0.25">
      <c r="A5" s="126"/>
      <c r="B5">
        <v>1</v>
      </c>
      <c r="C5" t="s">
        <v>30</v>
      </c>
      <c r="D5">
        <v>3</v>
      </c>
      <c r="E5">
        <v>1589281</v>
      </c>
      <c r="F5">
        <f>432000*24/12</f>
        <v>864000</v>
      </c>
      <c r="G5" t="s">
        <v>31</v>
      </c>
      <c r="H5" t="s">
        <v>31</v>
      </c>
      <c r="I5">
        <f>G16+G19-L5</f>
        <v>2.895E-2</v>
      </c>
      <c r="J5" s="64">
        <f>I5-L5</f>
        <v>2.8899999999999999E-2</v>
      </c>
      <c r="K5" s="64">
        <v>9.2499999999999999E-2</v>
      </c>
      <c r="L5" s="64">
        <v>5.0000000000000002E-5</v>
      </c>
      <c r="M5">
        <v>3600</v>
      </c>
      <c r="N5">
        <v>3600</v>
      </c>
      <c r="O5">
        <v>0</v>
      </c>
      <c r="P5">
        <v>0</v>
      </c>
      <c r="Q5">
        <v>0</v>
      </c>
      <c r="R5">
        <v>0</v>
      </c>
      <c r="S5">
        <v>0.12280000000000001</v>
      </c>
      <c r="T5">
        <v>9.3426658551430383E-2</v>
      </c>
      <c r="U5">
        <v>2.9373341448569623E-2</v>
      </c>
      <c r="V5">
        <v>4.0000000000000001E-3</v>
      </c>
      <c r="W5">
        <v>27.6</v>
      </c>
      <c r="X5">
        <v>0.08</v>
      </c>
      <c r="Y5" t="s">
        <v>31</v>
      </c>
      <c r="Z5" t="s">
        <v>32</v>
      </c>
      <c r="AA5">
        <v>1</v>
      </c>
      <c r="AB5" t="s">
        <v>33</v>
      </c>
      <c r="AC5" s="1">
        <f t="shared" ref="AC5:AC12" si="0">AI5*$AA$16</f>
        <v>8.1830418023733635</v>
      </c>
      <c r="AD5" s="1">
        <f>AI5*$AQ5</f>
        <v>0.44160200009543604</v>
      </c>
      <c r="AE5">
        <v>0</v>
      </c>
      <c r="AF5" s="45">
        <f>AI5*$AR5</f>
        <v>6.308600001363371</v>
      </c>
      <c r="AG5" s="1">
        <f>AV5</f>
        <v>1.8534983222633695E-3</v>
      </c>
      <c r="AH5" s="1">
        <f>AY5</f>
        <v>1.3244862745926676E-6</v>
      </c>
      <c r="AI5" s="1">
        <f>AG5+AH5</f>
        <v>1.8548228085379622E-3</v>
      </c>
      <c r="AJ5" s="1">
        <f>AG5*0.005</f>
        <v>9.267491611316847E-6</v>
      </c>
      <c r="AK5" s="1">
        <f>AN5*AH5</f>
        <v>3.3112156864816693E-9</v>
      </c>
      <c r="AL5">
        <f>AJ5+AK5</f>
        <v>9.2708028270033284E-6</v>
      </c>
      <c r="AM5" s="15">
        <v>4.5999999999999996</v>
      </c>
      <c r="AN5" s="15">
        <f>0.25/100</f>
        <v>2.5000000000000001E-3</v>
      </c>
      <c r="AO5" s="15">
        <f>1.65/100</f>
        <v>1.6500000000000001E-2</v>
      </c>
      <c r="AP5" s="15">
        <f>(AN5*AH5+AO5*AG5)/AI5</f>
        <v>1.6490002922241984E-2</v>
      </c>
      <c r="AQ5" s="15">
        <f t="shared" ref="AQ5:AQ6" si="1">(($AM5/100)*(1+$AA$16*$E$31)-$AP5)/(((1+1/$W$23)*(14*10^(-6)))-(($J$31/$W$23+$F$31)*$AM5/100))</f>
        <v>238.08311934848513</v>
      </c>
      <c r="AR5" s="15">
        <f>$AQ5/$W$23</f>
        <v>3401.187419264073</v>
      </c>
      <c r="AS5" s="9">
        <v>851425</v>
      </c>
      <c r="AT5" s="10">
        <f>$T$27+$T$28*$T$30*(I5)^$T$29</f>
        <v>9.1058115591388438E-4</v>
      </c>
      <c r="AU5" s="9">
        <f t="shared" ref="AU5:AU12" si="2">I5*X5</f>
        <v>2.3159999999999999E-3</v>
      </c>
      <c r="AV5" s="10">
        <f>((AU5-AT5)/($T$31-AS5))*(E5-$T$31)+AU5</f>
        <v>1.8534983222633695E-3</v>
      </c>
      <c r="AW5" s="10">
        <f t="shared" ref="AW5:AW12" si="3">$T$27+$T$28*$T$30*(K5)^$T$29</f>
        <v>4.0277279389003447E-3</v>
      </c>
      <c r="AX5" s="9"/>
      <c r="AY5" s="9">
        <f t="shared" ref="AY5:AY12" si="4">$AU$20*$AT$22*$AT$24*(L5)^$AT$21</f>
        <v>1.3244862745926676E-6</v>
      </c>
    </row>
    <row r="6" spans="1:51" x14ac:dyDescent="0.25">
      <c r="A6" s="126"/>
      <c r="B6">
        <v>1</v>
      </c>
      <c r="C6" t="s">
        <v>30</v>
      </c>
      <c r="D6">
        <v>4</v>
      </c>
      <c r="E6">
        <v>776406</v>
      </c>
      <c r="F6">
        <v>0</v>
      </c>
      <c r="G6" t="s">
        <v>31</v>
      </c>
      <c r="H6" t="s">
        <v>31</v>
      </c>
      <c r="I6">
        <f>I5-L6</f>
        <v>2.894E-2</v>
      </c>
      <c r="J6" s="64">
        <f t="shared" ref="J6:J12" si="5">I6-L6</f>
        <v>2.8930000000000001E-2</v>
      </c>
      <c r="K6" s="64">
        <v>2.5999999999999999E-2</v>
      </c>
      <c r="L6" s="64">
        <v>1.0000000000000001E-5</v>
      </c>
      <c r="M6">
        <v>3600</v>
      </c>
      <c r="N6">
        <v>0</v>
      </c>
      <c r="O6">
        <v>0</v>
      </c>
      <c r="P6">
        <v>0</v>
      </c>
      <c r="Q6">
        <v>0</v>
      </c>
      <c r="R6">
        <v>0</v>
      </c>
      <c r="S6">
        <v>0.1331</v>
      </c>
      <c r="T6">
        <v>9.9106478034251738E-2</v>
      </c>
      <c r="U6">
        <v>3.3993521965748258E-2</v>
      </c>
      <c r="V6">
        <v>4.4000000000000003E-3</v>
      </c>
      <c r="W6">
        <v>27.6</v>
      </c>
      <c r="X6">
        <v>0.08</v>
      </c>
      <c r="Y6" t="s">
        <v>33</v>
      </c>
      <c r="Z6" t="s">
        <v>32</v>
      </c>
      <c r="AA6" t="s">
        <v>32</v>
      </c>
      <c r="AB6" t="s">
        <v>33</v>
      </c>
      <c r="AC6" s="1">
        <f t="shared" si="0"/>
        <v>3.5017162544188412</v>
      </c>
      <c r="AD6" s="1">
        <f t="shared" ref="AD6:AD12" si="6">AI6*$AQ6</f>
        <v>0.30446629586499513</v>
      </c>
      <c r="AE6">
        <v>0</v>
      </c>
      <c r="AF6" s="45">
        <f>AI6*$AR6</f>
        <v>4.349518512357073</v>
      </c>
      <c r="AG6" s="1">
        <f>AW6</f>
        <v>7.9355355356128927E-4</v>
      </c>
      <c r="AH6" s="1">
        <f>AY6</f>
        <v>1.6879744031468265E-7</v>
      </c>
      <c r="AI6">
        <f t="shared" ref="AI6:AI12" si="7">AG6+AH6</f>
        <v>7.9372235100160394E-4</v>
      </c>
      <c r="AJ6">
        <f t="shared" ref="AJ6:AJ12" si="8">AG6*0.005</f>
        <v>3.9677677678064465E-6</v>
      </c>
      <c r="AK6" s="1">
        <f t="shared" ref="AK6:AK12" si="9">AN6*AH6</f>
        <v>4.2199360078670663E-10</v>
      </c>
      <c r="AL6">
        <f t="shared" ref="AL6:AL12" si="10">AJ6+AK6</f>
        <v>3.9681897614072331E-6</v>
      </c>
      <c r="AM6" s="15">
        <v>5.8</v>
      </c>
      <c r="AN6" s="15">
        <f t="shared" ref="AN6:AN12" si="11">0.25/100</f>
        <v>2.5000000000000001E-3</v>
      </c>
      <c r="AO6" s="15">
        <f>1.5/100</f>
        <v>1.4999999999999999E-2</v>
      </c>
      <c r="AP6" s="15">
        <f t="shared" ref="AP6:AP12" si="12">(AN6*AH6+AO6*AG6)/AI6</f>
        <v>1.4997341679995188E-2</v>
      </c>
      <c r="AQ6" s="15">
        <f t="shared" si="1"/>
        <v>383.59294718208065</v>
      </c>
      <c r="AR6" s="15">
        <f t="shared" ref="AR6:AR12" si="13">$AQ6/$W$23</f>
        <v>5479.8992454582949</v>
      </c>
      <c r="AS6" s="9">
        <v>818263</v>
      </c>
      <c r="AT6" s="10">
        <f>$T$27+$T$28*$T$30*(I6)^$T$29</f>
        <v>9.1017858127080242E-4</v>
      </c>
      <c r="AU6" s="9">
        <f t="shared" si="2"/>
        <v>2.3151999999999999E-3</v>
      </c>
      <c r="AV6" s="10">
        <f>((AU6-AT6)/($T$31-AS6))*(E6-$T$31)+AU6</f>
        <v>8.5826926811062858E-4</v>
      </c>
      <c r="AW6" s="10">
        <f t="shared" si="3"/>
        <v>7.9355355356128927E-4</v>
      </c>
      <c r="AX6" s="9"/>
      <c r="AY6" s="9">
        <f t="shared" si="4"/>
        <v>1.6879744031468265E-7</v>
      </c>
    </row>
    <row r="7" spans="1:51" x14ac:dyDescent="0.25">
      <c r="A7" s="126"/>
      <c r="B7">
        <v>1</v>
      </c>
      <c r="C7" t="s">
        <v>30</v>
      </c>
      <c r="D7">
        <v>5</v>
      </c>
      <c r="E7">
        <v>0</v>
      </c>
      <c r="F7">
        <v>0</v>
      </c>
      <c r="G7" t="s">
        <v>31</v>
      </c>
      <c r="H7" t="s">
        <v>33</v>
      </c>
      <c r="I7">
        <f>I6-L7</f>
        <v>2.894E-2</v>
      </c>
      <c r="J7" s="64">
        <f t="shared" si="5"/>
        <v>2.894E-2</v>
      </c>
      <c r="K7" s="64">
        <v>2E-3</v>
      </c>
      <c r="L7" s="64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33</v>
      </c>
      <c r="Z7" t="s">
        <v>32</v>
      </c>
      <c r="AA7" t="s">
        <v>32</v>
      </c>
      <c r="AB7" t="s">
        <v>33</v>
      </c>
      <c r="AC7" s="1">
        <f t="shared" si="0"/>
        <v>0.13143561599020981</v>
      </c>
      <c r="AD7" s="1">
        <f t="shared" si="6"/>
        <v>1.1995265424753758E-2</v>
      </c>
      <c r="AE7">
        <v>0</v>
      </c>
      <c r="AF7" s="45">
        <f>AI7*$AR7</f>
        <v>0.17136093463933938</v>
      </c>
      <c r="AG7" s="1">
        <f>AW7</f>
        <v>2.9792072957780891E-5</v>
      </c>
      <c r="AH7" s="1">
        <v>0</v>
      </c>
      <c r="AI7">
        <f t="shared" si="7"/>
        <v>2.9792072957780891E-5</v>
      </c>
      <c r="AJ7">
        <f t="shared" si="8"/>
        <v>1.4896036478890447E-7</v>
      </c>
      <c r="AK7" s="1">
        <f t="shared" si="9"/>
        <v>0</v>
      </c>
      <c r="AL7">
        <f t="shared" si="10"/>
        <v>1.4896036478890447E-7</v>
      </c>
      <c r="AM7" s="15">
        <v>5.8</v>
      </c>
      <c r="AN7" s="15">
        <f t="shared" si="11"/>
        <v>2.5000000000000001E-3</v>
      </c>
      <c r="AO7" s="15">
        <f>1.25/100</f>
        <v>1.2500000000000001E-2</v>
      </c>
      <c r="AP7" s="15">
        <f t="shared" si="12"/>
        <v>1.2500000000000001E-2</v>
      </c>
      <c r="AQ7" s="15">
        <f>(($AM7/100)*(1+$AA$16*$E$31)-$AP7)/(((1+1/$W$23)*(14*10^(-6)))-(($J$31/$W$23+$F$31)*$AM7/100))</f>
        <v>402.63278898895538</v>
      </c>
      <c r="AR7" s="15">
        <f t="shared" si="13"/>
        <v>5751.8969855565047</v>
      </c>
      <c r="AS7" s="9"/>
      <c r="AT7" s="10" t="e">
        <f t="shared" ref="AT7:AT12" si="14">$T$27+$T$28*$T$30*(S7*$T$32)^$T$29</f>
        <v>#VALUE!</v>
      </c>
      <c r="AU7" s="9" t="e">
        <f t="shared" si="2"/>
        <v>#VALUE!</v>
      </c>
      <c r="AV7" s="10" t="e">
        <f t="shared" ref="AV7:AV12" si="15">AT7+((AU7-AT7)/$T$31)*E7</f>
        <v>#VALUE!</v>
      </c>
      <c r="AW7" s="10">
        <f t="shared" si="3"/>
        <v>2.9792072957780891E-5</v>
      </c>
      <c r="AX7" s="9"/>
      <c r="AY7" s="9">
        <f t="shared" si="4"/>
        <v>0</v>
      </c>
    </row>
    <row r="8" spans="1:51" x14ac:dyDescent="0.25">
      <c r="A8" s="126"/>
      <c r="B8">
        <v>1</v>
      </c>
      <c r="C8" t="s">
        <v>30</v>
      </c>
      <c r="D8">
        <v>6</v>
      </c>
      <c r="E8">
        <v>0</v>
      </c>
      <c r="F8">
        <v>0</v>
      </c>
      <c r="G8" t="s">
        <v>31</v>
      </c>
      <c r="H8" t="s">
        <v>33</v>
      </c>
      <c r="I8">
        <f t="shared" ref="I8:I12" si="16">I7-L8</f>
        <v>2.894E-2</v>
      </c>
      <c r="J8" s="64">
        <f t="shared" si="5"/>
        <v>2.894E-2</v>
      </c>
      <c r="K8" s="64">
        <v>7.2000000000000005E-4</v>
      </c>
      <c r="L8" s="64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33</v>
      </c>
      <c r="Z8" t="s">
        <v>32</v>
      </c>
      <c r="AA8" t="s">
        <v>32</v>
      </c>
      <c r="AB8" t="s">
        <v>33</v>
      </c>
      <c r="AC8" s="1">
        <f t="shared" si="0"/>
        <v>3.5630437425207336E-2</v>
      </c>
      <c r="AD8" s="1">
        <f t="shared" si="6"/>
        <v>3.4056898802407179E-3</v>
      </c>
      <c r="AE8">
        <v>0</v>
      </c>
      <c r="AF8" s="45">
        <f t="shared" ref="AF8:AF10" si="17">AI8*$AR8</f>
        <v>4.8652712574867397E-2</v>
      </c>
      <c r="AG8" s="1">
        <f t="shared" ref="AG8:AG12" si="18">AW8</f>
        <v>8.076232483046996E-6</v>
      </c>
      <c r="AH8" s="1">
        <v>0</v>
      </c>
      <c r="AI8">
        <f t="shared" si="7"/>
        <v>8.076232483046996E-6</v>
      </c>
      <c r="AJ8">
        <f t="shared" si="8"/>
        <v>4.0381162415234981E-8</v>
      </c>
      <c r="AK8" s="1">
        <f t="shared" si="9"/>
        <v>0</v>
      </c>
      <c r="AL8">
        <f t="shared" si="10"/>
        <v>4.0381162415234981E-8</v>
      </c>
      <c r="AM8" s="15">
        <v>5.8</v>
      </c>
      <c r="AN8" s="15">
        <f t="shared" si="11"/>
        <v>2.5000000000000001E-3</v>
      </c>
      <c r="AO8" s="15">
        <f>1/100</f>
        <v>0.01</v>
      </c>
      <c r="AP8" s="15">
        <f t="shared" si="12"/>
        <v>0.01</v>
      </c>
      <c r="AQ8" s="15">
        <f t="shared" ref="AQ8:AQ12" si="19">(($AM8/100)*(1+$AA$16*$E$31)-$AP8)/(((1+1/$W$23)*(14*10^(-6)))-(($J$31/$W$23+$F$31)*$AM8/100))</f>
        <v>421.69289794340114</v>
      </c>
      <c r="AR8" s="15">
        <f t="shared" si="13"/>
        <v>6024.1842563343016</v>
      </c>
      <c r="AS8" s="9"/>
      <c r="AT8" s="10" t="e">
        <f t="shared" si="14"/>
        <v>#VALUE!</v>
      </c>
      <c r="AU8" s="9" t="e">
        <f t="shared" si="2"/>
        <v>#VALUE!</v>
      </c>
      <c r="AV8" s="10" t="e">
        <f t="shared" si="15"/>
        <v>#VALUE!</v>
      </c>
      <c r="AW8" s="10">
        <f t="shared" si="3"/>
        <v>8.076232483046996E-6</v>
      </c>
      <c r="AX8" s="9"/>
      <c r="AY8" s="9">
        <f t="shared" si="4"/>
        <v>0</v>
      </c>
    </row>
    <row r="9" spans="1:51" x14ac:dyDescent="0.25">
      <c r="A9" s="126"/>
      <c r="B9">
        <v>1</v>
      </c>
      <c r="C9" t="s">
        <v>30</v>
      </c>
      <c r="D9">
        <v>7</v>
      </c>
      <c r="E9">
        <v>0</v>
      </c>
      <c r="F9">
        <v>0</v>
      </c>
      <c r="G9" t="s">
        <v>31</v>
      </c>
      <c r="H9" t="s">
        <v>33</v>
      </c>
      <c r="I9">
        <f t="shared" si="16"/>
        <v>2.894E-2</v>
      </c>
      <c r="J9" s="64">
        <f t="shared" si="5"/>
        <v>2.894E-2</v>
      </c>
      <c r="K9" s="64">
        <v>3.1E-4</v>
      </c>
      <c r="L9" s="64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33</v>
      </c>
      <c r="Z9" t="s">
        <v>32</v>
      </c>
      <c r="AA9" t="s">
        <v>32</v>
      </c>
      <c r="AB9" t="s">
        <v>33</v>
      </c>
      <c r="AC9" s="1">
        <f t="shared" si="0"/>
        <v>1.2193691971899337E-2</v>
      </c>
      <c r="AD9" s="1">
        <f t="shared" si="6"/>
        <v>1.2076627239862995E-3</v>
      </c>
      <c r="AE9">
        <v>0</v>
      </c>
      <c r="AF9" s="45">
        <f t="shared" si="17"/>
        <v>1.7252324628375705E-2</v>
      </c>
      <c r="AG9" s="1">
        <f t="shared" si="18"/>
        <v>2.7639035136305163E-6</v>
      </c>
      <c r="AH9" s="1">
        <v>0</v>
      </c>
      <c r="AI9">
        <f t="shared" si="7"/>
        <v>2.7639035136305163E-6</v>
      </c>
      <c r="AJ9">
        <f t="shared" si="8"/>
        <v>1.3819517568152583E-8</v>
      </c>
      <c r="AK9" s="1">
        <f t="shared" si="9"/>
        <v>0</v>
      </c>
      <c r="AL9">
        <f t="shared" si="10"/>
        <v>1.3819517568152583E-8</v>
      </c>
      <c r="AM9" s="15">
        <v>5.8</v>
      </c>
      <c r="AN9" s="15">
        <f t="shared" si="11"/>
        <v>2.5000000000000001E-3</v>
      </c>
      <c r="AO9" s="15">
        <f>0.8/100</f>
        <v>8.0000000000000002E-3</v>
      </c>
      <c r="AP9" s="15">
        <f t="shared" si="12"/>
        <v>8.0000000000000002E-3</v>
      </c>
      <c r="AQ9" s="15">
        <f t="shared" si="19"/>
        <v>436.94098510695773</v>
      </c>
      <c r="AR9" s="15">
        <f t="shared" si="13"/>
        <v>6242.0140729565383</v>
      </c>
      <c r="AS9" s="9"/>
      <c r="AT9" s="10" t="e">
        <f t="shared" si="14"/>
        <v>#VALUE!</v>
      </c>
      <c r="AU9" s="9" t="e">
        <f t="shared" si="2"/>
        <v>#VALUE!</v>
      </c>
      <c r="AV9" s="10" t="e">
        <f t="shared" si="15"/>
        <v>#VALUE!</v>
      </c>
      <c r="AW9" s="10">
        <f t="shared" si="3"/>
        <v>2.7639035136305163E-6</v>
      </c>
      <c r="AX9" s="9"/>
      <c r="AY9" s="9">
        <f t="shared" si="4"/>
        <v>0</v>
      </c>
    </row>
    <row r="10" spans="1:51" x14ac:dyDescent="0.25">
      <c r="A10" s="126"/>
      <c r="B10">
        <v>1</v>
      </c>
      <c r="C10" t="s">
        <v>30</v>
      </c>
      <c r="D10">
        <v>8</v>
      </c>
      <c r="E10">
        <v>0</v>
      </c>
      <c r="F10">
        <v>0</v>
      </c>
      <c r="G10" t="s">
        <v>31</v>
      </c>
      <c r="H10" t="s">
        <v>33</v>
      </c>
      <c r="I10">
        <f t="shared" si="16"/>
        <v>2.894E-2</v>
      </c>
      <c r="J10" s="64">
        <f t="shared" si="5"/>
        <v>2.894E-2</v>
      </c>
      <c r="K10" s="64">
        <v>1.6000000000000001E-4</v>
      </c>
      <c r="L10" s="64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33</v>
      </c>
      <c r="Z10" t="s">
        <v>32</v>
      </c>
      <c r="AA10" t="s">
        <v>32</v>
      </c>
      <c r="AB10" t="s">
        <v>33</v>
      </c>
      <c r="AC10" s="1">
        <f t="shared" si="0"/>
        <v>5.2963394285683064E-3</v>
      </c>
      <c r="AD10" s="1">
        <f t="shared" si="6"/>
        <v>5.5200730265923803E-4</v>
      </c>
      <c r="AE10">
        <v>0</v>
      </c>
      <c r="AF10" s="45">
        <f t="shared" si="17"/>
        <v>7.8858186094176858E-3</v>
      </c>
      <c r="AG10" s="1">
        <f t="shared" si="18"/>
        <v>1.2005036038088161E-6</v>
      </c>
      <c r="AH10" s="1">
        <v>0</v>
      </c>
      <c r="AI10">
        <f t="shared" si="7"/>
        <v>1.2005036038088161E-6</v>
      </c>
      <c r="AJ10">
        <f t="shared" si="8"/>
        <v>6.0025180190440811E-9</v>
      </c>
      <c r="AK10" s="1">
        <f t="shared" si="9"/>
        <v>0</v>
      </c>
      <c r="AL10">
        <f t="shared" si="10"/>
        <v>6.0025180190440811E-9</v>
      </c>
      <c r="AM10" s="15">
        <v>5.8</v>
      </c>
      <c r="AN10" s="15">
        <f t="shared" si="11"/>
        <v>2.5000000000000001E-3</v>
      </c>
      <c r="AO10" s="15">
        <f>0.5/100</f>
        <v>5.0000000000000001E-3</v>
      </c>
      <c r="AP10" s="15">
        <f t="shared" si="12"/>
        <v>5.0000000000000001E-3</v>
      </c>
      <c r="AQ10" s="15">
        <f t="shared" si="19"/>
        <v>459.81311585229264</v>
      </c>
      <c r="AR10" s="15">
        <f t="shared" si="13"/>
        <v>6568.7587978898946</v>
      </c>
      <c r="AS10" s="9"/>
      <c r="AT10" s="10" t="e">
        <f t="shared" si="14"/>
        <v>#VALUE!</v>
      </c>
      <c r="AU10" s="9" t="e">
        <f t="shared" si="2"/>
        <v>#VALUE!</v>
      </c>
      <c r="AV10" s="10" t="e">
        <f t="shared" si="15"/>
        <v>#VALUE!</v>
      </c>
      <c r="AW10" s="10">
        <f t="shared" si="3"/>
        <v>1.2005036038088161E-6</v>
      </c>
      <c r="AX10" s="9"/>
      <c r="AY10" s="9">
        <f t="shared" si="4"/>
        <v>0</v>
      </c>
    </row>
    <row r="11" spans="1:51" x14ac:dyDescent="0.25">
      <c r="A11" s="126"/>
      <c r="B11">
        <v>1</v>
      </c>
      <c r="C11" t="s">
        <v>30</v>
      </c>
      <c r="D11">
        <v>9</v>
      </c>
      <c r="E11">
        <v>0</v>
      </c>
      <c r="F11">
        <v>0</v>
      </c>
      <c r="G11" t="s">
        <v>31</v>
      </c>
      <c r="H11" t="s">
        <v>33</v>
      </c>
      <c r="I11">
        <f t="shared" si="16"/>
        <v>2.894E-2</v>
      </c>
      <c r="J11" s="64">
        <f t="shared" si="5"/>
        <v>2.894E-2</v>
      </c>
      <c r="K11" s="65">
        <v>6.9999999999999994E-5</v>
      </c>
      <c r="L11" s="64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33</v>
      </c>
      <c r="Z11" t="s">
        <v>32</v>
      </c>
      <c r="AA11" t="s">
        <v>32</v>
      </c>
      <c r="AB11" t="s">
        <v>33</v>
      </c>
      <c r="AC11" s="1">
        <f t="shared" si="0"/>
        <v>1.9146799290632522E-3</v>
      </c>
      <c r="AD11" s="1">
        <f t="shared" si="6"/>
        <v>1.9955618731628199E-4</v>
      </c>
      <c r="AE11">
        <v>0</v>
      </c>
      <c r="AF11" s="45">
        <f>AI11*$AR11</f>
        <v>2.8508026759468856E-3</v>
      </c>
      <c r="AG11" s="1">
        <f t="shared" si="18"/>
        <v>4.3399411725433714E-7</v>
      </c>
      <c r="AH11" s="1">
        <v>0</v>
      </c>
      <c r="AI11">
        <f t="shared" si="7"/>
        <v>4.3399411725433714E-7</v>
      </c>
      <c r="AJ11">
        <f t="shared" si="8"/>
        <v>2.1699705862716857E-9</v>
      </c>
      <c r="AK11" s="1">
        <f t="shared" si="9"/>
        <v>0</v>
      </c>
      <c r="AL11">
        <f t="shared" si="10"/>
        <v>2.1699705862716857E-9</v>
      </c>
      <c r="AM11" s="15">
        <v>5.8</v>
      </c>
      <c r="AN11" s="15">
        <f t="shared" si="11"/>
        <v>2.5000000000000001E-3</v>
      </c>
      <c r="AO11" s="15">
        <f>0.5/100</f>
        <v>5.0000000000000001E-3</v>
      </c>
      <c r="AP11" s="15">
        <f t="shared" si="12"/>
        <v>5.0000000000000001E-3</v>
      </c>
      <c r="AQ11" s="15">
        <f t="shared" si="19"/>
        <v>459.81311585229264</v>
      </c>
      <c r="AR11" s="15">
        <f t="shared" si="13"/>
        <v>6568.7587978898946</v>
      </c>
      <c r="AS11" s="9"/>
      <c r="AT11" s="10" t="e">
        <f t="shared" si="14"/>
        <v>#VALUE!</v>
      </c>
      <c r="AU11" s="9" t="e">
        <f t="shared" si="2"/>
        <v>#VALUE!</v>
      </c>
      <c r="AV11" s="10" t="e">
        <f t="shared" si="15"/>
        <v>#VALUE!</v>
      </c>
      <c r="AW11" s="10">
        <f t="shared" si="3"/>
        <v>4.3399411725433714E-7</v>
      </c>
      <c r="AX11" s="9"/>
      <c r="AY11" s="9">
        <f t="shared" si="4"/>
        <v>0</v>
      </c>
    </row>
    <row r="12" spans="1:51" x14ac:dyDescent="0.25">
      <c r="A12" s="126"/>
      <c r="B12">
        <v>1</v>
      </c>
      <c r="C12" t="s">
        <v>30</v>
      </c>
      <c r="D12">
        <v>10</v>
      </c>
      <c r="E12">
        <v>0</v>
      </c>
      <c r="F12">
        <v>0</v>
      </c>
      <c r="G12" t="s">
        <v>31</v>
      </c>
      <c r="H12" t="s">
        <v>33</v>
      </c>
      <c r="I12">
        <f t="shared" si="16"/>
        <v>2.894E-2</v>
      </c>
      <c r="J12" s="64">
        <f t="shared" si="5"/>
        <v>2.894E-2</v>
      </c>
      <c r="K12" s="65">
        <v>5.0000000000000002E-5</v>
      </c>
      <c r="L12" s="64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33</v>
      </c>
      <c r="Z12" t="s">
        <v>32</v>
      </c>
      <c r="AA12" t="s">
        <v>32</v>
      </c>
      <c r="AB12" t="s">
        <v>33</v>
      </c>
      <c r="AC12" s="1">
        <f t="shared" si="0"/>
        <v>1.2855761246405892E-3</v>
      </c>
      <c r="AD12" s="1">
        <f t="shared" si="6"/>
        <v>1.3398827973489571E-4</v>
      </c>
      <c r="AE12">
        <v>0</v>
      </c>
      <c r="AF12" s="45">
        <f>AI12*$AR12</f>
        <v>1.9141182819270813E-3</v>
      </c>
      <c r="AG12" s="1">
        <f t="shared" si="18"/>
        <v>2.9139725491853351E-7</v>
      </c>
      <c r="AH12" s="1">
        <v>0</v>
      </c>
      <c r="AI12">
        <f t="shared" si="7"/>
        <v>2.9139725491853351E-7</v>
      </c>
      <c r="AJ12">
        <f t="shared" si="8"/>
        <v>1.4569862745926675E-9</v>
      </c>
      <c r="AK12" s="1">
        <f t="shared" si="9"/>
        <v>0</v>
      </c>
      <c r="AL12">
        <f t="shared" si="10"/>
        <v>1.4569862745926675E-9</v>
      </c>
      <c r="AM12" s="16">
        <v>5.8</v>
      </c>
      <c r="AN12" s="16">
        <f t="shared" si="11"/>
        <v>2.5000000000000001E-3</v>
      </c>
      <c r="AO12" s="16">
        <f>0.5/100</f>
        <v>5.0000000000000001E-3</v>
      </c>
      <c r="AP12" s="16">
        <f t="shared" si="12"/>
        <v>5.0000000000000001E-3</v>
      </c>
      <c r="AQ12" s="16">
        <f t="shared" si="19"/>
        <v>459.81311585229264</v>
      </c>
      <c r="AR12" s="16">
        <f t="shared" si="13"/>
        <v>6568.7587978898946</v>
      </c>
      <c r="AS12" s="9"/>
      <c r="AT12" s="10" t="e">
        <f t="shared" si="14"/>
        <v>#VALUE!</v>
      </c>
      <c r="AU12" s="9" t="e">
        <f t="shared" si="2"/>
        <v>#VALUE!</v>
      </c>
      <c r="AV12" s="10" t="e">
        <f t="shared" si="15"/>
        <v>#VALUE!</v>
      </c>
      <c r="AW12" s="10">
        <f t="shared" si="3"/>
        <v>2.9139725491853351E-7</v>
      </c>
      <c r="AX12" s="9"/>
      <c r="AY12" s="9">
        <f t="shared" si="4"/>
        <v>0</v>
      </c>
    </row>
    <row r="13" spans="1:51" x14ac:dyDescent="0.25">
      <c r="A13" s="6"/>
      <c r="W13" s="1"/>
      <c r="X13" s="1"/>
      <c r="Y13" s="1"/>
      <c r="Z13" s="1"/>
      <c r="AA13" s="1"/>
      <c r="AB13" s="1"/>
      <c r="AC13" s="1"/>
      <c r="AD13" s="1"/>
      <c r="AE13" s="1"/>
    </row>
    <row r="14" spans="1:51" s="4" customFormat="1" x14ac:dyDescent="0.25">
      <c r="A14" s="126" t="s">
        <v>71</v>
      </c>
      <c r="B14" s="7" t="s">
        <v>0</v>
      </c>
      <c r="C14" s="7" t="s">
        <v>1</v>
      </c>
      <c r="D14" s="7" t="s">
        <v>2</v>
      </c>
      <c r="E14" s="7" t="s">
        <v>34</v>
      </c>
      <c r="F14" s="63" t="s">
        <v>35</v>
      </c>
      <c r="G14" s="63" t="s">
        <v>36</v>
      </c>
      <c r="H14" s="63" t="s">
        <v>37</v>
      </c>
      <c r="I14" s="7" t="s">
        <v>27</v>
      </c>
      <c r="J14" s="7" t="s">
        <v>43</v>
      </c>
      <c r="K14" s="7" t="s">
        <v>22</v>
      </c>
      <c r="L14" s="7" t="s">
        <v>24</v>
      </c>
      <c r="M14" s="7" t="s">
        <v>23</v>
      </c>
      <c r="N14" s="7" t="s">
        <v>21</v>
      </c>
      <c r="O14" s="7" t="s">
        <v>44</v>
      </c>
      <c r="P14" s="7" t="s">
        <v>45</v>
      </c>
      <c r="Q14" s="7" t="s">
        <v>147</v>
      </c>
      <c r="R14" s="7" t="s">
        <v>66</v>
      </c>
      <c r="S14" s="7" t="s">
        <v>64</v>
      </c>
      <c r="T14" s="14" t="s">
        <v>62</v>
      </c>
      <c r="U14" s="14" t="s">
        <v>191</v>
      </c>
      <c r="V14" s="14" t="s">
        <v>22</v>
      </c>
      <c r="W14" s="14" t="s">
        <v>24</v>
      </c>
      <c r="X14" s="14" t="s">
        <v>43</v>
      </c>
      <c r="AA14" s="5"/>
      <c r="AB14" s="14" t="s">
        <v>45</v>
      </c>
      <c r="AC14" s="5"/>
      <c r="AD14" s="5"/>
      <c r="AE14" s="5"/>
      <c r="AF14" s="5"/>
    </row>
    <row r="15" spans="1:51" x14ac:dyDescent="0.25">
      <c r="A15" s="126"/>
      <c r="B15">
        <v>1</v>
      </c>
      <c r="C15" t="s">
        <v>30</v>
      </c>
      <c r="D15">
        <v>1</v>
      </c>
      <c r="E15" t="s">
        <v>38</v>
      </c>
      <c r="F15" s="64" t="s">
        <v>39</v>
      </c>
      <c r="G15" s="64">
        <v>8.2000000000000003E-2</v>
      </c>
      <c r="H15" s="64" t="s">
        <v>33</v>
      </c>
      <c r="I15">
        <f>O15*$T$15</f>
        <v>5.4756904468575684E-3</v>
      </c>
      <c r="J15">
        <f>I15*0.005</f>
        <v>2.7378452234287844E-5</v>
      </c>
      <c r="K15">
        <f>I15*$V15</f>
        <v>1.0198768078024345</v>
      </c>
      <c r="L15">
        <f>I15*$W15</f>
        <v>14.569668682891923</v>
      </c>
      <c r="M15">
        <v>0</v>
      </c>
      <c r="N15" s="1">
        <f t="shared" ref="N15:N20" si="20">I15*$AA$16</f>
        <v>24.157457853783391</v>
      </c>
      <c r="O15">
        <v>1.9556037310205601E-4</v>
      </c>
      <c r="P15" s="1">
        <f>I15*$AB15</f>
        <v>0.31759004591773898</v>
      </c>
      <c r="Q15">
        <v>0.8</v>
      </c>
      <c r="R15">
        <v>0</v>
      </c>
      <c r="S15">
        <v>0</v>
      </c>
      <c r="T15" s="15">
        <v>28</v>
      </c>
      <c r="U15" s="15">
        <v>4.3</v>
      </c>
      <c r="V15" s="15">
        <f>(($U15/100)*(1+$AA$16*$E$31)-$X15)/(((1+1/$W$23)*(14*10^(-6)))-(($J$31/$W$23+$F$31)*$U15/100))</f>
        <v>186.25538052241967</v>
      </c>
      <c r="W15" s="15">
        <f>$V15/$W$23</f>
        <v>2660.7911503202808</v>
      </c>
      <c r="X15" s="15">
        <f>2/100</f>
        <v>0.02</v>
      </c>
      <c r="Y15" s="17" t="s">
        <v>27</v>
      </c>
      <c r="Z15" s="17" t="s">
        <v>23</v>
      </c>
      <c r="AA15" s="18" t="s">
        <v>21</v>
      </c>
      <c r="AB15" s="15">
        <f>ROUND(W15/$AR$6*120,0)</f>
        <v>58</v>
      </c>
      <c r="AC15" s="44"/>
      <c r="AD15" s="1"/>
      <c r="AE15" s="1"/>
    </row>
    <row r="16" spans="1:51" x14ac:dyDescent="0.25">
      <c r="A16" s="126"/>
      <c r="B16">
        <v>1</v>
      </c>
      <c r="C16" t="s">
        <v>30</v>
      </c>
      <c r="D16">
        <v>1</v>
      </c>
      <c r="E16" t="s">
        <v>40</v>
      </c>
      <c r="F16" s="64" t="s">
        <v>41</v>
      </c>
      <c r="G16" s="64">
        <v>2.8500000000000001E-2</v>
      </c>
      <c r="H16" s="64" t="s">
        <v>33</v>
      </c>
      <c r="I16">
        <f>G16*$T$16</f>
        <v>2.2800000000000003E-3</v>
      </c>
      <c r="J16">
        <f t="shared" ref="J16:J20" si="21">I16*0.005</f>
        <v>1.1400000000000003E-5</v>
      </c>
      <c r="K16">
        <f>I16*$V16</f>
        <v>0.12434450325447456</v>
      </c>
      <c r="L16">
        <f t="shared" ref="L16:L20" si="22">I16*$W16</f>
        <v>1.7763500464924935</v>
      </c>
      <c r="M16">
        <v>0</v>
      </c>
      <c r="N16" s="1">
        <f t="shared" si="20"/>
        <v>10.058823529411766</v>
      </c>
      <c r="O16">
        <v>2.6899999999999998E-4</v>
      </c>
      <c r="P16" s="1">
        <f t="shared" ref="P16:P20" si="23">I16*$AB16</f>
        <v>3.8760000000000003E-2</v>
      </c>
      <c r="Q16">
        <v>0.4</v>
      </c>
      <c r="R16">
        <v>0</v>
      </c>
      <c r="S16">
        <v>0</v>
      </c>
      <c r="T16" s="15">
        <v>0.08</v>
      </c>
      <c r="U16" s="15">
        <v>1.8</v>
      </c>
      <c r="V16" s="15">
        <f t="shared" ref="V16:V20" si="24">(($U16/100)*(1+$AA$16*$E$31)-$X16)/(((1+1/$W$23)*(14*10^(-6)))-(($J$31/$W$23+$F$31)*$U16/100))</f>
        <v>54.537062830909889</v>
      </c>
      <c r="W16" s="15">
        <f>$V16/$W$23</f>
        <v>779.10089758442689</v>
      </c>
      <c r="X16" s="15">
        <f>1/100</f>
        <v>0.01</v>
      </c>
      <c r="Y16" s="19">
        <v>1</v>
      </c>
      <c r="Z16" s="19">
        <v>0</v>
      </c>
      <c r="AA16" s="78">
        <f>$AA$17/100/(1-$X$34)*$X$33*10^6/$X$30</f>
        <v>4411.7647058823532</v>
      </c>
      <c r="AB16" s="15">
        <f t="shared" ref="AB16:AB20" si="25">ROUND(W16/$AR$6*120,0)</f>
        <v>17</v>
      </c>
      <c r="AC16" s="44"/>
      <c r="AD16" s="1"/>
      <c r="AE16" s="1"/>
    </row>
    <row r="17" spans="1:47" x14ac:dyDescent="0.25">
      <c r="A17" s="126"/>
      <c r="B17">
        <v>1</v>
      </c>
      <c r="C17" t="s">
        <v>30</v>
      </c>
      <c r="D17">
        <v>2</v>
      </c>
      <c r="E17" t="s">
        <v>38</v>
      </c>
      <c r="F17" s="64" t="s">
        <v>39</v>
      </c>
      <c r="G17" s="64">
        <v>9.1999999999999998E-2</v>
      </c>
      <c r="H17" s="64" t="s">
        <v>33</v>
      </c>
      <c r="I17">
        <f>O17*$T$17</f>
        <v>6.4501906365818599E-3</v>
      </c>
      <c r="J17">
        <f t="shared" si="21"/>
        <v>3.2250953182909302E-5</v>
      </c>
      <c r="K17">
        <f t="shared" ref="K17:K20" si="26">I17*$V17</f>
        <v>1.5987512990457584</v>
      </c>
      <c r="L17">
        <f t="shared" si="22"/>
        <v>22.839304272082259</v>
      </c>
      <c r="M17">
        <v>0</v>
      </c>
      <c r="N17" s="1">
        <f t="shared" si="20"/>
        <v>28.456723396684676</v>
      </c>
      <c r="O17">
        <v>2.3036395130649501E-4</v>
      </c>
      <c r="P17" s="1">
        <f t="shared" si="23"/>
        <v>0.50311486965338503</v>
      </c>
      <c r="Q17">
        <v>1</v>
      </c>
      <c r="R17">
        <v>0</v>
      </c>
      <c r="S17">
        <v>0</v>
      </c>
      <c r="T17" s="15">
        <v>28</v>
      </c>
      <c r="U17" s="15">
        <v>4.8</v>
      </c>
      <c r="V17" s="15">
        <f t="shared" si="24"/>
        <v>247.86109265957793</v>
      </c>
      <c r="W17" s="15">
        <f t="shared" ref="W17:W20" si="27">$V17/$W$23</f>
        <v>3540.8727522796844</v>
      </c>
      <c r="X17" s="15">
        <f>1.8/100</f>
        <v>1.8000000000000002E-2</v>
      </c>
      <c r="Y17" s="33"/>
      <c r="AA17" s="75">
        <v>10</v>
      </c>
      <c r="AB17" s="15">
        <f t="shared" si="25"/>
        <v>78</v>
      </c>
      <c r="AC17" s="44"/>
      <c r="AD17" s="1"/>
      <c r="AE17" s="1"/>
      <c r="AF17" s="1"/>
    </row>
    <row r="18" spans="1:47" x14ac:dyDescent="0.25">
      <c r="A18" s="126"/>
      <c r="B18">
        <v>1</v>
      </c>
      <c r="C18" t="s">
        <v>30</v>
      </c>
      <c r="D18">
        <v>2</v>
      </c>
      <c r="E18" t="s">
        <v>40</v>
      </c>
      <c r="F18" s="64" t="s">
        <v>42</v>
      </c>
      <c r="G18" s="64">
        <v>2.8500000000000001E-2</v>
      </c>
      <c r="H18" s="64" t="s">
        <v>33</v>
      </c>
      <c r="I18">
        <f>G18*$T$18</f>
        <v>2.2800000000000003E-3</v>
      </c>
      <c r="J18">
        <f t="shared" si="21"/>
        <v>1.1400000000000003E-5</v>
      </c>
      <c r="K18">
        <f t="shared" si="26"/>
        <v>0.21269566975916449</v>
      </c>
      <c r="L18">
        <f t="shared" si="22"/>
        <v>3.0385095679880636</v>
      </c>
      <c r="M18">
        <v>0</v>
      </c>
      <c r="N18" s="1">
        <f t="shared" si="20"/>
        <v>10.058823529411766</v>
      </c>
      <c r="O18">
        <v>2.4800000000000001E-4</v>
      </c>
      <c r="P18" s="1">
        <f t="shared" si="23"/>
        <v>6.6120000000000012E-2</v>
      </c>
      <c r="Q18">
        <v>0.5</v>
      </c>
      <c r="R18">
        <v>0</v>
      </c>
      <c r="S18">
        <v>0</v>
      </c>
      <c r="T18" s="15">
        <v>0.08</v>
      </c>
      <c r="U18" s="15">
        <v>2.2999999999999998</v>
      </c>
      <c r="V18" s="15">
        <f t="shared" si="24"/>
        <v>93.287574455773878</v>
      </c>
      <c r="W18" s="15">
        <f t="shared" si="27"/>
        <v>1332.6796350824839</v>
      </c>
      <c r="X18" s="15">
        <f>0.9/100</f>
        <v>9.0000000000000011E-3</v>
      </c>
      <c r="AA18" s="76" t="s">
        <v>292</v>
      </c>
      <c r="AB18" s="15">
        <f t="shared" si="25"/>
        <v>29</v>
      </c>
      <c r="AC18" s="44"/>
      <c r="AD18" s="1"/>
      <c r="AE18" s="1"/>
      <c r="AF18" s="1"/>
    </row>
    <row r="19" spans="1:47" x14ac:dyDescent="0.25">
      <c r="A19" s="126"/>
      <c r="B19">
        <v>1</v>
      </c>
      <c r="C19" t="s">
        <v>30</v>
      </c>
      <c r="D19">
        <v>2</v>
      </c>
      <c r="E19" t="s">
        <v>40</v>
      </c>
      <c r="F19" s="64" t="s">
        <v>41</v>
      </c>
      <c r="G19" s="64">
        <v>5.0000000000000001E-4</v>
      </c>
      <c r="H19" s="64" t="s">
        <v>33</v>
      </c>
      <c r="I19">
        <f>G19*$T$19</f>
        <v>4.0000000000000003E-5</v>
      </c>
      <c r="J19">
        <f t="shared" si="21"/>
        <v>2.0000000000000002E-7</v>
      </c>
      <c r="K19">
        <f t="shared" si="26"/>
        <v>3.7315029782309553E-3</v>
      </c>
      <c r="L19">
        <f t="shared" si="22"/>
        <v>5.3307185403299359E-2</v>
      </c>
      <c r="M19">
        <v>0</v>
      </c>
      <c r="N19" s="1">
        <f t="shared" si="20"/>
        <v>0.17647058823529413</v>
      </c>
      <c r="O19">
        <v>5.0000000000000004E-6</v>
      </c>
      <c r="P19" s="1">
        <f t="shared" si="23"/>
        <v>1.16E-3</v>
      </c>
      <c r="Q19">
        <v>0.5</v>
      </c>
      <c r="R19">
        <v>0</v>
      </c>
      <c r="S19">
        <v>0</v>
      </c>
      <c r="T19" s="15">
        <v>0.08</v>
      </c>
      <c r="U19" s="15">
        <v>2.2999999999999998</v>
      </c>
      <c r="V19" s="15">
        <f t="shared" si="24"/>
        <v>93.287574455773878</v>
      </c>
      <c r="W19" s="15">
        <f t="shared" si="27"/>
        <v>1332.6796350824839</v>
      </c>
      <c r="X19" s="15">
        <f>0.9/100</f>
        <v>9.0000000000000011E-3</v>
      </c>
      <c r="AA19" s="1"/>
      <c r="AB19" s="15">
        <f t="shared" si="25"/>
        <v>29</v>
      </c>
      <c r="AC19" s="44"/>
      <c r="AS19" s="72" t="s">
        <v>57</v>
      </c>
      <c r="AT19" s="9" t="s">
        <v>47</v>
      </c>
      <c r="AU19" s="10">
        <v>0</v>
      </c>
    </row>
    <row r="20" spans="1:47" x14ac:dyDescent="0.25">
      <c r="A20" s="126"/>
      <c r="B20">
        <v>1</v>
      </c>
      <c r="C20" t="s">
        <v>30</v>
      </c>
      <c r="D20">
        <v>3</v>
      </c>
      <c r="E20" t="s">
        <v>38</v>
      </c>
      <c r="F20" s="64" t="s">
        <v>39</v>
      </c>
      <c r="G20" s="64">
        <v>6.0421565000000003E-2</v>
      </c>
      <c r="H20" s="64" t="s">
        <v>31</v>
      </c>
      <c r="I20">
        <f>O20*$T$20</f>
        <v>5.5610799999999995E-3</v>
      </c>
      <c r="J20">
        <f t="shared" si="21"/>
        <v>2.7805399999999996E-5</v>
      </c>
      <c r="K20">
        <f t="shared" si="26"/>
        <v>1.6123883150610094</v>
      </c>
      <c r="L20">
        <f t="shared" si="22"/>
        <v>23.034118786585847</v>
      </c>
      <c r="M20">
        <v>0</v>
      </c>
      <c r="N20" s="1">
        <f t="shared" si="20"/>
        <v>24.534176470588235</v>
      </c>
      <c r="O20">
        <v>1.9861E-4</v>
      </c>
      <c r="P20" s="1">
        <f t="shared" si="23"/>
        <v>0.50605827999999997</v>
      </c>
      <c r="Q20">
        <v>1.2</v>
      </c>
      <c r="R20">
        <v>0</v>
      </c>
      <c r="S20">
        <v>0</v>
      </c>
      <c r="T20" s="16">
        <v>28</v>
      </c>
      <c r="U20" s="16">
        <v>5.0999999999999996</v>
      </c>
      <c r="V20" s="16">
        <f t="shared" si="24"/>
        <v>289.94157880501803</v>
      </c>
      <c r="W20" s="16">
        <f t="shared" si="27"/>
        <v>4142.0225543573997</v>
      </c>
      <c r="X20" s="16">
        <f>1.65/100</f>
        <v>1.6500000000000001E-2</v>
      </c>
      <c r="AB20" s="16">
        <f t="shared" si="25"/>
        <v>91</v>
      </c>
      <c r="AC20" s="44"/>
      <c r="AS20" s="72"/>
      <c r="AT20" s="9" t="s">
        <v>48</v>
      </c>
      <c r="AU20" s="9">
        <v>0.106</v>
      </c>
    </row>
    <row r="21" spans="1:47" x14ac:dyDescent="0.25">
      <c r="A21" s="4"/>
      <c r="AM21" s="72"/>
      <c r="AN21" s="72"/>
      <c r="AO21" s="72"/>
      <c r="AP21" s="72"/>
      <c r="AQ21" s="72"/>
      <c r="AR21" s="72"/>
      <c r="AS21" s="9" t="s">
        <v>49</v>
      </c>
      <c r="AT21" s="9">
        <v>1.28</v>
      </c>
    </row>
    <row r="22" spans="1:47" x14ac:dyDescent="0.25">
      <c r="A22" s="4"/>
      <c r="W22" s="20" t="s">
        <v>126</v>
      </c>
      <c r="X22" s="54" t="s">
        <v>127</v>
      </c>
      <c r="AM22" s="72"/>
      <c r="AN22" s="72"/>
      <c r="AO22" s="72"/>
      <c r="AP22" s="72"/>
      <c r="AQ22" s="72"/>
      <c r="AR22" s="72"/>
      <c r="AS22" s="9" t="s">
        <v>50</v>
      </c>
      <c r="AT22" s="9">
        <v>0.8</v>
      </c>
    </row>
    <row r="23" spans="1:47" x14ac:dyDescent="0.25">
      <c r="A23" s="4"/>
      <c r="W23" s="16">
        <v>7.0000000000000007E-2</v>
      </c>
      <c r="X23" s="55"/>
      <c r="AM23" s="72"/>
      <c r="AN23" s="72"/>
      <c r="AO23" s="72"/>
      <c r="AP23" s="72"/>
      <c r="AQ23" s="72"/>
      <c r="AR23" s="72"/>
      <c r="AS23" s="9" t="s">
        <v>60</v>
      </c>
      <c r="AT23" s="9">
        <f>210*3600*24/12</f>
        <v>1512000</v>
      </c>
    </row>
    <row r="24" spans="1:47" x14ac:dyDescent="0.25">
      <c r="A24" s="4"/>
      <c r="F24" s="1"/>
      <c r="AM24" s="9"/>
      <c r="AN24" s="9"/>
      <c r="AO24" s="9"/>
      <c r="AP24" s="9"/>
      <c r="AQ24" s="9"/>
      <c r="AR24" s="9"/>
      <c r="AS24" s="9" t="s">
        <v>58</v>
      </c>
      <c r="AT24" s="9">
        <v>5</v>
      </c>
    </row>
    <row r="25" spans="1:47" x14ac:dyDescent="0.25">
      <c r="A25" s="126" t="s">
        <v>72</v>
      </c>
      <c r="B25" s="7" t="s">
        <v>0</v>
      </c>
      <c r="C25" s="7" t="s">
        <v>1</v>
      </c>
      <c r="D25" s="7" t="s">
        <v>34</v>
      </c>
      <c r="E25" s="7" t="s">
        <v>21</v>
      </c>
      <c r="F25" s="7" t="s">
        <v>22</v>
      </c>
      <c r="G25" s="7" t="s">
        <v>64</v>
      </c>
      <c r="H25" s="7" t="s">
        <v>65</v>
      </c>
      <c r="I25" s="7" t="s">
        <v>66</v>
      </c>
      <c r="J25" s="7" t="s">
        <v>24</v>
      </c>
      <c r="K25" s="7" t="s">
        <v>27</v>
      </c>
      <c r="L25" s="7" t="s">
        <v>43</v>
      </c>
      <c r="M25" s="7" t="s">
        <v>45</v>
      </c>
      <c r="R25" s="3"/>
      <c r="S25" s="2"/>
      <c r="AM25" s="11"/>
      <c r="AN25" s="11"/>
      <c r="AO25" s="11"/>
      <c r="AP25" s="11"/>
      <c r="AQ25" s="11"/>
      <c r="AR25" s="11"/>
      <c r="AS25" s="9" t="s">
        <v>59</v>
      </c>
      <c r="AT25" s="9">
        <f>1/59</f>
        <v>1.6949152542372881E-2</v>
      </c>
    </row>
    <row r="26" spans="1:47" x14ac:dyDescent="0.25">
      <c r="A26" s="126"/>
      <c r="B26">
        <v>1</v>
      </c>
      <c r="C26" t="s">
        <v>30</v>
      </c>
      <c r="D26" t="s">
        <v>67</v>
      </c>
      <c r="E26" s="33">
        <f>SUM($K$27,$I$15:$I$20,$AI$5:$AI$12)*AA16</f>
        <v>275.062508976402</v>
      </c>
      <c r="F26" s="33">
        <f>SUM(K15:K20,F27,AD5:AD12)</f>
        <v>18.715390759677867</v>
      </c>
      <c r="G26" s="33" t="s">
        <v>32</v>
      </c>
      <c r="H26" s="33" t="s">
        <v>32</v>
      </c>
      <c r="I26" s="33" t="s">
        <v>32</v>
      </c>
      <c r="J26" s="33" t="s">
        <v>32</v>
      </c>
      <c r="K26" s="33" t="s">
        <v>32</v>
      </c>
      <c r="L26" s="33" t="s">
        <v>32</v>
      </c>
      <c r="M26" s="33" t="s">
        <v>32</v>
      </c>
      <c r="AM26" s="12"/>
      <c r="AN26" s="12"/>
      <c r="AO26" s="12"/>
      <c r="AP26" s="12"/>
      <c r="AQ26" s="12"/>
      <c r="AR26" s="12"/>
      <c r="AS26" s="9"/>
      <c r="AT26" s="9"/>
    </row>
    <row r="27" spans="1:47" x14ac:dyDescent="0.25">
      <c r="A27" s="126"/>
      <c r="B27">
        <v>1</v>
      </c>
      <c r="C27" t="s">
        <v>30</v>
      </c>
      <c r="D27" t="s">
        <v>68</v>
      </c>
      <c r="E27" s="33">
        <f>E28*$K$27</f>
        <v>165.74751921062509</v>
      </c>
      <c r="F27" s="33">
        <f>F28*$K$27</f>
        <v>13.380040196017676</v>
      </c>
      <c r="G27" s="33">
        <f>G28*$K$27</f>
        <v>11.4359317914681</v>
      </c>
      <c r="H27" s="33" t="s">
        <v>32</v>
      </c>
      <c r="I27" s="33" t="s">
        <v>32</v>
      </c>
      <c r="J27" s="33" t="s">
        <v>32</v>
      </c>
      <c r="K27" s="1">
        <f>$P$31/$O$28/(1+$E$28*$E$31+$F$28*$F$31+$G$28*$G$31)</f>
        <v>3.7569437687741687E-2</v>
      </c>
      <c r="L27" s="1">
        <f>L28*K27</f>
        <v>1.8784718843870845E-4</v>
      </c>
      <c r="M27" s="33">
        <f>M28*$K$27</f>
        <v>0.18784718843870843</v>
      </c>
      <c r="O27" s="20" t="s">
        <v>69</v>
      </c>
      <c r="P27" s="20" t="s">
        <v>129</v>
      </c>
      <c r="Q27" s="20" t="s">
        <v>128</v>
      </c>
      <c r="R27" s="127" t="s">
        <v>46</v>
      </c>
      <c r="S27" s="9" t="s">
        <v>47</v>
      </c>
      <c r="T27" s="10">
        <v>2.6499999999999999E-8</v>
      </c>
      <c r="AM27" s="12"/>
      <c r="AN27" s="12"/>
      <c r="AO27" s="12"/>
      <c r="AP27" s="12"/>
      <c r="AQ27" s="12"/>
      <c r="AR27" s="12"/>
      <c r="AS27" s="9"/>
      <c r="AT27" s="9"/>
    </row>
    <row r="28" spans="1:47" x14ac:dyDescent="0.25">
      <c r="E28" s="79">
        <f>AA16</f>
        <v>4411.7647058823532</v>
      </c>
      <c r="F28" s="80">
        <f>(($Q$28/100)*(1+$E$28*$E$31)-$L$28)/((1+1/$P$28)*(14*10^-6-$J$31*$Q$28/100))</f>
        <v>356.14161455451784</v>
      </c>
      <c r="G28" s="80">
        <f>F28/$P$28</f>
        <v>304.39454235428877</v>
      </c>
      <c r="H28" s="21"/>
      <c r="I28" s="21"/>
      <c r="J28" s="21"/>
      <c r="K28" s="21"/>
      <c r="L28" s="82">
        <v>5.0000000000000001E-3</v>
      </c>
      <c r="M28" s="22">
        <v>5</v>
      </c>
      <c r="O28" s="16">
        <v>0.8</v>
      </c>
      <c r="P28" s="16">
        <v>1.17</v>
      </c>
      <c r="Q28" s="16">
        <v>1.2</v>
      </c>
      <c r="R28" s="127"/>
      <c r="S28" s="9" t="s">
        <v>48</v>
      </c>
      <c r="T28" s="9">
        <v>0.106</v>
      </c>
      <c r="AM28" s="12" t="s">
        <v>73</v>
      </c>
      <c r="AN28" s="12"/>
      <c r="AO28" s="12"/>
      <c r="AP28" s="12"/>
      <c r="AQ28" s="12"/>
      <c r="AR28" s="12"/>
      <c r="AS28" s="9"/>
      <c r="AT28" s="9"/>
    </row>
    <row r="29" spans="1:47" x14ac:dyDescent="0.25">
      <c r="F29" s="1"/>
      <c r="R29" s="127"/>
      <c r="S29" s="9" t="s">
        <v>49</v>
      </c>
      <c r="T29" s="9">
        <v>1.28</v>
      </c>
      <c r="W29" s="73" t="s">
        <v>284</v>
      </c>
      <c r="X29" s="74">
        <v>180</v>
      </c>
      <c r="AM29" s="13" t="s">
        <v>74</v>
      </c>
      <c r="AN29" s="13"/>
      <c r="AO29" s="13"/>
      <c r="AP29" s="13"/>
      <c r="AQ29" s="13"/>
      <c r="AR29" s="13"/>
      <c r="AS29" s="9"/>
      <c r="AT29" s="9"/>
    </row>
    <row r="30" spans="1:47" x14ac:dyDescent="0.25">
      <c r="D30" s="32" t="s">
        <v>124</v>
      </c>
      <c r="F30" s="1"/>
      <c r="R30" s="127"/>
      <c r="S30" s="9" t="s">
        <v>50</v>
      </c>
      <c r="T30" s="9">
        <v>0.8</v>
      </c>
      <c r="W30" s="73" t="s">
        <v>267</v>
      </c>
      <c r="X30" s="74">
        <v>340</v>
      </c>
      <c r="AM30" s="13"/>
      <c r="AN30" s="13"/>
      <c r="AO30" s="13"/>
      <c r="AP30" s="13"/>
      <c r="AQ30" s="13"/>
      <c r="AR30" s="13"/>
      <c r="AS30" s="9"/>
      <c r="AT30" s="9"/>
    </row>
    <row r="31" spans="1:47" x14ac:dyDescent="0.25">
      <c r="D31" s="23" t="s">
        <v>125</v>
      </c>
      <c r="E31" s="23">
        <f xml:space="preserve"> (0.000001*12) / 0.42</f>
        <v>2.8571428571428574E-5</v>
      </c>
      <c r="F31" s="24">
        <f>( 0.000001*14) / 0.135</f>
        <v>1.037037037037037E-4</v>
      </c>
      <c r="G31" s="24">
        <f>62*10^-6</f>
        <v>6.2000000000000003E-5</v>
      </c>
      <c r="J31" s="24">
        <f>( 0.000001*14) / 0.151</f>
        <v>9.2715231788079476E-5</v>
      </c>
      <c r="O31" s="49" t="s">
        <v>243</v>
      </c>
      <c r="P31" s="50">
        <f t="array" ref="P31">SUM(I15:I20,AI5:AI12)+SUM(AD5:AD12*F31,K15:K20*F31)+SUM(AF5:AF12*J31,L15:L20*J31)+SUM(AC5:AC12*E31,N15:N20*E31)</f>
        <v>3.5521334871089626E-2</v>
      </c>
      <c r="R31" s="127"/>
      <c r="S31" s="9" t="s">
        <v>51</v>
      </c>
      <c r="T31" s="9">
        <f>271*3600 * 24 /12</f>
        <v>1951200</v>
      </c>
      <c r="W31" s="49" t="s">
        <v>268</v>
      </c>
      <c r="X31" s="51">
        <v>12</v>
      </c>
      <c r="AM31" s="12" t="s">
        <v>75</v>
      </c>
      <c r="AN31" s="12"/>
      <c r="AO31" s="12"/>
      <c r="AP31" s="12"/>
      <c r="AQ31" s="12"/>
      <c r="AR31" s="12"/>
      <c r="AS31" s="9"/>
      <c r="AT31" s="9"/>
    </row>
    <row r="32" spans="1:47" x14ac:dyDescent="0.25">
      <c r="D32" s="23" t="s">
        <v>76</v>
      </c>
      <c r="E32" s="23">
        <f>E26*E31</f>
        <v>7.8589288278972016E-3</v>
      </c>
      <c r="F32" s="24">
        <f>F26*F31</f>
        <v>1.9408553380406675E-3</v>
      </c>
      <c r="G32" s="24"/>
      <c r="O32" s="49" t="s">
        <v>244</v>
      </c>
      <c r="P32" s="50">
        <f>K27+E27*E31+F27*F31+G27*G31</f>
        <v>4.4401668588862034E-2</v>
      </c>
      <c r="R32" s="13"/>
      <c r="S32" s="11" t="s">
        <v>52</v>
      </c>
      <c r="T32" s="9">
        <v>1.557936E-2</v>
      </c>
      <c r="W32" s="49" t="s">
        <v>142</v>
      </c>
      <c r="X32" s="51">
        <v>14</v>
      </c>
    </row>
    <row r="33" spans="15:24" x14ac:dyDescent="0.25">
      <c r="O33" s="51"/>
      <c r="P33" s="52"/>
      <c r="W33" s="49" t="s">
        <v>269</v>
      </c>
      <c r="X33" s="51">
        <v>12</v>
      </c>
    </row>
    <row r="34" spans="15:24" x14ac:dyDescent="0.25">
      <c r="O34" s="49" t="s">
        <v>245</v>
      </c>
      <c r="P34" s="53">
        <f>1-SUM(AI5:AI12,I15:I20)/P31</f>
        <v>0.30244557427722141</v>
      </c>
      <c r="W34" s="49" t="s">
        <v>328</v>
      </c>
      <c r="X34" s="77">
        <v>0.2</v>
      </c>
    </row>
    <row r="35" spans="15:24" x14ac:dyDescent="0.25">
      <c r="O35" s="49" t="s">
        <v>246</v>
      </c>
      <c r="P35" s="53">
        <f>1-K27/P32</f>
        <v>0.15387329166350705</v>
      </c>
      <c r="Q35" s="1"/>
    </row>
    <row r="36" spans="15:24" x14ac:dyDescent="0.25">
      <c r="P36" s="1"/>
      <c r="Q36" s="1"/>
    </row>
  </sheetData>
  <mergeCells count="4">
    <mergeCell ref="A4:A12"/>
    <mergeCell ref="A14:A20"/>
    <mergeCell ref="A25:A27"/>
    <mergeCell ref="R27:R3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"/>
  <sheetViews>
    <sheetView topLeftCell="A37" workbookViewId="0">
      <selection activeCell="A36" sqref="A36"/>
    </sheetView>
  </sheetViews>
  <sheetFormatPr baseColWidth="10" defaultRowHeight="15" x14ac:dyDescent="0.25"/>
  <cols>
    <col min="4" max="4" width="12.7109375" bestFit="1" customWidth="1"/>
  </cols>
  <sheetData>
    <row r="1" spans="1:6" s="31" customFormat="1" x14ac:dyDescent="0.25">
      <c r="A1" s="7" t="s">
        <v>353</v>
      </c>
    </row>
    <row r="3" spans="1:6" x14ac:dyDescent="0.25">
      <c r="A3" s="7" t="s">
        <v>363</v>
      </c>
      <c r="B3" s="7" t="s">
        <v>354</v>
      </c>
      <c r="C3" s="7" t="s">
        <v>358</v>
      </c>
      <c r="D3" s="7" t="s">
        <v>380</v>
      </c>
      <c r="E3" s="7" t="s">
        <v>341</v>
      </c>
      <c r="F3" s="7" t="s">
        <v>342</v>
      </c>
    </row>
    <row r="4" spans="1:6" x14ac:dyDescent="0.25">
      <c r="A4" t="s">
        <v>364</v>
      </c>
      <c r="B4" t="s">
        <v>350</v>
      </c>
      <c r="C4">
        <v>1</v>
      </c>
      <c r="D4">
        <v>13.661408</v>
      </c>
      <c r="E4">
        <v>0.5536122</v>
      </c>
      <c r="F4">
        <v>3</v>
      </c>
    </row>
    <row r="5" spans="1:6" x14ac:dyDescent="0.25">
      <c r="A5" t="s">
        <v>364</v>
      </c>
      <c r="B5" t="s">
        <v>350</v>
      </c>
      <c r="C5">
        <v>2</v>
      </c>
      <c r="D5">
        <v>15.703867000000001</v>
      </c>
      <c r="E5">
        <v>3.0027059</v>
      </c>
      <c r="F5">
        <v>3</v>
      </c>
    </row>
    <row r="6" spans="1:6" x14ac:dyDescent="0.25">
      <c r="A6" t="s">
        <v>364</v>
      </c>
      <c r="B6" t="s">
        <v>350</v>
      </c>
      <c r="C6">
        <v>3</v>
      </c>
      <c r="D6">
        <v>23.569088000000001</v>
      </c>
      <c r="E6">
        <v>3.8565361</v>
      </c>
      <c r="F6">
        <v>3</v>
      </c>
    </row>
    <row r="7" spans="1:6" x14ac:dyDescent="0.25">
      <c r="A7" t="s">
        <v>364</v>
      </c>
      <c r="B7" t="s">
        <v>350</v>
      </c>
      <c r="C7">
        <v>4</v>
      </c>
      <c r="D7">
        <v>10.329269</v>
      </c>
      <c r="E7">
        <v>1.7538963999999999</v>
      </c>
      <c r="F7">
        <v>3</v>
      </c>
    </row>
    <row r="8" spans="1:6" x14ac:dyDescent="0.25">
      <c r="A8" t="s">
        <v>364</v>
      </c>
      <c r="B8" t="s">
        <v>350</v>
      </c>
      <c r="C8">
        <v>5</v>
      </c>
      <c r="D8">
        <v>14.054313</v>
      </c>
      <c r="E8">
        <v>1.0468746</v>
      </c>
      <c r="F8">
        <v>3</v>
      </c>
    </row>
    <row r="9" spans="1:6" x14ac:dyDescent="0.25">
      <c r="A9" t="s">
        <v>364</v>
      </c>
      <c r="B9" t="s">
        <v>350</v>
      </c>
      <c r="C9">
        <v>6</v>
      </c>
      <c r="D9">
        <v>14.351167999999999</v>
      </c>
      <c r="E9">
        <v>3.6362709</v>
      </c>
      <c r="F9">
        <v>3</v>
      </c>
    </row>
    <row r="10" spans="1:6" x14ac:dyDescent="0.25">
      <c r="A10" t="s">
        <v>364</v>
      </c>
      <c r="B10" t="s">
        <v>350</v>
      </c>
      <c r="C10">
        <v>7</v>
      </c>
      <c r="D10">
        <v>20.538433999999999</v>
      </c>
      <c r="E10">
        <v>0.88472550000000005</v>
      </c>
      <c r="F10">
        <v>3</v>
      </c>
    </row>
    <row r="11" spans="1:6" x14ac:dyDescent="0.25">
      <c r="A11" t="s">
        <v>364</v>
      </c>
      <c r="B11" t="s">
        <v>350</v>
      </c>
      <c r="C11">
        <v>8</v>
      </c>
      <c r="D11" t="s">
        <v>355</v>
      </c>
      <c r="E11" t="s">
        <v>32</v>
      </c>
      <c r="F11">
        <v>0</v>
      </c>
    </row>
    <row r="12" spans="1:6" x14ac:dyDescent="0.25">
      <c r="A12" t="s">
        <v>364</v>
      </c>
      <c r="B12" t="s">
        <v>350</v>
      </c>
      <c r="C12">
        <v>9</v>
      </c>
      <c r="D12">
        <v>31.447316000000001</v>
      </c>
      <c r="E12">
        <v>3.2428233</v>
      </c>
      <c r="F12">
        <v>3</v>
      </c>
    </row>
    <row r="13" spans="1:6" x14ac:dyDescent="0.25">
      <c r="A13" t="s">
        <v>364</v>
      </c>
      <c r="B13" t="s">
        <v>350</v>
      </c>
      <c r="C13">
        <v>10</v>
      </c>
      <c r="D13">
        <v>30.662106000000001</v>
      </c>
      <c r="E13">
        <v>2.5088933999999998</v>
      </c>
      <c r="F13">
        <v>3</v>
      </c>
    </row>
    <row r="14" spans="1:6" x14ac:dyDescent="0.25">
      <c r="A14" t="s">
        <v>364</v>
      </c>
      <c r="B14" t="s">
        <v>350</v>
      </c>
      <c r="C14">
        <v>11</v>
      </c>
      <c r="D14">
        <v>33.272495999999997</v>
      </c>
      <c r="E14">
        <v>1.1868879000000001</v>
      </c>
      <c r="F14">
        <v>3</v>
      </c>
    </row>
    <row r="15" spans="1:6" x14ac:dyDescent="0.25">
      <c r="A15" t="s">
        <v>364</v>
      </c>
      <c r="B15" t="s">
        <v>350</v>
      </c>
      <c r="C15">
        <v>12</v>
      </c>
      <c r="D15">
        <v>46.751078999999997</v>
      </c>
      <c r="E15">
        <v>4.8028668999999997</v>
      </c>
      <c r="F15">
        <v>3</v>
      </c>
    </row>
    <row r="16" spans="1:6" x14ac:dyDescent="0.25">
      <c r="A16" s="83" t="s">
        <v>365</v>
      </c>
      <c r="B16" t="s">
        <v>350</v>
      </c>
      <c r="C16">
        <v>9</v>
      </c>
      <c r="D16">
        <v>2.3400248399999999</v>
      </c>
      <c r="E16">
        <v>0.12078436400000001</v>
      </c>
      <c r="F16">
        <v>3</v>
      </c>
    </row>
    <row r="17" spans="1:6" x14ac:dyDescent="0.25">
      <c r="A17" s="83" t="s">
        <v>365</v>
      </c>
      <c r="B17" t="s">
        <v>350</v>
      </c>
      <c r="C17">
        <v>10</v>
      </c>
      <c r="D17">
        <v>1.6743436199999999</v>
      </c>
      <c r="E17">
        <v>7.1089586999999996E-2</v>
      </c>
      <c r="F17">
        <v>3</v>
      </c>
    </row>
    <row r="18" spans="1:6" x14ac:dyDescent="0.25">
      <c r="A18" s="83" t="s">
        <v>365</v>
      </c>
      <c r="B18" t="s">
        <v>350</v>
      </c>
      <c r="C18">
        <v>11</v>
      </c>
      <c r="D18">
        <v>1.63348765</v>
      </c>
      <c r="E18">
        <v>1.1986480000000001E-2</v>
      </c>
      <c r="F18">
        <v>3</v>
      </c>
    </row>
    <row r="19" spans="1:6" x14ac:dyDescent="0.25">
      <c r="A19" s="83" t="s">
        <v>365</v>
      </c>
      <c r="B19" t="s">
        <v>350</v>
      </c>
      <c r="C19">
        <v>12</v>
      </c>
      <c r="D19">
        <v>1.38397547</v>
      </c>
      <c r="E19">
        <v>8.1071995999999993E-2</v>
      </c>
      <c r="F19">
        <v>3</v>
      </c>
    </row>
    <row r="20" spans="1:6" x14ac:dyDescent="0.25">
      <c r="A20" s="83" t="s">
        <v>365</v>
      </c>
      <c r="B20" t="s">
        <v>350</v>
      </c>
      <c r="C20">
        <v>13</v>
      </c>
      <c r="D20">
        <v>0.73186410000000002</v>
      </c>
      <c r="E20">
        <v>9.1536522999999995E-2</v>
      </c>
      <c r="F20">
        <v>3</v>
      </c>
    </row>
    <row r="21" spans="1:6" x14ac:dyDescent="0.25">
      <c r="A21" s="83" t="s">
        <v>366</v>
      </c>
      <c r="B21" t="s">
        <v>350</v>
      </c>
      <c r="C21">
        <v>1</v>
      </c>
      <c r="D21">
        <v>6.0501390000000002E-2</v>
      </c>
      <c r="E21">
        <v>1.4103849E-2</v>
      </c>
      <c r="F21">
        <v>3</v>
      </c>
    </row>
    <row r="22" spans="1:6" x14ac:dyDescent="0.25">
      <c r="A22" s="83" t="s">
        <v>366</v>
      </c>
      <c r="B22" t="s">
        <v>350</v>
      </c>
      <c r="C22">
        <v>2</v>
      </c>
      <c r="D22">
        <v>5.0290540000000002E-2</v>
      </c>
      <c r="E22">
        <v>8.7913969999999994E-3</v>
      </c>
      <c r="F22">
        <v>3</v>
      </c>
    </row>
    <row r="23" spans="1:6" x14ac:dyDescent="0.25">
      <c r="A23" s="83" t="s">
        <v>366</v>
      </c>
      <c r="B23" t="s">
        <v>350</v>
      </c>
      <c r="C23">
        <v>3</v>
      </c>
      <c r="D23">
        <v>5.5566740000000003E-2</v>
      </c>
      <c r="E23">
        <v>4.0093180000000004E-3</v>
      </c>
      <c r="F23">
        <v>3</v>
      </c>
    </row>
    <row r="24" spans="1:6" x14ac:dyDescent="0.25">
      <c r="A24" s="83" t="s">
        <v>366</v>
      </c>
      <c r="B24" t="s">
        <v>350</v>
      </c>
      <c r="C24">
        <v>4</v>
      </c>
      <c r="D24">
        <v>3.3879310000000003E-2</v>
      </c>
      <c r="E24">
        <v>1.3544911E-2</v>
      </c>
      <c r="F24">
        <v>3</v>
      </c>
    </row>
    <row r="25" spans="1:6" x14ac:dyDescent="0.25">
      <c r="A25" s="83" t="s">
        <v>366</v>
      </c>
      <c r="B25" t="s">
        <v>350</v>
      </c>
      <c r="C25">
        <v>5</v>
      </c>
      <c r="D25">
        <v>8.531379E-2</v>
      </c>
      <c r="E25">
        <v>4.6143870000000002E-3</v>
      </c>
      <c r="F25">
        <v>3</v>
      </c>
    </row>
    <row r="26" spans="1:6" x14ac:dyDescent="0.25">
      <c r="A26" s="83" t="s">
        <v>366</v>
      </c>
      <c r="B26" t="s">
        <v>350</v>
      </c>
      <c r="C26">
        <v>6</v>
      </c>
      <c r="D26">
        <v>0.19132694</v>
      </c>
      <c r="E26">
        <v>7.3463764000000001E-2</v>
      </c>
      <c r="F26">
        <v>3</v>
      </c>
    </row>
    <row r="27" spans="1:6" x14ac:dyDescent="0.25">
      <c r="A27" s="83" t="s">
        <v>366</v>
      </c>
      <c r="B27" t="s">
        <v>350</v>
      </c>
      <c r="C27">
        <v>7</v>
      </c>
      <c r="D27">
        <v>0.23562635000000001</v>
      </c>
      <c r="E27">
        <v>2.1642937000000001E-2</v>
      </c>
      <c r="F27">
        <v>3</v>
      </c>
    </row>
    <row r="28" spans="1:6" x14ac:dyDescent="0.25">
      <c r="A28" s="83" t="s">
        <v>366</v>
      </c>
      <c r="B28" t="s">
        <v>350</v>
      </c>
      <c r="C28">
        <v>8</v>
      </c>
      <c r="D28" t="s">
        <v>355</v>
      </c>
      <c r="E28" t="s">
        <v>32</v>
      </c>
      <c r="F28">
        <v>0</v>
      </c>
    </row>
    <row r="29" spans="1:6" x14ac:dyDescent="0.25">
      <c r="A29" s="83" t="s">
        <v>366</v>
      </c>
      <c r="B29" t="s">
        <v>350</v>
      </c>
      <c r="C29">
        <v>9</v>
      </c>
      <c r="D29">
        <v>0.43231789999999998</v>
      </c>
      <c r="E29">
        <v>4.3397941000000002E-2</v>
      </c>
      <c r="F29">
        <v>3</v>
      </c>
    </row>
    <row r="30" spans="1:6" x14ac:dyDescent="0.25">
      <c r="A30" s="83" t="s">
        <v>366</v>
      </c>
      <c r="B30" t="s">
        <v>350</v>
      </c>
      <c r="C30">
        <v>10</v>
      </c>
      <c r="D30">
        <v>0.46986854</v>
      </c>
      <c r="E30">
        <v>2.789848E-2</v>
      </c>
      <c r="F30">
        <v>3</v>
      </c>
    </row>
    <row r="31" spans="1:6" x14ac:dyDescent="0.25">
      <c r="A31" s="83" t="s">
        <v>366</v>
      </c>
      <c r="B31" t="s">
        <v>350</v>
      </c>
      <c r="C31">
        <v>11</v>
      </c>
      <c r="D31">
        <v>0.65604545999999997</v>
      </c>
      <c r="E31">
        <v>2.9542822E-2</v>
      </c>
      <c r="F31">
        <v>3</v>
      </c>
    </row>
    <row r="32" spans="1:6" x14ac:dyDescent="0.25">
      <c r="A32" s="83" t="s">
        <v>366</v>
      </c>
      <c r="B32" t="s">
        <v>350</v>
      </c>
      <c r="C32">
        <v>12</v>
      </c>
      <c r="D32">
        <v>0.77772180000000002</v>
      </c>
      <c r="E32">
        <v>7.0290140000000001E-3</v>
      </c>
      <c r="F32">
        <v>3</v>
      </c>
    </row>
    <row r="33" spans="1:7" x14ac:dyDescent="0.25">
      <c r="A33" s="83"/>
    </row>
    <row r="45" spans="1:7" s="7" customFormat="1" x14ac:dyDescent="0.25">
      <c r="A45" s="7" t="s">
        <v>367</v>
      </c>
    </row>
    <row r="47" spans="1:7" x14ac:dyDescent="0.25">
      <c r="G47" s="89" t="s">
        <v>376</v>
      </c>
    </row>
    <row r="48" spans="1:7" x14ac:dyDescent="0.25">
      <c r="A48" s="7" t="s">
        <v>80</v>
      </c>
      <c r="B48" s="7" t="s">
        <v>81</v>
      </c>
      <c r="C48" s="7" t="s">
        <v>82</v>
      </c>
      <c r="D48" s="7" t="s">
        <v>358</v>
      </c>
      <c r="E48" s="7" t="s">
        <v>78</v>
      </c>
      <c r="F48" s="7" t="s">
        <v>79</v>
      </c>
      <c r="G48" s="7" t="s">
        <v>379</v>
      </c>
    </row>
    <row r="49" spans="1:7" x14ac:dyDescent="0.25">
      <c r="A49" t="s">
        <v>98</v>
      </c>
      <c r="B49" t="s">
        <v>99</v>
      </c>
      <c r="C49" t="s">
        <v>369</v>
      </c>
      <c r="D49">
        <v>1</v>
      </c>
      <c r="E49" s="25">
        <v>38832</v>
      </c>
      <c r="F49">
        <v>980.7</v>
      </c>
      <c r="G49">
        <v>25.902633999999999</v>
      </c>
    </row>
    <row r="50" spans="1:7" x14ac:dyDescent="0.25">
      <c r="A50" t="s">
        <v>98</v>
      </c>
      <c r="B50" t="s">
        <v>99</v>
      </c>
      <c r="C50" t="s">
        <v>369</v>
      </c>
      <c r="D50">
        <v>2</v>
      </c>
      <c r="E50" s="25">
        <v>38853</v>
      </c>
      <c r="F50">
        <v>1263</v>
      </c>
      <c r="G50">
        <v>19.653082999999999</v>
      </c>
    </row>
    <row r="51" spans="1:7" x14ac:dyDescent="0.25">
      <c r="A51" t="s">
        <v>98</v>
      </c>
      <c r="B51" t="s">
        <v>99</v>
      </c>
      <c r="C51" t="s">
        <v>369</v>
      </c>
      <c r="D51">
        <v>3</v>
      </c>
      <c r="E51" s="25">
        <v>38853</v>
      </c>
      <c r="F51">
        <v>1263</v>
      </c>
      <c r="G51">
        <v>10.145932</v>
      </c>
    </row>
    <row r="52" spans="1:7" x14ac:dyDescent="0.25">
      <c r="A52" t="s">
        <v>98</v>
      </c>
      <c r="B52" t="s">
        <v>99</v>
      </c>
      <c r="C52" t="s">
        <v>369</v>
      </c>
      <c r="D52">
        <v>4</v>
      </c>
      <c r="E52" s="25">
        <v>38853</v>
      </c>
      <c r="F52">
        <v>1263</v>
      </c>
      <c r="G52">
        <v>5.5736549999999996</v>
      </c>
    </row>
    <row r="53" spans="1:7" x14ac:dyDescent="0.25">
      <c r="A53" t="s">
        <v>98</v>
      </c>
      <c r="B53" t="s">
        <v>99</v>
      </c>
      <c r="C53" t="s">
        <v>369</v>
      </c>
      <c r="D53">
        <v>5</v>
      </c>
      <c r="E53" s="25">
        <v>38853</v>
      </c>
      <c r="F53">
        <v>1263</v>
      </c>
      <c r="G53">
        <v>12.28243</v>
      </c>
    </row>
    <row r="54" spans="1:7" x14ac:dyDescent="0.25">
      <c r="A54" t="s">
        <v>98</v>
      </c>
      <c r="B54" t="s">
        <v>99</v>
      </c>
      <c r="C54" t="s">
        <v>369</v>
      </c>
      <c r="D54">
        <v>6</v>
      </c>
      <c r="E54" s="25">
        <v>38887</v>
      </c>
      <c r="F54">
        <v>1809.8</v>
      </c>
      <c r="G54">
        <v>25.457221000000001</v>
      </c>
    </row>
    <row r="55" spans="1:7" x14ac:dyDescent="0.25">
      <c r="A55" t="s">
        <v>98</v>
      </c>
      <c r="B55" t="s">
        <v>99</v>
      </c>
      <c r="C55" t="s">
        <v>369</v>
      </c>
      <c r="D55">
        <v>7</v>
      </c>
      <c r="E55" s="25">
        <v>38887</v>
      </c>
      <c r="F55">
        <v>1809.8</v>
      </c>
      <c r="G55">
        <v>25.894082000000001</v>
      </c>
    </row>
    <row r="56" spans="1:7" x14ac:dyDescent="0.25">
      <c r="A56" t="s">
        <v>98</v>
      </c>
      <c r="B56" t="s">
        <v>99</v>
      </c>
      <c r="C56" t="s">
        <v>369</v>
      </c>
      <c r="D56">
        <v>8</v>
      </c>
      <c r="E56" s="25">
        <v>38887</v>
      </c>
      <c r="F56">
        <v>1809.8</v>
      </c>
      <c r="G56">
        <v>34.441034999999999</v>
      </c>
    </row>
    <row r="57" spans="1:7" x14ac:dyDescent="0.25">
      <c r="A57" t="s">
        <v>98</v>
      </c>
      <c r="B57" t="s">
        <v>99</v>
      </c>
      <c r="C57" t="s">
        <v>369</v>
      </c>
      <c r="D57">
        <v>9</v>
      </c>
      <c r="E57" s="25">
        <v>38887</v>
      </c>
      <c r="F57">
        <v>1809.8</v>
      </c>
      <c r="G57">
        <v>36.585642999999997</v>
      </c>
    </row>
    <row r="58" spans="1:7" x14ac:dyDescent="0.25">
      <c r="A58" t="s">
        <v>98</v>
      </c>
      <c r="B58" t="s">
        <v>99</v>
      </c>
      <c r="C58" t="s">
        <v>369</v>
      </c>
      <c r="D58">
        <v>10</v>
      </c>
      <c r="E58" s="25">
        <v>38887</v>
      </c>
      <c r="F58">
        <v>1809.8</v>
      </c>
      <c r="G58">
        <v>43.086790000000001</v>
      </c>
    </row>
    <row r="59" spans="1:7" x14ac:dyDescent="0.25">
      <c r="A59" t="s">
        <v>371</v>
      </c>
      <c r="B59" t="s">
        <v>99</v>
      </c>
      <c r="C59" t="s">
        <v>369</v>
      </c>
      <c r="D59">
        <v>11</v>
      </c>
      <c r="E59" s="25">
        <v>38909</v>
      </c>
      <c r="F59">
        <v>2256</v>
      </c>
      <c r="G59">
        <v>40.075940000000003</v>
      </c>
    </row>
    <row r="60" spans="1:7" x14ac:dyDescent="0.25">
      <c r="A60" t="s">
        <v>98</v>
      </c>
      <c r="B60" t="s">
        <v>99</v>
      </c>
      <c r="C60" t="s">
        <v>370</v>
      </c>
      <c r="D60">
        <v>1</v>
      </c>
      <c r="E60" s="25">
        <v>38798</v>
      </c>
      <c r="F60">
        <v>631.9</v>
      </c>
      <c r="G60">
        <v>32.853205000000003</v>
      </c>
    </row>
    <row r="61" spans="1:7" x14ac:dyDescent="0.25">
      <c r="A61" t="s">
        <v>98</v>
      </c>
      <c r="B61" t="s">
        <v>99</v>
      </c>
      <c r="C61" t="s">
        <v>370</v>
      </c>
      <c r="D61">
        <v>2</v>
      </c>
      <c r="E61" s="25">
        <v>38798</v>
      </c>
      <c r="F61">
        <v>631.9</v>
      </c>
      <c r="G61">
        <v>38.507724000000003</v>
      </c>
    </row>
    <row r="62" spans="1:7" x14ac:dyDescent="0.25">
      <c r="A62" t="s">
        <v>98</v>
      </c>
      <c r="B62" t="s">
        <v>99</v>
      </c>
      <c r="C62" t="s">
        <v>370</v>
      </c>
      <c r="D62">
        <v>3</v>
      </c>
      <c r="E62" s="25">
        <v>38833</v>
      </c>
      <c r="F62">
        <v>995.7</v>
      </c>
      <c r="G62">
        <v>31.95862</v>
      </c>
    </row>
    <row r="63" spans="1:7" x14ac:dyDescent="0.25">
      <c r="A63" t="s">
        <v>98</v>
      </c>
      <c r="B63" t="s">
        <v>99</v>
      </c>
      <c r="C63" t="s">
        <v>370</v>
      </c>
      <c r="D63">
        <v>4</v>
      </c>
      <c r="E63" s="25">
        <v>38833</v>
      </c>
      <c r="F63">
        <v>995.7</v>
      </c>
      <c r="G63">
        <v>15.481076</v>
      </c>
    </row>
    <row r="64" spans="1:7" x14ac:dyDescent="0.25">
      <c r="A64" t="s">
        <v>98</v>
      </c>
      <c r="B64" t="s">
        <v>99</v>
      </c>
      <c r="C64" t="s">
        <v>370</v>
      </c>
      <c r="D64">
        <v>5</v>
      </c>
      <c r="E64" s="25">
        <v>38854</v>
      </c>
      <c r="F64">
        <v>1278.8</v>
      </c>
      <c r="G64">
        <v>12.910653</v>
      </c>
    </row>
    <row r="65" spans="1:17" x14ac:dyDescent="0.25">
      <c r="A65" t="s">
        <v>98</v>
      </c>
      <c r="B65" t="s">
        <v>99</v>
      </c>
      <c r="C65" t="s">
        <v>370</v>
      </c>
      <c r="D65">
        <v>6</v>
      </c>
      <c r="E65" s="25">
        <v>38888</v>
      </c>
      <c r="F65">
        <v>1828.5</v>
      </c>
      <c r="G65">
        <v>18.499383999999999</v>
      </c>
    </row>
    <row r="66" spans="1:17" x14ac:dyDescent="0.25">
      <c r="A66" t="s">
        <v>98</v>
      </c>
      <c r="B66" t="s">
        <v>99</v>
      </c>
      <c r="C66" t="s">
        <v>370</v>
      </c>
      <c r="D66">
        <v>7</v>
      </c>
      <c r="E66" s="25">
        <v>38888</v>
      </c>
      <c r="F66">
        <v>1828.5</v>
      </c>
      <c r="G66">
        <v>24.586870000000001</v>
      </c>
    </row>
    <row r="67" spans="1:17" x14ac:dyDescent="0.25">
      <c r="A67" t="s">
        <v>98</v>
      </c>
      <c r="B67" t="s">
        <v>99</v>
      </c>
      <c r="C67" t="s">
        <v>370</v>
      </c>
      <c r="D67">
        <v>8</v>
      </c>
      <c r="E67" s="25">
        <v>38888</v>
      </c>
      <c r="F67">
        <v>1828.5</v>
      </c>
      <c r="G67">
        <v>34.563093000000002</v>
      </c>
    </row>
    <row r="68" spans="1:17" x14ac:dyDescent="0.25">
      <c r="A68" t="s">
        <v>98</v>
      </c>
      <c r="B68" t="s">
        <v>99</v>
      </c>
      <c r="C68" t="s">
        <v>370</v>
      </c>
      <c r="D68">
        <v>9</v>
      </c>
      <c r="E68" s="25">
        <v>38888</v>
      </c>
      <c r="F68">
        <v>1828.5</v>
      </c>
      <c r="G68">
        <v>35.882379</v>
      </c>
    </row>
    <row r="69" spans="1:17" x14ac:dyDescent="0.25">
      <c r="A69" t="s">
        <v>98</v>
      </c>
      <c r="B69" t="s">
        <v>99</v>
      </c>
      <c r="C69" t="s">
        <v>370</v>
      </c>
      <c r="D69">
        <v>10</v>
      </c>
      <c r="E69" s="25">
        <v>38888</v>
      </c>
      <c r="F69">
        <v>1828.5</v>
      </c>
      <c r="G69">
        <v>44.848154000000001</v>
      </c>
    </row>
    <row r="70" spans="1:17" x14ac:dyDescent="0.25">
      <c r="A70" t="s">
        <v>371</v>
      </c>
      <c r="B70" t="s">
        <v>99</v>
      </c>
      <c r="C70" t="s">
        <v>370</v>
      </c>
      <c r="D70">
        <v>11</v>
      </c>
      <c r="E70" s="25">
        <v>38909</v>
      </c>
      <c r="F70">
        <v>2256</v>
      </c>
      <c r="G70">
        <v>34.644509999999997</v>
      </c>
    </row>
    <row r="72" spans="1:17" x14ac:dyDescent="0.25">
      <c r="E72" s="25"/>
    </row>
    <row r="73" spans="1:17" x14ac:dyDescent="0.25">
      <c r="F73" s="89" t="s">
        <v>376</v>
      </c>
    </row>
    <row r="74" spans="1:17" x14ac:dyDescent="0.25">
      <c r="A74" s="7" t="s">
        <v>80</v>
      </c>
      <c r="B74" s="7" t="s">
        <v>81</v>
      </c>
      <c r="C74" s="7" t="s">
        <v>82</v>
      </c>
      <c r="D74" s="7" t="s">
        <v>358</v>
      </c>
      <c r="E74" s="7" t="s">
        <v>78</v>
      </c>
      <c r="F74" s="7" t="s">
        <v>377</v>
      </c>
      <c r="O74" s="89" t="s">
        <v>376</v>
      </c>
    </row>
    <row r="75" spans="1:17" x14ac:dyDescent="0.25">
      <c r="A75" t="s">
        <v>98</v>
      </c>
      <c r="B75" t="s">
        <v>99</v>
      </c>
      <c r="C75" t="s">
        <v>369</v>
      </c>
      <c r="D75">
        <v>1</v>
      </c>
      <c r="E75" s="25">
        <v>38797</v>
      </c>
      <c r="F75">
        <v>1.8339999999999999E-3</v>
      </c>
      <c r="H75" s="83"/>
      <c r="J75" s="7" t="s">
        <v>80</v>
      </c>
      <c r="K75" s="7" t="s">
        <v>81</v>
      </c>
      <c r="L75" s="7" t="s">
        <v>82</v>
      </c>
      <c r="M75" s="7" t="s">
        <v>358</v>
      </c>
      <c r="N75" s="7" t="s">
        <v>78</v>
      </c>
      <c r="O75" s="7" t="s">
        <v>378</v>
      </c>
    </row>
    <row r="76" spans="1:17" x14ac:dyDescent="0.25">
      <c r="A76" t="s">
        <v>98</v>
      </c>
      <c r="B76" t="s">
        <v>99</v>
      </c>
      <c r="C76" t="s">
        <v>369</v>
      </c>
      <c r="D76">
        <v>2</v>
      </c>
      <c r="E76" s="25">
        <v>38797</v>
      </c>
      <c r="F76">
        <v>2.3493329999999999E-3</v>
      </c>
      <c r="H76" s="83"/>
      <c r="J76" t="s">
        <v>98</v>
      </c>
      <c r="K76" t="s">
        <v>99</v>
      </c>
      <c r="L76" t="s">
        <v>369</v>
      </c>
      <c r="M76">
        <v>7</v>
      </c>
      <c r="N76" s="25">
        <v>38887</v>
      </c>
      <c r="O76">
        <v>3.10525E-2</v>
      </c>
    </row>
    <row r="77" spans="1:17" x14ac:dyDescent="0.25">
      <c r="A77" t="s">
        <v>98</v>
      </c>
      <c r="B77" t="s">
        <v>99</v>
      </c>
      <c r="C77" t="s">
        <v>369</v>
      </c>
      <c r="D77">
        <v>3</v>
      </c>
      <c r="E77" s="25">
        <v>38797</v>
      </c>
      <c r="F77">
        <v>3.1960000000000001E-3</v>
      </c>
      <c r="H77" s="83"/>
      <c r="J77" t="s">
        <v>371</v>
      </c>
      <c r="K77" t="s">
        <v>99</v>
      </c>
      <c r="L77" t="s">
        <v>369</v>
      </c>
      <c r="M77">
        <v>8</v>
      </c>
      <c r="N77" s="25">
        <v>38909</v>
      </c>
      <c r="O77">
        <v>6.3979999999999995E-2</v>
      </c>
    </row>
    <row r="78" spans="1:17" x14ac:dyDescent="0.25">
      <c r="A78" t="s">
        <v>98</v>
      </c>
      <c r="B78" t="s">
        <v>99</v>
      </c>
      <c r="C78" t="s">
        <v>369</v>
      </c>
      <c r="D78">
        <v>4</v>
      </c>
      <c r="E78" s="25">
        <v>38797</v>
      </c>
      <c r="F78">
        <v>4.9979999999999998E-3</v>
      </c>
      <c r="H78" s="83"/>
      <c r="J78" t="s">
        <v>371</v>
      </c>
      <c r="K78" t="s">
        <v>99</v>
      </c>
      <c r="L78" t="s">
        <v>369</v>
      </c>
      <c r="M78">
        <v>9</v>
      </c>
      <c r="N78" s="25">
        <v>38909</v>
      </c>
      <c r="O78">
        <v>9.7726670000000002E-2</v>
      </c>
    </row>
    <row r="79" spans="1:17" x14ac:dyDescent="0.25">
      <c r="A79" t="s">
        <v>98</v>
      </c>
      <c r="B79" t="s">
        <v>99</v>
      </c>
      <c r="C79" t="s">
        <v>369</v>
      </c>
      <c r="D79">
        <v>5</v>
      </c>
      <c r="E79" s="25">
        <v>38797</v>
      </c>
      <c r="F79">
        <v>7.2553330000000001E-3</v>
      </c>
      <c r="H79" s="83"/>
      <c r="J79" t="s">
        <v>371</v>
      </c>
      <c r="K79" t="s">
        <v>99</v>
      </c>
      <c r="L79" t="s">
        <v>369</v>
      </c>
      <c r="M79">
        <v>10</v>
      </c>
      <c r="N79" s="25">
        <v>38909</v>
      </c>
      <c r="O79">
        <v>0.13647999999999999</v>
      </c>
      <c r="P79" s="7" t="s">
        <v>382</v>
      </c>
      <c r="Q79" s="90" t="s">
        <v>383</v>
      </c>
    </row>
    <row r="80" spans="1:17" x14ac:dyDescent="0.25">
      <c r="A80" t="s">
        <v>98</v>
      </c>
      <c r="B80" t="s">
        <v>99</v>
      </c>
      <c r="C80" t="s">
        <v>369</v>
      </c>
      <c r="D80">
        <v>6</v>
      </c>
      <c r="E80" s="25">
        <v>38887</v>
      </c>
      <c r="F80">
        <v>1.0602667E-2</v>
      </c>
      <c r="H80" s="83"/>
      <c r="J80" t="s">
        <v>371</v>
      </c>
      <c r="K80" t="s">
        <v>99</v>
      </c>
      <c r="L80" t="s">
        <v>369</v>
      </c>
      <c r="M80">
        <v>11</v>
      </c>
      <c r="N80" s="25">
        <v>38909</v>
      </c>
      <c r="O80">
        <v>0.16841333</v>
      </c>
      <c r="P80">
        <v>1.0067114100000001E-3</v>
      </c>
    </row>
    <row r="81" spans="1:17" x14ac:dyDescent="0.25">
      <c r="A81" t="s">
        <v>98</v>
      </c>
      <c r="B81" t="s">
        <v>99</v>
      </c>
      <c r="C81" t="s">
        <v>369</v>
      </c>
      <c r="D81">
        <v>7</v>
      </c>
      <c r="E81" s="25">
        <v>38887</v>
      </c>
      <c r="F81">
        <v>2.4993333E-2</v>
      </c>
      <c r="H81" s="83"/>
      <c r="J81" t="s">
        <v>98</v>
      </c>
      <c r="K81" t="s">
        <v>99</v>
      </c>
      <c r="L81" t="s">
        <v>370</v>
      </c>
      <c r="M81">
        <v>7</v>
      </c>
      <c r="N81" s="25">
        <v>38888</v>
      </c>
      <c r="O81">
        <v>7.3150000000000003E-3</v>
      </c>
      <c r="P81">
        <v>1.9127516779999999E-2</v>
      </c>
      <c r="Q81">
        <f t="shared" ref="Q81:Q85" si="0">O81/P81</f>
        <v>0.38243333330381218</v>
      </c>
    </row>
    <row r="82" spans="1:17" x14ac:dyDescent="0.25">
      <c r="A82" t="s">
        <v>98</v>
      </c>
      <c r="B82" t="s">
        <v>99</v>
      </c>
      <c r="C82" t="s">
        <v>369</v>
      </c>
      <c r="D82">
        <v>8</v>
      </c>
      <c r="E82" s="25">
        <v>38887</v>
      </c>
      <c r="F82">
        <v>5.1586667000000003E-2</v>
      </c>
      <c r="H82" s="83"/>
      <c r="J82" t="s">
        <v>371</v>
      </c>
      <c r="K82" t="s">
        <v>99</v>
      </c>
      <c r="L82" t="s">
        <v>370</v>
      </c>
      <c r="M82">
        <v>8</v>
      </c>
      <c r="N82" s="25">
        <v>38909</v>
      </c>
      <c r="O82">
        <v>6.1173329999999998E-2</v>
      </c>
      <c r="P82">
        <v>6.0906040270000003E-2</v>
      </c>
      <c r="Q82">
        <f t="shared" si="0"/>
        <v>1.0043885586522303</v>
      </c>
    </row>
    <row r="83" spans="1:17" x14ac:dyDescent="0.25">
      <c r="A83" t="s">
        <v>371</v>
      </c>
      <c r="B83" t="s">
        <v>99</v>
      </c>
      <c r="C83" t="s">
        <v>369</v>
      </c>
      <c r="D83">
        <v>9</v>
      </c>
      <c r="E83" s="25">
        <v>38909</v>
      </c>
      <c r="F83">
        <v>6.0006667E-2</v>
      </c>
      <c r="H83" s="83"/>
      <c r="J83" t="s">
        <v>371</v>
      </c>
      <c r="K83" t="s">
        <v>99</v>
      </c>
      <c r="L83" t="s">
        <v>370</v>
      </c>
      <c r="M83">
        <v>9</v>
      </c>
      <c r="N83" s="25">
        <v>38909</v>
      </c>
      <c r="O83">
        <v>8.5533330000000005E-2</v>
      </c>
      <c r="P83">
        <v>9.7147651009999988E-2</v>
      </c>
      <c r="Q83">
        <f t="shared" si="0"/>
        <v>0.88044671292356358</v>
      </c>
    </row>
    <row r="84" spans="1:17" x14ac:dyDescent="0.25">
      <c r="A84" t="s">
        <v>371</v>
      </c>
      <c r="B84" t="s">
        <v>99</v>
      </c>
      <c r="C84" t="s">
        <v>369</v>
      </c>
      <c r="D84">
        <v>10</v>
      </c>
      <c r="E84" s="25">
        <v>38909</v>
      </c>
      <c r="F84">
        <v>7.7460000000000001E-2</v>
      </c>
      <c r="H84" s="83"/>
      <c r="J84" t="s">
        <v>371</v>
      </c>
      <c r="K84" t="s">
        <v>99</v>
      </c>
      <c r="L84" t="s">
        <v>370</v>
      </c>
      <c r="M84">
        <v>10</v>
      </c>
      <c r="N84" s="25">
        <v>38909</v>
      </c>
      <c r="O84">
        <v>0.1188</v>
      </c>
      <c r="P84">
        <v>0.144966443</v>
      </c>
      <c r="Q84">
        <f t="shared" si="0"/>
        <v>0.81949999973442134</v>
      </c>
    </row>
    <row r="85" spans="1:17" x14ac:dyDescent="0.25">
      <c r="A85" t="s">
        <v>371</v>
      </c>
      <c r="B85" t="s">
        <v>99</v>
      </c>
      <c r="C85" t="s">
        <v>369</v>
      </c>
      <c r="D85">
        <v>11</v>
      </c>
      <c r="E85" s="25">
        <v>38909</v>
      </c>
      <c r="F85">
        <v>9.8566666999999997E-2</v>
      </c>
      <c r="G85" s="90" t="s">
        <v>382</v>
      </c>
      <c r="H85" s="90" t="s">
        <v>381</v>
      </c>
      <c r="J85" t="s">
        <v>371</v>
      </c>
      <c r="K85" t="s">
        <v>99</v>
      </c>
      <c r="L85" t="s">
        <v>370</v>
      </c>
      <c r="M85">
        <v>11</v>
      </c>
      <c r="N85" s="25">
        <v>38909</v>
      </c>
      <c r="O85">
        <v>0.15591332999999999</v>
      </c>
      <c r="P85">
        <v>0.17013422819999999</v>
      </c>
      <c r="Q85">
        <f t="shared" si="0"/>
        <v>0.916413655556231</v>
      </c>
    </row>
    <row r="86" spans="1:17" x14ac:dyDescent="0.25">
      <c r="A86" t="s">
        <v>98</v>
      </c>
      <c r="B86" t="s">
        <v>99</v>
      </c>
      <c r="C86" t="s">
        <v>370</v>
      </c>
      <c r="D86">
        <v>1</v>
      </c>
      <c r="E86" s="25">
        <v>38798</v>
      </c>
      <c r="F86">
        <v>1.8420000000000001E-3</v>
      </c>
      <c r="G86">
        <v>2.8531000000000001E-2</v>
      </c>
      <c r="H86">
        <f>F86/G86</f>
        <v>6.456135431635765E-2</v>
      </c>
    </row>
    <row r="87" spans="1:17" x14ac:dyDescent="0.25">
      <c r="A87" t="s">
        <v>98</v>
      </c>
      <c r="B87" t="s">
        <v>99</v>
      </c>
      <c r="C87" t="s">
        <v>370</v>
      </c>
      <c r="D87">
        <v>2</v>
      </c>
      <c r="E87" s="25">
        <v>38798</v>
      </c>
      <c r="F87">
        <v>2.1619999999999999E-3</v>
      </c>
      <c r="G87">
        <v>2.8731E-2</v>
      </c>
      <c r="H87">
        <f t="shared" ref="H87:H96" si="1">F87/G87</f>
        <v>7.524973025651735E-2</v>
      </c>
    </row>
    <row r="88" spans="1:17" x14ac:dyDescent="0.25">
      <c r="A88" t="s">
        <v>98</v>
      </c>
      <c r="B88" t="s">
        <v>99</v>
      </c>
      <c r="C88" t="s">
        <v>370</v>
      </c>
      <c r="D88">
        <v>3</v>
      </c>
      <c r="E88" s="25">
        <v>38798</v>
      </c>
      <c r="F88">
        <v>2.6826670000000001E-3</v>
      </c>
      <c r="G88">
        <v>2.8645999999999998E-2</v>
      </c>
      <c r="H88">
        <f t="shared" si="1"/>
        <v>9.3648921315366909E-2</v>
      </c>
    </row>
    <row r="89" spans="1:17" x14ac:dyDescent="0.25">
      <c r="A89" t="s">
        <v>98</v>
      </c>
      <c r="B89" t="s">
        <v>99</v>
      </c>
      <c r="C89" t="s">
        <v>370</v>
      </c>
      <c r="D89">
        <v>4</v>
      </c>
      <c r="E89" s="25">
        <v>38798</v>
      </c>
      <c r="F89">
        <v>4.5519999999999996E-3</v>
      </c>
      <c r="G89">
        <v>3.3267000000000005E-2</v>
      </c>
      <c r="H89">
        <f t="shared" si="1"/>
        <v>0.13683229626957644</v>
      </c>
    </row>
    <row r="90" spans="1:17" x14ac:dyDescent="0.25">
      <c r="A90" t="s">
        <v>98</v>
      </c>
      <c r="B90" t="s">
        <v>99</v>
      </c>
      <c r="C90" t="s">
        <v>370</v>
      </c>
      <c r="D90">
        <v>5</v>
      </c>
      <c r="E90" s="25">
        <v>38798</v>
      </c>
      <c r="F90">
        <v>6.1213329999999996E-3</v>
      </c>
      <c r="G90">
        <v>4.0773999999999998E-2</v>
      </c>
      <c r="H90">
        <f t="shared" si="1"/>
        <v>0.15012834159022906</v>
      </c>
    </row>
    <row r="91" spans="1:17" x14ac:dyDescent="0.25">
      <c r="A91" t="s">
        <v>98</v>
      </c>
      <c r="B91" t="s">
        <v>99</v>
      </c>
      <c r="C91" t="s">
        <v>370</v>
      </c>
      <c r="D91">
        <v>6</v>
      </c>
      <c r="E91" s="25">
        <v>38888</v>
      </c>
      <c r="F91">
        <v>8.1806670000000008E-3</v>
      </c>
      <c r="G91">
        <v>6.3255000000000006E-2</v>
      </c>
      <c r="H91">
        <f t="shared" si="1"/>
        <v>0.1293283851078966</v>
      </c>
    </row>
    <row r="92" spans="1:17" x14ac:dyDescent="0.25">
      <c r="A92" t="s">
        <v>98</v>
      </c>
      <c r="B92" t="s">
        <v>99</v>
      </c>
      <c r="C92" t="s">
        <v>370</v>
      </c>
      <c r="D92">
        <v>7</v>
      </c>
      <c r="E92" s="25">
        <v>38888</v>
      </c>
      <c r="F92">
        <v>2.0174167E-2</v>
      </c>
      <c r="G92">
        <v>9.0707999999999997E-2</v>
      </c>
      <c r="H92">
        <f t="shared" si="1"/>
        <v>0.22240780306036953</v>
      </c>
    </row>
    <row r="93" spans="1:17" x14ac:dyDescent="0.25">
      <c r="A93" t="s">
        <v>98</v>
      </c>
      <c r="B93" t="s">
        <v>99</v>
      </c>
      <c r="C93" t="s">
        <v>370</v>
      </c>
      <c r="D93">
        <v>8</v>
      </c>
      <c r="E93" s="25">
        <v>38888</v>
      </c>
      <c r="F93">
        <v>4.6786666999999997E-2</v>
      </c>
      <c r="G93">
        <v>0.12151099999999999</v>
      </c>
      <c r="H93">
        <f t="shared" si="1"/>
        <v>0.38504058891787574</v>
      </c>
    </row>
    <row r="94" spans="1:17" x14ac:dyDescent="0.25">
      <c r="A94" t="s">
        <v>371</v>
      </c>
      <c r="B94" t="s">
        <v>99</v>
      </c>
      <c r="C94" t="s">
        <v>370</v>
      </c>
      <c r="D94">
        <v>9</v>
      </c>
      <c r="E94" s="25">
        <v>38909</v>
      </c>
      <c r="F94">
        <v>6.2586666999999999E-2</v>
      </c>
      <c r="G94">
        <v>0.14056100000000002</v>
      </c>
      <c r="H94">
        <f t="shared" si="1"/>
        <v>0.44526338742609961</v>
      </c>
    </row>
    <row r="95" spans="1:17" x14ac:dyDescent="0.25">
      <c r="A95" t="s">
        <v>371</v>
      </c>
      <c r="B95" t="s">
        <v>99</v>
      </c>
      <c r="C95" t="s">
        <v>370</v>
      </c>
      <c r="D95">
        <v>10</v>
      </c>
      <c r="E95" s="25">
        <v>38909</v>
      </c>
      <c r="F95">
        <v>8.1900000000000001E-2</v>
      </c>
      <c r="G95">
        <v>0.17311099999999999</v>
      </c>
      <c r="H95">
        <f t="shared" si="1"/>
        <v>0.47310685051787588</v>
      </c>
    </row>
    <row r="96" spans="1:17" x14ac:dyDescent="0.25">
      <c r="A96" t="s">
        <v>371</v>
      </c>
      <c r="B96" t="s">
        <v>99</v>
      </c>
      <c r="C96" t="s">
        <v>370</v>
      </c>
      <c r="D96">
        <v>11</v>
      </c>
      <c r="E96" s="25">
        <v>38909</v>
      </c>
      <c r="F96">
        <v>0.108633333</v>
      </c>
      <c r="G96">
        <v>0.18762399999999999</v>
      </c>
      <c r="H96">
        <f t="shared" si="1"/>
        <v>0.57899486739436323</v>
      </c>
    </row>
    <row r="97" spans="1:1" x14ac:dyDescent="0.25">
      <c r="A97" s="87"/>
    </row>
    <row r="98" spans="1:1" x14ac:dyDescent="0.25">
      <c r="A98" s="88" t="s">
        <v>375</v>
      </c>
    </row>
  </sheetData>
  <sortState ref="H76:R93">
    <sortCondition ref="K76:K93"/>
    <sortCondition ref="L76:L93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5" workbookViewId="0">
      <selection activeCell="R63" sqref="R63"/>
    </sheetView>
  </sheetViews>
  <sheetFormatPr baseColWidth="10" defaultRowHeight="15" x14ac:dyDescent="0.25"/>
  <sheetData>
    <row r="1" spans="1:19" s="31" customFormat="1" x14ac:dyDescent="0.25">
      <c r="A1" s="7" t="s">
        <v>353</v>
      </c>
    </row>
    <row r="2" spans="1:19" x14ac:dyDescent="0.25">
      <c r="E2" s="128" t="s">
        <v>357</v>
      </c>
      <c r="F2" s="129"/>
      <c r="G2" s="130"/>
      <c r="H2" s="85"/>
    </row>
    <row r="3" spans="1:19" x14ac:dyDescent="0.25">
      <c r="B3" s="84" t="s">
        <v>354</v>
      </c>
      <c r="C3" s="7" t="s">
        <v>359</v>
      </c>
      <c r="D3" s="7" t="s">
        <v>358</v>
      </c>
      <c r="E3" s="7" t="s">
        <v>340</v>
      </c>
      <c r="F3" s="7" t="s">
        <v>341</v>
      </c>
      <c r="G3" s="7" t="s">
        <v>356</v>
      </c>
      <c r="J3" s="83"/>
    </row>
    <row r="4" spans="1:19" x14ac:dyDescent="0.25">
      <c r="B4" t="s">
        <v>350</v>
      </c>
      <c r="C4" t="s">
        <v>360</v>
      </c>
      <c r="D4">
        <v>0</v>
      </c>
      <c r="E4">
        <v>0.54333330000000002</v>
      </c>
      <c r="F4">
        <v>3.7859389E-2</v>
      </c>
      <c r="G4">
        <v>3</v>
      </c>
      <c r="I4" s="83"/>
      <c r="J4" s="83"/>
      <c r="P4" s="25"/>
      <c r="S4" s="1"/>
    </row>
    <row r="5" spans="1:19" x14ac:dyDescent="0.25">
      <c r="B5" t="s">
        <v>350</v>
      </c>
      <c r="C5" t="s">
        <v>362</v>
      </c>
      <c r="D5">
        <v>9</v>
      </c>
      <c r="E5">
        <v>0.21666669999999999</v>
      </c>
      <c r="F5">
        <v>2.0816660000000001E-2</v>
      </c>
      <c r="G5">
        <v>3</v>
      </c>
      <c r="I5" s="83"/>
      <c r="J5" s="83"/>
      <c r="P5" s="25"/>
    </row>
    <row r="6" spans="1:19" x14ac:dyDescent="0.25">
      <c r="B6" t="s">
        <v>350</v>
      </c>
      <c r="C6" t="s">
        <v>362</v>
      </c>
      <c r="D6">
        <v>10</v>
      </c>
      <c r="E6">
        <v>0.21</v>
      </c>
      <c r="F6">
        <v>0.01</v>
      </c>
      <c r="G6">
        <v>3</v>
      </c>
      <c r="I6" s="83"/>
      <c r="J6" s="83"/>
      <c r="P6" s="25"/>
      <c r="S6" s="1"/>
    </row>
    <row r="7" spans="1:19" x14ac:dyDescent="0.25">
      <c r="B7" t="s">
        <v>350</v>
      </c>
      <c r="C7" t="s">
        <v>362</v>
      </c>
      <c r="D7">
        <v>11</v>
      </c>
      <c r="E7">
        <v>0.25666670000000003</v>
      </c>
      <c r="F7">
        <v>3.5118846000000002E-2</v>
      </c>
      <c r="G7">
        <v>3</v>
      </c>
      <c r="I7" s="83"/>
      <c r="J7" s="83"/>
      <c r="P7" s="25"/>
      <c r="S7" s="1"/>
    </row>
    <row r="8" spans="1:19" x14ac:dyDescent="0.25">
      <c r="B8" t="s">
        <v>350</v>
      </c>
      <c r="C8" t="s">
        <v>362</v>
      </c>
      <c r="D8">
        <v>12</v>
      </c>
      <c r="E8">
        <v>0.25333329999999998</v>
      </c>
      <c r="F8">
        <v>3.2145502999999999E-2</v>
      </c>
      <c r="G8">
        <v>3</v>
      </c>
      <c r="I8" s="83"/>
      <c r="J8" s="83"/>
      <c r="P8" s="25"/>
      <c r="S8" s="1"/>
    </row>
    <row r="9" spans="1:19" x14ac:dyDescent="0.25">
      <c r="B9" t="s">
        <v>350</v>
      </c>
      <c r="C9" t="s">
        <v>362</v>
      </c>
      <c r="D9">
        <v>13</v>
      </c>
      <c r="E9">
        <v>0.28333330000000001</v>
      </c>
      <c r="F9">
        <v>5.8594652999999997E-2</v>
      </c>
      <c r="G9">
        <v>3</v>
      </c>
      <c r="I9" s="83"/>
      <c r="J9" s="83"/>
      <c r="P9" s="25"/>
      <c r="S9" s="1"/>
    </row>
    <row r="10" spans="1:19" x14ac:dyDescent="0.25">
      <c r="B10" t="s">
        <v>350</v>
      </c>
      <c r="C10" t="s">
        <v>184</v>
      </c>
      <c r="D10">
        <v>1</v>
      </c>
      <c r="E10" t="s">
        <v>355</v>
      </c>
      <c r="F10" t="s">
        <v>32</v>
      </c>
      <c r="G10">
        <v>0</v>
      </c>
      <c r="I10" s="83"/>
      <c r="J10" s="83"/>
      <c r="P10" s="25"/>
      <c r="S10" s="1"/>
    </row>
    <row r="11" spans="1:19" x14ac:dyDescent="0.25">
      <c r="B11" t="s">
        <v>350</v>
      </c>
      <c r="C11" t="s">
        <v>184</v>
      </c>
      <c r="D11">
        <v>2</v>
      </c>
      <c r="E11" t="s">
        <v>355</v>
      </c>
      <c r="F11" t="s">
        <v>32</v>
      </c>
      <c r="G11">
        <v>0</v>
      </c>
      <c r="I11" s="83"/>
      <c r="J11" s="83"/>
      <c r="P11" s="25"/>
      <c r="S11" s="1"/>
    </row>
    <row r="12" spans="1:19" x14ac:dyDescent="0.25">
      <c r="B12" t="s">
        <v>350</v>
      </c>
      <c r="C12" t="s">
        <v>184</v>
      </c>
      <c r="D12">
        <v>3</v>
      </c>
      <c r="E12" t="s">
        <v>355</v>
      </c>
      <c r="F12" t="s">
        <v>32</v>
      </c>
      <c r="G12">
        <v>0</v>
      </c>
      <c r="I12" s="83"/>
      <c r="J12" s="83"/>
      <c r="P12" s="25"/>
      <c r="S12" s="1"/>
    </row>
    <row r="13" spans="1:19" x14ac:dyDescent="0.25">
      <c r="B13" t="s">
        <v>350</v>
      </c>
      <c r="C13" t="s">
        <v>184</v>
      </c>
      <c r="D13">
        <v>4</v>
      </c>
      <c r="E13">
        <v>0.69</v>
      </c>
      <c r="F13">
        <v>8.4852813999999999E-2</v>
      </c>
      <c r="G13">
        <v>2</v>
      </c>
      <c r="I13" s="83"/>
      <c r="J13" s="83"/>
      <c r="P13" s="25"/>
      <c r="S13" s="1"/>
    </row>
    <row r="14" spans="1:19" x14ac:dyDescent="0.25">
      <c r="B14" t="s">
        <v>350</v>
      </c>
      <c r="C14" t="s">
        <v>184</v>
      </c>
      <c r="D14">
        <v>5</v>
      </c>
      <c r="E14">
        <v>0.71666669999999999</v>
      </c>
      <c r="F14">
        <v>0.132790562</v>
      </c>
      <c r="G14">
        <v>3</v>
      </c>
      <c r="I14" s="83"/>
      <c r="J14" s="83"/>
      <c r="P14" s="25"/>
      <c r="S14" s="1"/>
    </row>
    <row r="15" spans="1:19" x14ac:dyDescent="0.25">
      <c r="B15" t="s">
        <v>350</v>
      </c>
      <c r="C15" t="s">
        <v>184</v>
      </c>
      <c r="D15">
        <v>6</v>
      </c>
      <c r="E15">
        <v>0.70333330000000005</v>
      </c>
      <c r="F15">
        <v>0.26539279100000002</v>
      </c>
      <c r="G15">
        <v>3</v>
      </c>
      <c r="I15" s="83"/>
      <c r="J15" s="83"/>
      <c r="P15" s="25"/>
      <c r="S15" s="1"/>
    </row>
    <row r="16" spans="1:19" x14ac:dyDescent="0.25">
      <c r="A16" s="83"/>
      <c r="B16" t="s">
        <v>350</v>
      </c>
      <c r="C16" t="s">
        <v>184</v>
      </c>
      <c r="D16">
        <v>7</v>
      </c>
      <c r="E16">
        <v>0.73</v>
      </c>
      <c r="F16">
        <v>0.30512292600000002</v>
      </c>
      <c r="G16">
        <v>3</v>
      </c>
      <c r="I16" s="83"/>
      <c r="J16" s="83"/>
      <c r="P16" s="25"/>
      <c r="S16" s="1"/>
    </row>
    <row r="17" spans="1:19" x14ac:dyDescent="0.25">
      <c r="A17" s="83"/>
      <c r="B17" t="s">
        <v>350</v>
      </c>
      <c r="C17" t="s">
        <v>184</v>
      </c>
      <c r="D17">
        <v>8</v>
      </c>
      <c r="E17">
        <v>0.54333330000000002</v>
      </c>
      <c r="F17">
        <v>0.19756855400000001</v>
      </c>
      <c r="G17">
        <v>3</v>
      </c>
      <c r="I17" s="83"/>
      <c r="J17" s="83"/>
      <c r="P17" s="25"/>
      <c r="S17" s="1"/>
    </row>
    <row r="18" spans="1:19" x14ac:dyDescent="0.25">
      <c r="A18" s="83"/>
      <c r="B18" t="s">
        <v>350</v>
      </c>
      <c r="C18" t="s">
        <v>184</v>
      </c>
      <c r="D18">
        <v>9</v>
      </c>
      <c r="E18">
        <v>0.34333330000000001</v>
      </c>
      <c r="F18">
        <v>0.130511813</v>
      </c>
      <c r="G18">
        <v>3</v>
      </c>
      <c r="I18" s="83"/>
      <c r="J18" s="83"/>
      <c r="P18" s="25"/>
      <c r="S18" s="1"/>
    </row>
    <row r="19" spans="1:19" x14ac:dyDescent="0.25">
      <c r="A19" s="83"/>
      <c r="B19" t="s">
        <v>350</v>
      </c>
      <c r="C19" t="s">
        <v>184</v>
      </c>
      <c r="D19">
        <v>10</v>
      </c>
      <c r="E19">
        <v>0.24666669999999999</v>
      </c>
      <c r="F19">
        <v>2.3094011000000001E-2</v>
      </c>
      <c r="G19">
        <v>3</v>
      </c>
      <c r="I19" s="83"/>
      <c r="J19" s="83"/>
      <c r="P19" s="25"/>
      <c r="S19" s="1"/>
    </row>
    <row r="20" spans="1:19" x14ac:dyDescent="0.25">
      <c r="A20" s="83"/>
      <c r="B20" t="s">
        <v>350</v>
      </c>
      <c r="C20" t="s">
        <v>184</v>
      </c>
      <c r="D20">
        <v>11</v>
      </c>
      <c r="E20">
        <v>0.33666669999999999</v>
      </c>
      <c r="F20">
        <v>0.18475208600000001</v>
      </c>
      <c r="G20">
        <v>3</v>
      </c>
      <c r="I20" s="83"/>
      <c r="J20" s="83"/>
      <c r="P20" s="25"/>
      <c r="S20" s="1"/>
    </row>
    <row r="21" spans="1:19" x14ac:dyDescent="0.25">
      <c r="A21" s="83"/>
      <c r="B21" t="s">
        <v>350</v>
      </c>
      <c r="C21" t="s">
        <v>184</v>
      </c>
      <c r="D21">
        <v>12</v>
      </c>
      <c r="E21">
        <v>0.20666670000000001</v>
      </c>
      <c r="F21">
        <v>5.7735030000000001E-3</v>
      </c>
      <c r="G21">
        <v>3</v>
      </c>
      <c r="I21" s="83"/>
      <c r="J21" s="83"/>
      <c r="P21" s="25"/>
      <c r="S21" s="1"/>
    </row>
    <row r="22" spans="1:19" x14ac:dyDescent="0.25">
      <c r="A22" s="83"/>
      <c r="B22" t="s">
        <v>350</v>
      </c>
      <c r="C22" t="s">
        <v>186</v>
      </c>
      <c r="D22">
        <v>1</v>
      </c>
      <c r="E22" t="s">
        <v>355</v>
      </c>
      <c r="F22" t="s">
        <v>32</v>
      </c>
      <c r="G22">
        <v>0</v>
      </c>
      <c r="I22" s="83"/>
      <c r="J22" s="83"/>
      <c r="P22" s="25"/>
      <c r="S22" s="1"/>
    </row>
    <row r="23" spans="1:19" x14ac:dyDescent="0.25">
      <c r="A23" s="83"/>
      <c r="B23" t="s">
        <v>350</v>
      </c>
      <c r="C23" t="s">
        <v>186</v>
      </c>
      <c r="D23">
        <v>2</v>
      </c>
      <c r="E23" t="s">
        <v>355</v>
      </c>
      <c r="F23" t="s">
        <v>32</v>
      </c>
      <c r="G23">
        <v>0</v>
      </c>
      <c r="I23" s="83"/>
      <c r="J23" s="83"/>
      <c r="P23" s="25"/>
      <c r="S23" s="1"/>
    </row>
    <row r="24" spans="1:19" x14ac:dyDescent="0.25">
      <c r="A24" s="83"/>
      <c r="B24" t="s">
        <v>350</v>
      </c>
      <c r="C24" t="s">
        <v>186</v>
      </c>
      <c r="D24">
        <v>3</v>
      </c>
      <c r="E24">
        <v>1.6711</v>
      </c>
      <c r="F24" t="s">
        <v>32</v>
      </c>
      <c r="G24">
        <v>1</v>
      </c>
      <c r="I24" s="83"/>
      <c r="J24" s="83"/>
      <c r="P24" s="25"/>
      <c r="S24" s="1"/>
    </row>
    <row r="25" spans="1:19" x14ac:dyDescent="0.25">
      <c r="A25" s="83"/>
      <c r="B25" t="s">
        <v>350</v>
      </c>
      <c r="C25" t="s">
        <v>186</v>
      </c>
      <c r="D25">
        <v>4</v>
      </c>
      <c r="E25">
        <v>1.23</v>
      </c>
      <c r="F25">
        <v>0.22627417</v>
      </c>
      <c r="G25">
        <v>2</v>
      </c>
      <c r="I25" s="83"/>
      <c r="J25" s="83"/>
      <c r="P25" s="25"/>
      <c r="S25" s="1"/>
    </row>
    <row r="26" spans="1:19" x14ac:dyDescent="0.25">
      <c r="A26" s="83"/>
      <c r="B26" t="s">
        <v>350</v>
      </c>
      <c r="C26" t="s">
        <v>186</v>
      </c>
      <c r="D26">
        <v>5</v>
      </c>
      <c r="E26">
        <v>1.2033332999999999</v>
      </c>
      <c r="F26">
        <v>9.0737716999999996E-2</v>
      </c>
      <c r="G26">
        <v>3</v>
      </c>
      <c r="I26" s="83"/>
      <c r="J26" s="83"/>
      <c r="P26" s="25"/>
      <c r="S26" s="1"/>
    </row>
    <row r="27" spans="1:19" x14ac:dyDescent="0.25">
      <c r="A27" s="83"/>
      <c r="B27" t="s">
        <v>350</v>
      </c>
      <c r="C27" t="s">
        <v>186</v>
      </c>
      <c r="D27">
        <v>6</v>
      </c>
      <c r="E27">
        <v>1.1866667</v>
      </c>
      <c r="F27">
        <v>0.22007574499999999</v>
      </c>
      <c r="G27">
        <v>3</v>
      </c>
      <c r="I27" s="83"/>
      <c r="J27" s="83"/>
      <c r="O27" s="25"/>
      <c r="P27" s="25"/>
      <c r="S27" s="1"/>
    </row>
    <row r="28" spans="1:19" x14ac:dyDescent="0.25">
      <c r="A28" s="83"/>
      <c r="B28" t="s">
        <v>350</v>
      </c>
      <c r="C28" t="s">
        <v>186</v>
      </c>
      <c r="D28">
        <v>7</v>
      </c>
      <c r="E28">
        <v>0.84333329999999995</v>
      </c>
      <c r="F28">
        <v>0.149777613</v>
      </c>
      <c r="G28">
        <v>3</v>
      </c>
      <c r="I28" s="83"/>
      <c r="J28" s="83">
        <v>2</v>
      </c>
    </row>
    <row r="29" spans="1:19" x14ac:dyDescent="0.25">
      <c r="A29" s="83"/>
      <c r="B29" t="s">
        <v>350</v>
      </c>
      <c r="C29" t="s">
        <v>186</v>
      </c>
      <c r="D29">
        <v>8</v>
      </c>
      <c r="E29" t="s">
        <v>355</v>
      </c>
      <c r="F29" t="s">
        <v>32</v>
      </c>
      <c r="G29">
        <v>0</v>
      </c>
      <c r="J29" s="83">
        <v>53</v>
      </c>
    </row>
    <row r="30" spans="1:19" x14ac:dyDescent="0.25">
      <c r="A30" s="83"/>
      <c r="B30" t="s">
        <v>350</v>
      </c>
      <c r="C30" t="s">
        <v>186</v>
      </c>
      <c r="D30">
        <v>9</v>
      </c>
      <c r="E30">
        <v>0.45666669999999998</v>
      </c>
      <c r="F30">
        <v>0.110151411</v>
      </c>
      <c r="G30">
        <v>3</v>
      </c>
    </row>
    <row r="31" spans="1:19" x14ac:dyDescent="0.25">
      <c r="A31" s="83"/>
      <c r="B31" t="s">
        <v>350</v>
      </c>
      <c r="C31" t="s">
        <v>186</v>
      </c>
      <c r="D31">
        <v>10</v>
      </c>
      <c r="E31">
        <v>0.52</v>
      </c>
      <c r="F31">
        <v>0.17776388800000001</v>
      </c>
      <c r="G31">
        <v>3</v>
      </c>
    </row>
    <row r="32" spans="1:19" x14ac:dyDescent="0.25">
      <c r="A32" s="83"/>
      <c r="B32" t="s">
        <v>350</v>
      </c>
      <c r="C32" t="s">
        <v>186</v>
      </c>
      <c r="D32">
        <v>11</v>
      </c>
      <c r="E32">
        <v>0.45</v>
      </c>
      <c r="F32">
        <v>0.19672315600000001</v>
      </c>
      <c r="G32">
        <v>3</v>
      </c>
    </row>
    <row r="33" spans="1:9" x14ac:dyDescent="0.25">
      <c r="A33" s="83"/>
      <c r="B33" t="s">
        <v>350</v>
      </c>
      <c r="C33" t="s">
        <v>186</v>
      </c>
      <c r="D33">
        <v>12</v>
      </c>
      <c r="E33">
        <v>0.5</v>
      </c>
      <c r="F33">
        <v>7.8102497000000007E-2</v>
      </c>
      <c r="G33">
        <v>3</v>
      </c>
    </row>
    <row r="34" spans="1:9" x14ac:dyDescent="0.25">
      <c r="A34" s="83"/>
      <c r="B34" t="s">
        <v>350</v>
      </c>
      <c r="C34" t="s">
        <v>361</v>
      </c>
      <c r="D34">
        <v>0</v>
      </c>
      <c r="E34">
        <v>0.53666670000000005</v>
      </c>
      <c r="F34">
        <v>4.1633320000000001E-2</v>
      </c>
      <c r="G34">
        <v>3</v>
      </c>
    </row>
    <row r="36" spans="1:9" s="7" customFormat="1" x14ac:dyDescent="0.25">
      <c r="A36" s="7" t="s">
        <v>367</v>
      </c>
    </row>
    <row r="37" spans="1:9" x14ac:dyDescent="0.25">
      <c r="F37" s="131" t="s">
        <v>374</v>
      </c>
      <c r="G37" s="131"/>
      <c r="H37" s="131"/>
      <c r="I37" s="131"/>
    </row>
    <row r="38" spans="1:9" x14ac:dyDescent="0.25">
      <c r="A38" s="7" t="s">
        <v>80</v>
      </c>
      <c r="B38" s="7" t="s">
        <v>81</v>
      </c>
      <c r="C38" s="7" t="s">
        <v>82</v>
      </c>
      <c r="D38" s="7" t="s">
        <v>368</v>
      </c>
      <c r="E38" s="7" t="s">
        <v>358</v>
      </c>
      <c r="F38" s="7" t="s">
        <v>78</v>
      </c>
      <c r="G38" s="7" t="s">
        <v>79</v>
      </c>
      <c r="H38" s="7" t="s">
        <v>372</v>
      </c>
      <c r="I38" s="7" t="s">
        <v>373</v>
      </c>
    </row>
    <row r="39" spans="1:9" x14ac:dyDescent="0.25">
      <c r="A39" t="s">
        <v>98</v>
      </c>
      <c r="B39" t="s">
        <v>99</v>
      </c>
      <c r="C39" t="s">
        <v>369</v>
      </c>
      <c r="D39" t="s">
        <v>101</v>
      </c>
      <c r="E39">
        <v>1</v>
      </c>
      <c r="F39" s="25">
        <v>38832</v>
      </c>
      <c r="G39">
        <v>980.7</v>
      </c>
      <c r="H39">
        <v>1.5292577000000001</v>
      </c>
    </row>
    <row r="40" spans="1:9" x14ac:dyDescent="0.25">
      <c r="A40" t="s">
        <v>98</v>
      </c>
      <c r="B40" t="s">
        <v>99</v>
      </c>
      <c r="C40" t="s">
        <v>369</v>
      </c>
      <c r="D40" t="s">
        <v>101</v>
      </c>
      <c r="E40">
        <v>2</v>
      </c>
      <c r="F40" s="25">
        <v>38853</v>
      </c>
      <c r="G40">
        <v>1263</v>
      </c>
    </row>
    <row r="41" spans="1:9" x14ac:dyDescent="0.25">
      <c r="A41" t="s">
        <v>98</v>
      </c>
      <c r="B41" t="s">
        <v>99</v>
      </c>
      <c r="C41" t="s">
        <v>369</v>
      </c>
      <c r="D41" t="s">
        <v>101</v>
      </c>
      <c r="E41">
        <v>3</v>
      </c>
      <c r="F41" s="25">
        <v>38853</v>
      </c>
      <c r="G41">
        <v>1263</v>
      </c>
      <c r="H41">
        <v>0.91</v>
      </c>
    </row>
    <row r="42" spans="1:9" x14ac:dyDescent="0.25">
      <c r="A42" t="s">
        <v>98</v>
      </c>
      <c r="B42" t="s">
        <v>99</v>
      </c>
      <c r="C42" t="s">
        <v>369</v>
      </c>
      <c r="D42" t="s">
        <v>101</v>
      </c>
      <c r="E42">
        <v>4</v>
      </c>
      <c r="F42" s="25">
        <v>38853</v>
      </c>
      <c r="G42">
        <v>1263</v>
      </c>
      <c r="H42">
        <v>0.86</v>
      </c>
    </row>
    <row r="43" spans="1:9" x14ac:dyDescent="0.25">
      <c r="A43" t="s">
        <v>98</v>
      </c>
      <c r="B43" t="s">
        <v>99</v>
      </c>
      <c r="C43" t="s">
        <v>369</v>
      </c>
      <c r="D43" t="s">
        <v>101</v>
      </c>
      <c r="E43">
        <v>5</v>
      </c>
      <c r="F43" s="25">
        <v>38853</v>
      </c>
      <c r="G43">
        <v>1263</v>
      </c>
      <c r="H43">
        <v>0.8566667</v>
      </c>
    </row>
    <row r="44" spans="1:9" x14ac:dyDescent="0.25">
      <c r="A44" t="s">
        <v>98</v>
      </c>
      <c r="B44" t="s">
        <v>99</v>
      </c>
      <c r="C44" t="s">
        <v>369</v>
      </c>
      <c r="D44" t="s">
        <v>101</v>
      </c>
      <c r="E44">
        <v>6</v>
      </c>
      <c r="F44" s="25">
        <v>38887</v>
      </c>
      <c r="G44">
        <v>1809.8</v>
      </c>
      <c r="H44">
        <v>0.7851958</v>
      </c>
      <c r="I44">
        <v>0.47349999999999998</v>
      </c>
    </row>
    <row r="45" spans="1:9" x14ac:dyDescent="0.25">
      <c r="A45" t="s">
        <v>98</v>
      </c>
      <c r="B45" t="s">
        <v>99</v>
      </c>
      <c r="C45" t="s">
        <v>369</v>
      </c>
      <c r="D45" t="s">
        <v>101</v>
      </c>
      <c r="E45">
        <v>7</v>
      </c>
      <c r="F45" s="25">
        <v>38887</v>
      </c>
      <c r="G45">
        <v>1809.8</v>
      </c>
      <c r="H45">
        <v>0.58281769999999999</v>
      </c>
      <c r="I45">
        <v>0.38110270000000002</v>
      </c>
    </row>
    <row r="46" spans="1:9" x14ac:dyDescent="0.25">
      <c r="A46" t="s">
        <v>98</v>
      </c>
      <c r="B46" t="s">
        <v>99</v>
      </c>
      <c r="C46" t="s">
        <v>369</v>
      </c>
      <c r="D46" t="s">
        <v>101</v>
      </c>
      <c r="E46">
        <v>8</v>
      </c>
      <c r="F46" s="25">
        <v>38887</v>
      </c>
      <c r="G46">
        <v>1809.8</v>
      </c>
      <c r="H46">
        <v>0.53415579999999996</v>
      </c>
      <c r="I46">
        <v>0.2806263</v>
      </c>
    </row>
    <row r="47" spans="1:9" x14ac:dyDescent="0.25">
      <c r="A47" t="s">
        <v>98</v>
      </c>
      <c r="B47" t="s">
        <v>99</v>
      </c>
      <c r="C47" t="s">
        <v>369</v>
      </c>
      <c r="D47" t="s">
        <v>101</v>
      </c>
      <c r="E47">
        <v>9</v>
      </c>
      <c r="F47" s="25">
        <v>38887</v>
      </c>
      <c r="G47">
        <v>1809.8</v>
      </c>
      <c r="H47">
        <v>0.42897190000000002</v>
      </c>
      <c r="I47">
        <v>0.25510159999999998</v>
      </c>
    </row>
    <row r="48" spans="1:9" x14ac:dyDescent="0.25">
      <c r="A48" t="s">
        <v>98</v>
      </c>
      <c r="B48" t="s">
        <v>99</v>
      </c>
      <c r="C48" t="s">
        <v>369</v>
      </c>
      <c r="D48" t="s">
        <v>101</v>
      </c>
      <c r="E48">
        <v>10</v>
      </c>
      <c r="F48" s="25">
        <v>38887</v>
      </c>
      <c r="G48">
        <v>1809.8</v>
      </c>
      <c r="H48">
        <v>1.0490630999999999</v>
      </c>
      <c r="I48">
        <v>0.38282100000000002</v>
      </c>
    </row>
    <row r="49" spans="1:9" x14ac:dyDescent="0.25">
      <c r="A49" t="s">
        <v>371</v>
      </c>
      <c r="B49" t="s">
        <v>99</v>
      </c>
      <c r="C49" t="s">
        <v>369</v>
      </c>
      <c r="D49" t="s">
        <v>101</v>
      </c>
      <c r="E49">
        <v>11</v>
      </c>
      <c r="F49" s="25">
        <v>38909</v>
      </c>
      <c r="G49">
        <v>2256</v>
      </c>
      <c r="H49">
        <v>0.52890749999999997</v>
      </c>
      <c r="I49">
        <v>0.2642524</v>
      </c>
    </row>
    <row r="50" spans="1:9" x14ac:dyDescent="0.25">
      <c r="A50" t="s">
        <v>98</v>
      </c>
      <c r="B50" t="s">
        <v>99</v>
      </c>
      <c r="C50" t="s">
        <v>370</v>
      </c>
      <c r="D50" t="s">
        <v>101</v>
      </c>
      <c r="E50">
        <v>1</v>
      </c>
      <c r="F50" s="25">
        <v>38798</v>
      </c>
      <c r="G50">
        <v>631.9</v>
      </c>
      <c r="H50">
        <v>2.7367072000000001</v>
      </c>
      <c r="I50">
        <v>1.2979480000000001</v>
      </c>
    </row>
    <row r="51" spans="1:9" x14ac:dyDescent="0.25">
      <c r="A51" t="s">
        <v>98</v>
      </c>
      <c r="B51" t="s">
        <v>99</v>
      </c>
      <c r="C51" t="s">
        <v>370</v>
      </c>
      <c r="D51" t="s">
        <v>101</v>
      </c>
      <c r="E51">
        <v>2</v>
      </c>
      <c r="F51" s="25">
        <v>38798</v>
      </c>
      <c r="G51">
        <v>631.9</v>
      </c>
      <c r="H51">
        <v>3.1049134</v>
      </c>
      <c r="I51">
        <v>1.5684457999999999</v>
      </c>
    </row>
    <row r="52" spans="1:9" x14ac:dyDescent="0.25">
      <c r="A52" t="s">
        <v>98</v>
      </c>
      <c r="B52" t="s">
        <v>99</v>
      </c>
      <c r="C52" t="s">
        <v>370</v>
      </c>
      <c r="D52" t="s">
        <v>101</v>
      </c>
      <c r="E52">
        <v>3</v>
      </c>
      <c r="F52" s="25">
        <v>38833</v>
      </c>
      <c r="G52">
        <v>995.7</v>
      </c>
      <c r="H52">
        <v>2.1681663000000002</v>
      </c>
    </row>
    <row r="53" spans="1:9" x14ac:dyDescent="0.25">
      <c r="A53" t="s">
        <v>98</v>
      </c>
      <c r="B53" t="s">
        <v>99</v>
      </c>
      <c r="C53" t="s">
        <v>370</v>
      </c>
      <c r="D53" t="s">
        <v>101</v>
      </c>
      <c r="E53">
        <v>4</v>
      </c>
      <c r="F53" s="25">
        <v>38833</v>
      </c>
      <c r="G53">
        <v>995.7</v>
      </c>
      <c r="H53">
        <v>1.9220142</v>
      </c>
    </row>
    <row r="54" spans="1:9" x14ac:dyDescent="0.25">
      <c r="A54" t="s">
        <v>98</v>
      </c>
      <c r="B54" t="s">
        <v>99</v>
      </c>
      <c r="C54" t="s">
        <v>370</v>
      </c>
      <c r="D54" t="s">
        <v>101</v>
      </c>
      <c r="E54">
        <v>5</v>
      </c>
      <c r="F54" s="25">
        <v>38854</v>
      </c>
      <c r="G54">
        <v>1278.8</v>
      </c>
      <c r="H54">
        <v>2.2599999999999998</v>
      </c>
    </row>
    <row r="55" spans="1:9" x14ac:dyDescent="0.25">
      <c r="A55" t="s">
        <v>98</v>
      </c>
      <c r="B55" t="s">
        <v>99</v>
      </c>
      <c r="C55" t="s">
        <v>370</v>
      </c>
      <c r="D55" t="s">
        <v>101</v>
      </c>
      <c r="E55">
        <v>6</v>
      </c>
      <c r="F55" s="25">
        <v>38888</v>
      </c>
      <c r="G55">
        <v>1828.5</v>
      </c>
      <c r="H55">
        <v>1.4061823</v>
      </c>
      <c r="I55">
        <v>1.1280139</v>
      </c>
    </row>
    <row r="56" spans="1:9" x14ac:dyDescent="0.25">
      <c r="A56" t="s">
        <v>98</v>
      </c>
      <c r="B56" t="s">
        <v>99</v>
      </c>
      <c r="C56" t="s">
        <v>370</v>
      </c>
      <c r="D56" t="s">
        <v>101</v>
      </c>
      <c r="E56">
        <v>7</v>
      </c>
      <c r="F56" s="25">
        <v>38888</v>
      </c>
      <c r="G56">
        <v>1828.5</v>
      </c>
      <c r="H56">
        <v>0.91566840000000005</v>
      </c>
      <c r="I56">
        <v>1.1648198999999999</v>
      </c>
    </row>
    <row r="57" spans="1:9" x14ac:dyDescent="0.25">
      <c r="A57" t="s">
        <v>98</v>
      </c>
      <c r="B57" t="s">
        <v>99</v>
      </c>
      <c r="C57" t="s">
        <v>370</v>
      </c>
      <c r="D57" t="s">
        <v>101</v>
      </c>
      <c r="E57">
        <v>8</v>
      </c>
      <c r="F57" s="25">
        <v>38888</v>
      </c>
      <c r="G57">
        <v>1828.5</v>
      </c>
      <c r="H57">
        <v>0.8793898</v>
      </c>
      <c r="I57">
        <v>0.70609469999999996</v>
      </c>
    </row>
    <row r="58" spans="1:9" x14ac:dyDescent="0.25">
      <c r="A58" t="s">
        <v>98</v>
      </c>
      <c r="B58" t="s">
        <v>99</v>
      </c>
      <c r="C58" t="s">
        <v>370</v>
      </c>
      <c r="D58" t="s">
        <v>101</v>
      </c>
      <c r="E58">
        <v>9</v>
      </c>
      <c r="F58" s="25">
        <v>38888</v>
      </c>
      <c r="G58">
        <v>1828.5</v>
      </c>
      <c r="H58">
        <v>0.75329849999999998</v>
      </c>
      <c r="I58">
        <v>0.53899430000000004</v>
      </c>
    </row>
    <row r="59" spans="1:9" x14ac:dyDescent="0.25">
      <c r="A59" t="s">
        <v>98</v>
      </c>
      <c r="B59" t="s">
        <v>99</v>
      </c>
      <c r="C59" t="s">
        <v>370</v>
      </c>
      <c r="D59" t="s">
        <v>101</v>
      </c>
      <c r="E59">
        <v>10</v>
      </c>
      <c r="F59" s="25">
        <v>38888</v>
      </c>
      <c r="G59">
        <v>1828.5</v>
      </c>
      <c r="H59">
        <v>2.3893678999999999</v>
      </c>
      <c r="I59">
        <v>0.83703110000000003</v>
      </c>
    </row>
    <row r="60" spans="1:9" x14ac:dyDescent="0.25">
      <c r="A60" t="s">
        <v>371</v>
      </c>
      <c r="B60" t="s">
        <v>99</v>
      </c>
      <c r="C60" t="s">
        <v>370</v>
      </c>
      <c r="D60" t="s">
        <v>101</v>
      </c>
      <c r="E60">
        <v>11</v>
      </c>
      <c r="F60" s="25">
        <v>38909</v>
      </c>
      <c r="G60">
        <v>2256</v>
      </c>
      <c r="H60">
        <v>0.88300979999999996</v>
      </c>
      <c r="I60">
        <v>0.39352799999999999</v>
      </c>
    </row>
  </sheetData>
  <sortState ref="A39:H60">
    <sortCondition ref="C4:C34"/>
  </sortState>
  <mergeCells count="2">
    <mergeCell ref="E2:G2"/>
    <mergeCell ref="F37:I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"/>
  <sheetViews>
    <sheetView topLeftCell="A65" workbookViewId="0">
      <selection activeCell="A66" sqref="A66"/>
    </sheetView>
  </sheetViews>
  <sheetFormatPr baseColWidth="10" defaultRowHeight="15" x14ac:dyDescent="0.25"/>
  <cols>
    <col min="18" max="18" width="15.85546875" bestFit="1" customWidth="1"/>
  </cols>
  <sheetData>
    <row r="1" spans="1:21" s="7" customFormat="1" x14ac:dyDescent="0.25">
      <c r="A1" s="7" t="s">
        <v>106</v>
      </c>
    </row>
    <row r="2" spans="1:21" x14ac:dyDescent="0.25">
      <c r="A2" t="s">
        <v>77</v>
      </c>
      <c r="B2" s="25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 t="s">
        <v>94</v>
      </c>
      <c r="S2" t="s">
        <v>95</v>
      </c>
      <c r="T2" t="s">
        <v>96</v>
      </c>
      <c r="U2" t="s">
        <v>97</v>
      </c>
    </row>
    <row r="3" spans="1:21" x14ac:dyDescent="0.25">
      <c r="A3">
        <v>9</v>
      </c>
      <c r="B3" s="26">
        <v>38778</v>
      </c>
      <c r="C3">
        <v>560.5</v>
      </c>
      <c r="D3" t="s">
        <v>98</v>
      </c>
      <c r="E3" t="s">
        <v>99</v>
      </c>
      <c r="F3" t="s">
        <v>100</v>
      </c>
      <c r="G3">
        <v>13</v>
      </c>
      <c r="H3" t="s">
        <v>101</v>
      </c>
      <c r="I3">
        <v>0</v>
      </c>
      <c r="J3" t="s">
        <v>102</v>
      </c>
      <c r="K3">
        <v>0.1222</v>
      </c>
      <c r="L3" t="s">
        <v>102</v>
      </c>
      <c r="M3" t="s">
        <v>102</v>
      </c>
      <c r="N3">
        <v>1048.3494685029141</v>
      </c>
      <c r="O3" t="s">
        <v>102</v>
      </c>
      <c r="P3" t="s">
        <v>102</v>
      </c>
      <c r="Q3">
        <v>4.5149959061800562</v>
      </c>
      <c r="S3" t="s">
        <v>102</v>
      </c>
      <c r="T3">
        <v>5.2628681209053259</v>
      </c>
      <c r="U3" t="s">
        <v>102</v>
      </c>
    </row>
    <row r="4" spans="1:21" x14ac:dyDescent="0.25">
      <c r="A4">
        <v>9</v>
      </c>
      <c r="B4" s="26">
        <v>38778</v>
      </c>
      <c r="C4">
        <v>560.5</v>
      </c>
      <c r="D4" t="s">
        <v>98</v>
      </c>
      <c r="E4" t="s">
        <v>99</v>
      </c>
      <c r="F4" t="s">
        <v>100</v>
      </c>
      <c r="G4">
        <v>13</v>
      </c>
      <c r="H4" t="s">
        <v>101</v>
      </c>
      <c r="I4">
        <v>1</v>
      </c>
      <c r="J4">
        <v>2.9239999999999999E-2</v>
      </c>
      <c r="K4" t="s">
        <v>102</v>
      </c>
      <c r="L4" t="s">
        <v>102</v>
      </c>
      <c r="M4">
        <v>711.56859999999995</v>
      </c>
      <c r="O4" t="s">
        <v>102</v>
      </c>
      <c r="P4">
        <v>3.4486828505757954</v>
      </c>
      <c r="Q4" t="s">
        <v>102</v>
      </c>
      <c r="S4">
        <v>1.4171435691630612</v>
      </c>
      <c r="T4" t="s">
        <v>102</v>
      </c>
      <c r="U4" t="s">
        <v>102</v>
      </c>
    </row>
    <row r="5" spans="1:21" x14ac:dyDescent="0.25">
      <c r="A5">
        <v>9</v>
      </c>
      <c r="B5" s="26">
        <v>38778</v>
      </c>
      <c r="C5">
        <v>560.5</v>
      </c>
      <c r="D5" t="s">
        <v>98</v>
      </c>
      <c r="E5" t="s">
        <v>99</v>
      </c>
      <c r="F5" t="s">
        <v>100</v>
      </c>
      <c r="G5">
        <v>13</v>
      </c>
      <c r="H5" t="s">
        <v>101</v>
      </c>
      <c r="I5">
        <v>2</v>
      </c>
      <c r="J5">
        <v>4.7030000000000002E-2</v>
      </c>
      <c r="K5" t="s">
        <v>102</v>
      </c>
      <c r="L5" t="s">
        <v>102</v>
      </c>
      <c r="M5">
        <v>971.88424000000009</v>
      </c>
      <c r="O5" t="s">
        <v>102</v>
      </c>
      <c r="P5">
        <v>3.8437093539165703</v>
      </c>
      <c r="Q5" t="s">
        <v>102</v>
      </c>
      <c r="S5">
        <v>1.8599915861861933</v>
      </c>
      <c r="T5" t="s">
        <v>102</v>
      </c>
      <c r="U5" t="s">
        <v>102</v>
      </c>
    </row>
    <row r="6" spans="1:21" x14ac:dyDescent="0.25">
      <c r="A6">
        <v>9</v>
      </c>
      <c r="B6" s="26">
        <v>38778</v>
      </c>
      <c r="C6">
        <v>560.5</v>
      </c>
      <c r="D6" t="s">
        <v>98</v>
      </c>
      <c r="E6" t="s">
        <v>99</v>
      </c>
      <c r="F6" t="s">
        <v>100</v>
      </c>
      <c r="G6">
        <v>13</v>
      </c>
      <c r="H6" t="s">
        <v>101</v>
      </c>
      <c r="I6">
        <v>3</v>
      </c>
      <c r="J6">
        <v>6.4000000000000001E-2</v>
      </c>
      <c r="K6" t="s">
        <v>102</v>
      </c>
      <c r="L6" t="s">
        <v>102</v>
      </c>
      <c r="M6">
        <v>1284.3416999999999</v>
      </c>
      <c r="O6" t="s">
        <v>102</v>
      </c>
      <c r="Q6" t="s">
        <v>102</v>
      </c>
      <c r="S6" t="s">
        <v>102</v>
      </c>
      <c r="T6" t="s">
        <v>102</v>
      </c>
      <c r="U6" t="s">
        <v>102</v>
      </c>
    </row>
    <row r="7" spans="1:21" x14ac:dyDescent="0.25">
      <c r="A7">
        <v>9</v>
      </c>
      <c r="B7" s="26">
        <v>38778</v>
      </c>
      <c r="C7">
        <v>560.5</v>
      </c>
      <c r="D7" t="s">
        <v>98</v>
      </c>
      <c r="E7" t="s">
        <v>99</v>
      </c>
      <c r="F7" t="s">
        <v>100</v>
      </c>
      <c r="G7">
        <v>13</v>
      </c>
      <c r="H7" t="s">
        <v>101</v>
      </c>
      <c r="I7">
        <v>4</v>
      </c>
      <c r="J7">
        <v>7.2099999999999997E-2</v>
      </c>
      <c r="K7" t="s">
        <v>102</v>
      </c>
      <c r="L7" t="s">
        <v>102</v>
      </c>
      <c r="M7">
        <v>1413.0789</v>
      </c>
      <c r="O7" t="s">
        <v>102</v>
      </c>
      <c r="P7">
        <v>5.2033840646377376</v>
      </c>
      <c r="Q7" t="s">
        <v>102</v>
      </c>
      <c r="S7">
        <v>2.6549401527429275</v>
      </c>
      <c r="T7" t="s">
        <v>102</v>
      </c>
      <c r="U7" t="s">
        <v>102</v>
      </c>
    </row>
    <row r="8" spans="1:21" x14ac:dyDescent="0.25">
      <c r="A8">
        <v>9</v>
      </c>
      <c r="B8" s="26">
        <v>38778</v>
      </c>
      <c r="C8">
        <v>560.5</v>
      </c>
      <c r="D8" t="s">
        <v>98</v>
      </c>
      <c r="E8" t="s">
        <v>99</v>
      </c>
      <c r="F8" t="s">
        <v>100</v>
      </c>
      <c r="G8">
        <v>15</v>
      </c>
      <c r="H8" t="s">
        <v>101</v>
      </c>
      <c r="I8">
        <v>0</v>
      </c>
      <c r="J8" t="s">
        <v>102</v>
      </c>
      <c r="K8">
        <v>0.13350000000000001</v>
      </c>
      <c r="L8" t="s">
        <v>102</v>
      </c>
      <c r="M8" t="s">
        <v>102</v>
      </c>
      <c r="N8">
        <v>1048.3494685029141</v>
      </c>
      <c r="O8" t="s">
        <v>102</v>
      </c>
      <c r="P8" t="s">
        <v>102</v>
      </c>
      <c r="Q8">
        <v>3.8042527967534845</v>
      </c>
      <c r="S8" t="s">
        <v>102</v>
      </c>
      <c r="T8">
        <v>4.8444508594242537</v>
      </c>
      <c r="U8" t="s">
        <v>102</v>
      </c>
    </row>
    <row r="9" spans="1:21" x14ac:dyDescent="0.25">
      <c r="A9">
        <v>9</v>
      </c>
      <c r="B9" s="26">
        <v>38778</v>
      </c>
      <c r="C9">
        <v>560.5</v>
      </c>
      <c r="D9" t="s">
        <v>98</v>
      </c>
      <c r="E9" t="s">
        <v>99</v>
      </c>
      <c r="F9" t="s">
        <v>100</v>
      </c>
      <c r="G9">
        <v>15</v>
      </c>
      <c r="H9" t="s">
        <v>101</v>
      </c>
      <c r="I9">
        <v>1</v>
      </c>
      <c r="J9">
        <v>3.9489999999999997E-2</v>
      </c>
      <c r="K9" t="s">
        <v>102</v>
      </c>
      <c r="L9" t="s">
        <v>102</v>
      </c>
      <c r="M9">
        <v>886.39970000000005</v>
      </c>
      <c r="O9" t="s">
        <v>102</v>
      </c>
      <c r="P9">
        <v>3.2939067464694229</v>
      </c>
      <c r="Q9" t="s">
        <v>102</v>
      </c>
      <c r="S9">
        <v>1.4674686534537129</v>
      </c>
      <c r="T9" t="s">
        <v>102</v>
      </c>
      <c r="U9" t="s">
        <v>102</v>
      </c>
    </row>
    <row r="10" spans="1:21" x14ac:dyDescent="0.25">
      <c r="A10">
        <v>9</v>
      </c>
      <c r="B10" s="26">
        <v>38778</v>
      </c>
      <c r="C10">
        <v>560.5</v>
      </c>
      <c r="D10" t="s">
        <v>98</v>
      </c>
      <c r="E10" t="s">
        <v>99</v>
      </c>
      <c r="F10" t="s">
        <v>100</v>
      </c>
      <c r="G10">
        <v>15</v>
      </c>
      <c r="H10" t="s">
        <v>101</v>
      </c>
      <c r="I10">
        <v>2</v>
      </c>
      <c r="J10">
        <v>5.9129999999999995E-2</v>
      </c>
      <c r="K10" t="s">
        <v>102</v>
      </c>
      <c r="L10" t="s">
        <v>102</v>
      </c>
      <c r="M10">
        <v>1308.4568000000002</v>
      </c>
      <c r="O10" t="s">
        <v>102</v>
      </c>
      <c r="P10">
        <v>4.0880429117045445</v>
      </c>
      <c r="Q10" t="s">
        <v>102</v>
      </c>
      <c r="S10">
        <v>1.8474127488892995</v>
      </c>
      <c r="T10" t="s">
        <v>102</v>
      </c>
      <c r="U10" t="s">
        <v>102</v>
      </c>
    </row>
    <row r="11" spans="1:21" x14ac:dyDescent="0.25">
      <c r="A11">
        <v>9</v>
      </c>
      <c r="B11" s="26">
        <v>38778</v>
      </c>
      <c r="C11">
        <v>560.5</v>
      </c>
      <c r="D11" t="s">
        <v>98</v>
      </c>
      <c r="E11" t="s">
        <v>99</v>
      </c>
      <c r="F11" t="s">
        <v>100</v>
      </c>
      <c r="G11">
        <v>15</v>
      </c>
      <c r="H11" t="s">
        <v>101</v>
      </c>
      <c r="I11">
        <v>3</v>
      </c>
      <c r="J11">
        <v>7.2749999999999995E-2</v>
      </c>
      <c r="K11" t="s">
        <v>102</v>
      </c>
      <c r="L11" t="s">
        <v>102</v>
      </c>
      <c r="M11">
        <v>1424.8432700000001</v>
      </c>
      <c r="O11" t="s">
        <v>102</v>
      </c>
      <c r="Q11" t="s">
        <v>102</v>
      </c>
      <c r="S11" t="s">
        <v>102</v>
      </c>
      <c r="T11" t="s">
        <v>102</v>
      </c>
      <c r="U11" t="s">
        <v>102</v>
      </c>
    </row>
    <row r="12" spans="1:21" x14ac:dyDescent="0.25">
      <c r="A12">
        <v>9</v>
      </c>
      <c r="B12" s="26">
        <v>38778</v>
      </c>
      <c r="C12">
        <v>560.5</v>
      </c>
      <c r="D12" t="s">
        <v>98</v>
      </c>
      <c r="E12" t="s">
        <v>99</v>
      </c>
      <c r="F12" t="s">
        <v>100</v>
      </c>
      <c r="G12">
        <v>15</v>
      </c>
      <c r="H12" t="s">
        <v>101</v>
      </c>
      <c r="I12">
        <v>4</v>
      </c>
      <c r="J12">
        <v>6.9199999999999998E-2</v>
      </c>
      <c r="K12" t="s">
        <v>102</v>
      </c>
      <c r="L12" t="s">
        <v>102</v>
      </c>
      <c r="M12">
        <v>1375.0716999999997</v>
      </c>
      <c r="O12" t="s">
        <v>102</v>
      </c>
      <c r="P12">
        <v>5.4102365362519462</v>
      </c>
      <c r="Q12" t="s">
        <v>102</v>
      </c>
      <c r="S12">
        <v>2.7226825212724162</v>
      </c>
      <c r="T12" t="s">
        <v>102</v>
      </c>
      <c r="U12" t="s">
        <v>102</v>
      </c>
    </row>
    <row r="13" spans="1:21" x14ac:dyDescent="0.25">
      <c r="A13">
        <v>9</v>
      </c>
      <c r="B13" s="26">
        <v>38778</v>
      </c>
      <c r="C13">
        <v>560.5</v>
      </c>
      <c r="D13" t="s">
        <v>98</v>
      </c>
      <c r="E13" t="s">
        <v>99</v>
      </c>
      <c r="F13" t="s">
        <v>100</v>
      </c>
      <c r="G13">
        <v>18</v>
      </c>
      <c r="H13" t="s">
        <v>101</v>
      </c>
      <c r="I13">
        <v>0</v>
      </c>
      <c r="J13" t="s">
        <v>102</v>
      </c>
      <c r="K13">
        <v>0.1295</v>
      </c>
      <c r="L13" t="s">
        <v>102</v>
      </c>
      <c r="M13" t="s">
        <v>102</v>
      </c>
      <c r="N13">
        <v>1048.3494685029141</v>
      </c>
      <c r="O13" t="s">
        <v>102</v>
      </c>
      <c r="P13" t="s">
        <v>102</v>
      </c>
      <c r="Q13">
        <v>4.2281222780031662</v>
      </c>
      <c r="S13" t="s">
        <v>102</v>
      </c>
      <c r="T13">
        <v>5.222894191793908</v>
      </c>
      <c r="U13" t="s">
        <v>102</v>
      </c>
    </row>
    <row r="14" spans="1:21" x14ac:dyDescent="0.25">
      <c r="A14">
        <v>9</v>
      </c>
      <c r="B14" s="26">
        <v>38778</v>
      </c>
      <c r="C14">
        <v>560.5</v>
      </c>
      <c r="D14" t="s">
        <v>98</v>
      </c>
      <c r="E14" t="s">
        <v>99</v>
      </c>
      <c r="F14" t="s">
        <v>100</v>
      </c>
      <c r="G14">
        <v>18</v>
      </c>
      <c r="H14" t="s">
        <v>101</v>
      </c>
      <c r="I14">
        <v>1</v>
      </c>
      <c r="J14">
        <v>2.8170000000000001E-2</v>
      </c>
      <c r="K14" t="s">
        <v>102</v>
      </c>
      <c r="L14" t="s">
        <v>102</v>
      </c>
      <c r="M14">
        <v>707.21</v>
      </c>
      <c r="O14" t="s">
        <v>102</v>
      </c>
      <c r="P14">
        <v>3.5123305469386961</v>
      </c>
      <c r="Q14" t="s">
        <v>102</v>
      </c>
      <c r="S14">
        <v>1.3990519295154631</v>
      </c>
      <c r="T14" t="s">
        <v>102</v>
      </c>
      <c r="U14" t="s">
        <v>102</v>
      </c>
    </row>
    <row r="15" spans="1:21" x14ac:dyDescent="0.25">
      <c r="A15">
        <v>9</v>
      </c>
      <c r="B15" s="26">
        <v>38778</v>
      </c>
      <c r="C15">
        <v>560.5</v>
      </c>
      <c r="D15" t="s">
        <v>98</v>
      </c>
      <c r="E15" t="s">
        <v>99</v>
      </c>
      <c r="F15" t="s">
        <v>100</v>
      </c>
      <c r="G15">
        <v>18</v>
      </c>
      <c r="H15" t="s">
        <v>101</v>
      </c>
      <c r="I15">
        <v>2</v>
      </c>
      <c r="J15">
        <v>4.6429999999999992E-2</v>
      </c>
      <c r="K15" t="s">
        <v>102</v>
      </c>
      <c r="L15" t="s">
        <v>102</v>
      </c>
      <c r="M15">
        <v>1180.7425600000001</v>
      </c>
      <c r="O15" t="s">
        <v>102</v>
      </c>
      <c r="P15">
        <v>4.4818314971899937</v>
      </c>
      <c r="Q15" t="s">
        <v>102</v>
      </c>
      <c r="S15">
        <v>1.7623777058949357</v>
      </c>
      <c r="T15" t="s">
        <v>102</v>
      </c>
      <c r="U15" t="s">
        <v>102</v>
      </c>
    </row>
    <row r="16" spans="1:21" x14ac:dyDescent="0.25">
      <c r="A16">
        <v>9</v>
      </c>
      <c r="B16" s="26">
        <v>38778</v>
      </c>
      <c r="C16">
        <v>560.5</v>
      </c>
      <c r="D16" t="s">
        <v>98</v>
      </c>
      <c r="E16" t="s">
        <v>99</v>
      </c>
      <c r="F16" t="s">
        <v>100</v>
      </c>
      <c r="G16">
        <v>18</v>
      </c>
      <c r="H16" t="s">
        <v>101</v>
      </c>
      <c r="I16">
        <v>3</v>
      </c>
      <c r="J16">
        <v>6.2600000000000003E-2</v>
      </c>
      <c r="K16" t="s">
        <v>102</v>
      </c>
      <c r="L16" t="s">
        <v>102</v>
      </c>
      <c r="M16">
        <v>1391.5812000000001</v>
      </c>
      <c r="O16" t="s">
        <v>102</v>
      </c>
      <c r="P16">
        <v>5.254109400234233</v>
      </c>
      <c r="Q16" t="s">
        <v>102</v>
      </c>
      <c r="S16">
        <v>2.3635505312565521</v>
      </c>
      <c r="T16" t="s">
        <v>102</v>
      </c>
      <c r="U16" t="s">
        <v>102</v>
      </c>
    </row>
    <row r="17" spans="1:21" x14ac:dyDescent="0.25">
      <c r="A17">
        <v>9</v>
      </c>
      <c r="B17" s="26">
        <v>38778</v>
      </c>
      <c r="C17">
        <v>560.5</v>
      </c>
      <c r="D17" t="s">
        <v>98</v>
      </c>
      <c r="E17" t="s">
        <v>99</v>
      </c>
      <c r="F17" t="s">
        <v>100</v>
      </c>
      <c r="G17">
        <v>18</v>
      </c>
      <c r="H17" t="s">
        <v>101</v>
      </c>
      <c r="I17">
        <v>4</v>
      </c>
      <c r="J17">
        <v>7.1400000000000005E-2</v>
      </c>
      <c r="K17" t="s">
        <v>102</v>
      </c>
      <c r="L17" t="s">
        <v>102</v>
      </c>
      <c r="M17">
        <v>1523.9175999999998</v>
      </c>
      <c r="O17" t="s">
        <v>102</v>
      </c>
      <c r="P17">
        <v>5.7779741075223594</v>
      </c>
      <c r="Q17" t="s">
        <v>102</v>
      </c>
      <c r="S17">
        <v>2.707149988143037</v>
      </c>
      <c r="T17" t="s">
        <v>102</v>
      </c>
      <c r="U17" t="s">
        <v>102</v>
      </c>
    </row>
    <row r="19" spans="1:21" x14ac:dyDescent="0.25">
      <c r="I19" s="27" t="s">
        <v>104</v>
      </c>
      <c r="J19" s="28">
        <f>SUM(J3:K17)</f>
        <v>1.04674</v>
      </c>
    </row>
    <row r="20" spans="1:21" x14ac:dyDescent="0.25">
      <c r="I20" s="29" t="s">
        <v>105</v>
      </c>
      <c r="J20" s="30">
        <f>(SUMPRODUCT(P3:P17,J3:J17)+SUMPRODUCT(K3:K17,Q3:Q17))/J19</f>
        <v>3.8773662250209906</v>
      </c>
    </row>
    <row r="22" spans="1:21" s="31" customFormat="1" x14ac:dyDescent="0.25">
      <c r="A22" s="7" t="s">
        <v>107</v>
      </c>
    </row>
    <row r="24" spans="1:21" x14ac:dyDescent="0.25">
      <c r="A24" t="s">
        <v>108</v>
      </c>
      <c r="D24" t="s">
        <v>110</v>
      </c>
    </row>
    <row r="25" spans="1:21" x14ac:dyDescent="0.25">
      <c r="A25" t="s">
        <v>109</v>
      </c>
      <c r="D25" t="s">
        <v>111</v>
      </c>
    </row>
    <row r="28" spans="1:21" x14ac:dyDescent="0.25">
      <c r="B28" t="s">
        <v>104</v>
      </c>
      <c r="C28">
        <v>0.4</v>
      </c>
      <c r="E28" t="s">
        <v>192</v>
      </c>
    </row>
    <row r="29" spans="1:21" x14ac:dyDescent="0.25">
      <c r="B29" t="s">
        <v>113</v>
      </c>
      <c r="C29">
        <v>0.18</v>
      </c>
      <c r="E29">
        <f>C28/C29</f>
        <v>2.2222222222222223</v>
      </c>
    </row>
    <row r="30" spans="1:21" x14ac:dyDescent="0.25">
      <c r="B30" t="s">
        <v>105</v>
      </c>
      <c r="C30">
        <v>4</v>
      </c>
    </row>
    <row r="31" spans="1:21" x14ac:dyDescent="0.25">
      <c r="B31" t="s">
        <v>112</v>
      </c>
      <c r="C31">
        <v>3</v>
      </c>
    </row>
    <row r="34" spans="1:6" s="31" customFormat="1" x14ac:dyDescent="0.25">
      <c r="A34" s="7" t="s">
        <v>114</v>
      </c>
    </row>
    <row r="36" spans="1:6" x14ac:dyDescent="0.25">
      <c r="A36" t="s">
        <v>115</v>
      </c>
    </row>
    <row r="38" spans="1:6" x14ac:dyDescent="0.25">
      <c r="B38" t="s">
        <v>103</v>
      </c>
      <c r="C38">
        <v>1</v>
      </c>
      <c r="D38" t="s">
        <v>116</v>
      </c>
      <c r="E38">
        <f>C38*10^6/(250*10000)</f>
        <v>0.4</v>
      </c>
      <c r="F38" t="s">
        <v>119</v>
      </c>
    </row>
    <row r="39" spans="1:6" x14ac:dyDescent="0.25">
      <c r="B39" t="s">
        <v>105</v>
      </c>
      <c r="C39">
        <v>4.4000000000000004</v>
      </c>
      <c r="E39" t="s">
        <v>117</v>
      </c>
    </row>
    <row r="41" spans="1:6" x14ac:dyDescent="0.25">
      <c r="A41" t="s">
        <v>118</v>
      </c>
    </row>
    <row r="44" spans="1:6" s="31" customFormat="1" x14ac:dyDescent="0.25">
      <c r="A44" s="7" t="s">
        <v>121</v>
      </c>
    </row>
    <row r="45" spans="1:6" x14ac:dyDescent="0.25">
      <c r="A45" t="s">
        <v>156</v>
      </c>
    </row>
    <row r="46" spans="1:6" x14ac:dyDescent="0.25">
      <c r="A46" t="s">
        <v>122</v>
      </c>
    </row>
    <row r="48" spans="1:6" x14ac:dyDescent="0.25">
      <c r="B48" t="s">
        <v>104</v>
      </c>
      <c r="C48">
        <v>0.05</v>
      </c>
      <c r="D48" t="s">
        <v>123</v>
      </c>
    </row>
    <row r="49" spans="1:6" x14ac:dyDescent="0.25">
      <c r="B49" t="s">
        <v>113</v>
      </c>
      <c r="C49">
        <v>0.04</v>
      </c>
      <c r="E49" t="s">
        <v>155</v>
      </c>
      <c r="F49">
        <f>C48/C49</f>
        <v>1.25</v>
      </c>
    </row>
    <row r="50" spans="1:6" x14ac:dyDescent="0.25">
      <c r="B50" t="s">
        <v>105</v>
      </c>
      <c r="C50">
        <v>5</v>
      </c>
    </row>
    <row r="51" spans="1:6" x14ac:dyDescent="0.25">
      <c r="B51" t="s">
        <v>112</v>
      </c>
      <c r="C51">
        <v>2.8</v>
      </c>
    </row>
    <row r="53" spans="1:6" x14ac:dyDescent="0.25">
      <c r="A53" t="s">
        <v>154</v>
      </c>
    </row>
    <row r="55" spans="1:6" x14ac:dyDescent="0.25">
      <c r="B55" t="s">
        <v>104</v>
      </c>
      <c r="C55">
        <v>0.8</v>
      </c>
      <c r="D55">
        <f>C55/C48</f>
        <v>16</v>
      </c>
    </row>
    <row r="56" spans="1:6" x14ac:dyDescent="0.25">
      <c r="B56" t="s">
        <v>113</v>
      </c>
      <c r="C56">
        <v>0.25</v>
      </c>
      <c r="D56">
        <f>C56/C49</f>
        <v>6.25</v>
      </c>
      <c r="E56" t="s">
        <v>155</v>
      </c>
      <c r="F56">
        <f>C55/C56</f>
        <v>3.2</v>
      </c>
    </row>
    <row r="57" spans="1:6" x14ac:dyDescent="0.25">
      <c r="B57" t="s">
        <v>105</v>
      </c>
      <c r="C57">
        <v>3</v>
      </c>
    </row>
    <row r="58" spans="1:6" x14ac:dyDescent="0.25">
      <c r="B58" t="s">
        <v>112</v>
      </c>
      <c r="C58">
        <v>1.5</v>
      </c>
    </row>
    <row r="61" spans="1:6" s="31" customFormat="1" x14ac:dyDescent="0.25">
      <c r="A61" s="7" t="s">
        <v>157</v>
      </c>
    </row>
    <row r="62" spans="1:6" x14ac:dyDescent="0.25">
      <c r="A62" t="s">
        <v>158</v>
      </c>
    </row>
    <row r="63" spans="1:6" x14ac:dyDescent="0.25">
      <c r="A63" t="s">
        <v>159</v>
      </c>
    </row>
    <row r="66" spans="1:7" s="31" customFormat="1" x14ac:dyDescent="0.25">
      <c r="A66" s="7" t="s">
        <v>330</v>
      </c>
    </row>
    <row r="67" spans="1:7" x14ac:dyDescent="0.25">
      <c r="A67" t="s">
        <v>178</v>
      </c>
      <c r="B67" t="s">
        <v>179</v>
      </c>
      <c r="F67" t="s">
        <v>189</v>
      </c>
      <c r="G67" t="s">
        <v>81</v>
      </c>
    </row>
    <row r="68" spans="1:7" x14ac:dyDescent="0.25">
      <c r="A68" s="25">
        <v>41982</v>
      </c>
      <c r="B68">
        <v>2.9</v>
      </c>
      <c r="C68" t="s">
        <v>180</v>
      </c>
      <c r="F68" t="s">
        <v>190</v>
      </c>
      <c r="G68" t="s">
        <v>99</v>
      </c>
    </row>
    <row r="70" spans="1:7" x14ac:dyDescent="0.25">
      <c r="A70" t="s">
        <v>181</v>
      </c>
      <c r="B70" t="s">
        <v>182</v>
      </c>
      <c r="C70" t="s">
        <v>183</v>
      </c>
    </row>
    <row r="71" spans="1:7" x14ac:dyDescent="0.25">
      <c r="A71" t="s">
        <v>184</v>
      </c>
      <c r="B71">
        <v>2.2870125000000003</v>
      </c>
      <c r="C71">
        <v>0.7309330444956722</v>
      </c>
    </row>
    <row r="72" spans="1:7" x14ac:dyDescent="0.25">
      <c r="A72">
        <v>0</v>
      </c>
      <c r="B72">
        <v>2.2870125000000003</v>
      </c>
      <c r="C72">
        <v>0.7309330444956722</v>
      </c>
    </row>
    <row r="73" spans="1:7" x14ac:dyDescent="0.25">
      <c r="A73">
        <v>1</v>
      </c>
      <c r="B73">
        <v>1.75</v>
      </c>
      <c r="C73">
        <v>0.20952326839756921</v>
      </c>
    </row>
    <row r="74" spans="1:7" x14ac:dyDescent="0.25">
      <c r="A74">
        <v>2</v>
      </c>
      <c r="B74">
        <v>2.2815250000000002</v>
      </c>
      <c r="C74">
        <v>0.20010489540904686</v>
      </c>
    </row>
    <row r="75" spans="1:7" x14ac:dyDescent="0.25">
      <c r="A75">
        <v>3</v>
      </c>
      <c r="B75">
        <v>3.92</v>
      </c>
      <c r="C75" t="e">
        <v>#DIV/0!</v>
      </c>
    </row>
    <row r="76" spans="1:7" x14ac:dyDescent="0.25">
      <c r="A76" t="s">
        <v>185</v>
      </c>
      <c r="B76">
        <v>1.0091249999999998</v>
      </c>
      <c r="C76">
        <v>0.47786590430789283</v>
      </c>
    </row>
    <row r="77" spans="1:7" x14ac:dyDescent="0.25">
      <c r="A77">
        <v>0</v>
      </c>
      <c r="B77">
        <v>1.0091249999999998</v>
      </c>
      <c r="C77">
        <v>0.47786590430789283</v>
      </c>
    </row>
    <row r="78" spans="1:7" x14ac:dyDescent="0.25">
      <c r="A78">
        <v>0</v>
      </c>
      <c r="B78">
        <v>1.0091249999999998</v>
      </c>
      <c r="C78">
        <v>0.47786590430789283</v>
      </c>
    </row>
    <row r="79" spans="1:7" x14ac:dyDescent="0.25">
      <c r="A79" t="s">
        <v>186</v>
      </c>
      <c r="B79">
        <v>4.8106111111111112</v>
      </c>
      <c r="C79">
        <v>0.51639141548532097</v>
      </c>
    </row>
    <row r="80" spans="1:7" x14ac:dyDescent="0.25">
      <c r="A80" t="s">
        <v>187</v>
      </c>
      <c r="B80">
        <v>4.9147749999999997</v>
      </c>
      <c r="C80">
        <v>0.98298377868949161</v>
      </c>
    </row>
    <row r="81" spans="1:3" x14ac:dyDescent="0.25">
      <c r="A81">
        <v>3</v>
      </c>
      <c r="B81">
        <v>4.6097666666666663</v>
      </c>
      <c r="C81">
        <v>0.94403663241070213</v>
      </c>
    </row>
    <row r="82" spans="1:3" x14ac:dyDescent="0.25">
      <c r="A82">
        <v>4</v>
      </c>
      <c r="B82">
        <v>5.8297999999999996</v>
      </c>
      <c r="C82" t="e">
        <v>#DIV/0!</v>
      </c>
    </row>
    <row r="83" spans="1:3" x14ac:dyDescent="0.25">
      <c r="A83" t="s">
        <v>188</v>
      </c>
      <c r="B83">
        <v>4.78085</v>
      </c>
      <c r="C83">
        <v>0.34847466247149217</v>
      </c>
    </row>
    <row r="84" spans="1:3" x14ac:dyDescent="0.25">
      <c r="A84">
        <v>1</v>
      </c>
      <c r="B84">
        <v>4.3347250000000006</v>
      </c>
      <c r="C84">
        <v>9.8384801502363659E-2</v>
      </c>
    </row>
    <row r="85" spans="1:3" x14ac:dyDescent="0.25">
      <c r="A85">
        <v>2</v>
      </c>
      <c r="B85">
        <v>4.790375</v>
      </c>
      <c r="C85">
        <v>0.16446041823692564</v>
      </c>
    </row>
    <row r="86" spans="1:3" x14ac:dyDescent="0.25">
      <c r="A86">
        <v>3</v>
      </c>
      <c r="B86">
        <v>5.0953749999999998</v>
      </c>
      <c r="C86">
        <v>0.11109150507579962</v>
      </c>
    </row>
    <row r="87" spans="1:3" x14ac:dyDescent="0.25">
      <c r="A87">
        <v>4</v>
      </c>
      <c r="B87">
        <v>5.0250000000000004</v>
      </c>
      <c r="C87">
        <v>0.34648232278139673</v>
      </c>
    </row>
    <row r="89" spans="1:3" x14ac:dyDescent="0.25">
      <c r="A89" t="s">
        <v>177</v>
      </c>
      <c r="B89">
        <v>1.1827218811602722</v>
      </c>
      <c r="C89">
        <v>0.11366340365867296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H42" sqref="H42"/>
    </sheetView>
  </sheetViews>
  <sheetFormatPr baseColWidth="10" defaultRowHeight="15" x14ac:dyDescent="0.25"/>
  <sheetData>
    <row r="1" spans="1:3" x14ac:dyDescent="0.25">
      <c r="A1" s="7" t="s">
        <v>160</v>
      </c>
      <c r="B1" s="7" t="s">
        <v>161</v>
      </c>
      <c r="C1" s="7" t="s">
        <v>162</v>
      </c>
    </row>
    <row r="2" spans="1:3" x14ac:dyDescent="0.25">
      <c r="A2">
        <v>0</v>
      </c>
      <c r="B2">
        <f>A2*476</f>
        <v>0</v>
      </c>
      <c r="C2" s="33">
        <f>IF(A2&lt;1.55,4.4,5.35*A2^-0.442)</f>
        <v>4.4000000000000004</v>
      </c>
    </row>
    <row r="3" spans="1:3" x14ac:dyDescent="0.25">
      <c r="A3">
        <v>1</v>
      </c>
      <c r="B3">
        <f t="shared" ref="B3:B16" si="0">A3*476</f>
        <v>476</v>
      </c>
      <c r="C3" s="33">
        <f t="shared" ref="C3:C4" si="1">IF(A3&lt;1.55,4.4,5.35*A3^-0.442)</f>
        <v>4.4000000000000004</v>
      </c>
    </row>
    <row r="4" spans="1:3" x14ac:dyDescent="0.25">
      <c r="A4">
        <v>2</v>
      </c>
      <c r="B4">
        <f t="shared" si="0"/>
        <v>952</v>
      </c>
      <c r="C4" s="33">
        <f t="shared" si="1"/>
        <v>3.9382068562998769</v>
      </c>
    </row>
    <row r="5" spans="1:3" x14ac:dyDescent="0.25">
      <c r="A5">
        <v>3</v>
      </c>
      <c r="B5">
        <f t="shared" si="0"/>
        <v>1428</v>
      </c>
      <c r="C5" s="33">
        <f t="shared" ref="C5:C16" si="2">IF(A5&lt;1.55,4.4,5.35*A5^-0.442)</f>
        <v>3.2920482166369851</v>
      </c>
    </row>
    <row r="6" spans="1:3" x14ac:dyDescent="0.25">
      <c r="A6">
        <v>4</v>
      </c>
      <c r="B6">
        <f t="shared" si="0"/>
        <v>1904</v>
      </c>
      <c r="C6" s="33">
        <f t="shared" si="2"/>
        <v>2.898966961309787</v>
      </c>
    </row>
    <row r="7" spans="1:3" x14ac:dyDescent="0.25">
      <c r="A7">
        <v>5</v>
      </c>
      <c r="B7">
        <f t="shared" si="0"/>
        <v>2380</v>
      </c>
      <c r="C7" s="33">
        <f t="shared" si="2"/>
        <v>2.6266913270069852</v>
      </c>
    </row>
    <row r="8" spans="1:3" x14ac:dyDescent="0.25">
      <c r="A8">
        <v>6</v>
      </c>
      <c r="B8">
        <f t="shared" si="0"/>
        <v>2856</v>
      </c>
      <c r="C8" s="33">
        <f t="shared" si="2"/>
        <v>2.4233209080429079</v>
      </c>
    </row>
    <row r="9" spans="1:3" x14ac:dyDescent="0.25">
      <c r="A9">
        <v>7</v>
      </c>
      <c r="B9">
        <f t="shared" si="0"/>
        <v>3332</v>
      </c>
      <c r="C9" s="33">
        <f t="shared" si="2"/>
        <v>2.2637082224491012</v>
      </c>
    </row>
    <row r="10" spans="1:3" x14ac:dyDescent="0.25">
      <c r="A10">
        <v>8</v>
      </c>
      <c r="B10">
        <f t="shared" si="0"/>
        <v>3808</v>
      </c>
      <c r="C10" s="33">
        <f t="shared" si="2"/>
        <v>2.1339685164891629</v>
      </c>
    </row>
    <row r="11" spans="1:3" x14ac:dyDescent="0.25">
      <c r="A11">
        <v>9</v>
      </c>
      <c r="B11">
        <f t="shared" si="0"/>
        <v>4284</v>
      </c>
      <c r="C11" s="33">
        <f t="shared" si="2"/>
        <v>2.0257161608715433</v>
      </c>
    </row>
    <row r="12" spans="1:3" x14ac:dyDescent="0.25">
      <c r="A12">
        <v>10</v>
      </c>
      <c r="B12">
        <f t="shared" si="0"/>
        <v>4760</v>
      </c>
      <c r="C12" s="33">
        <f t="shared" si="2"/>
        <v>1.9335427651219308</v>
      </c>
    </row>
    <row r="13" spans="1:3" x14ac:dyDescent="0.25">
      <c r="A13">
        <v>11</v>
      </c>
      <c r="B13">
        <f t="shared" si="0"/>
        <v>5236</v>
      </c>
      <c r="C13" s="33">
        <f t="shared" si="2"/>
        <v>1.8537800974717134</v>
      </c>
    </row>
    <row r="14" spans="1:3" x14ac:dyDescent="0.25">
      <c r="A14">
        <v>12</v>
      </c>
      <c r="B14">
        <f t="shared" si="0"/>
        <v>5712</v>
      </c>
      <c r="C14" s="33">
        <f t="shared" si="2"/>
        <v>1.7838390682372756</v>
      </c>
    </row>
    <row r="15" spans="1:3" x14ac:dyDescent="0.25">
      <c r="A15">
        <v>13</v>
      </c>
      <c r="B15">
        <f t="shared" si="0"/>
        <v>6188</v>
      </c>
      <c r="C15" s="33">
        <f t="shared" si="2"/>
        <v>1.721832180171422</v>
      </c>
    </row>
    <row r="16" spans="1:3" x14ac:dyDescent="0.25">
      <c r="A16">
        <v>14</v>
      </c>
      <c r="B16">
        <f t="shared" si="0"/>
        <v>6664</v>
      </c>
      <c r="C16" s="33">
        <f t="shared" si="2"/>
        <v>1.6663460266002725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"/>
  <sheetViews>
    <sheetView topLeftCell="A79" zoomScaleNormal="100" workbookViewId="0">
      <selection activeCell="G102" sqref="G102"/>
    </sheetView>
  </sheetViews>
  <sheetFormatPr baseColWidth="10" defaultRowHeight="15" x14ac:dyDescent="0.25"/>
  <sheetData>
    <row r="1" spans="1:4" s="7" customFormat="1" x14ac:dyDescent="0.25">
      <c r="A1" s="7" t="s">
        <v>219</v>
      </c>
    </row>
    <row r="2" spans="1:4" s="46" customFormat="1" x14ac:dyDescent="0.25"/>
    <row r="3" spans="1:4" s="46" customFormat="1" x14ac:dyDescent="0.25">
      <c r="A3" s="46" t="s">
        <v>220</v>
      </c>
      <c r="B3" s="46">
        <v>0.25</v>
      </c>
      <c r="C3" s="46">
        <v>0.18</v>
      </c>
      <c r="D3" s="46">
        <v>0.3</v>
      </c>
    </row>
    <row r="4" spans="1:4" s="46" customFormat="1" x14ac:dyDescent="0.25">
      <c r="A4" s="46" t="s">
        <v>204</v>
      </c>
      <c r="B4" s="46">
        <f>1/B3</f>
        <v>4</v>
      </c>
      <c r="C4" s="46">
        <f t="shared" ref="C4:D4" si="0">1/C3</f>
        <v>5.5555555555555554</v>
      </c>
      <c r="D4" s="46">
        <f t="shared" si="0"/>
        <v>3.3333333333333335</v>
      </c>
    </row>
    <row r="5" spans="1:4" s="46" customFormat="1" x14ac:dyDescent="0.25"/>
    <row r="6" spans="1:4" s="46" customFormat="1" x14ac:dyDescent="0.25">
      <c r="A6" s="47" t="s">
        <v>224</v>
      </c>
    </row>
    <row r="7" spans="1:4" s="46" customFormat="1" x14ac:dyDescent="0.25">
      <c r="A7" s="47" t="s">
        <v>221</v>
      </c>
    </row>
    <row r="8" spans="1:4" s="46" customFormat="1" x14ac:dyDescent="0.25">
      <c r="A8" s="47" t="s">
        <v>222</v>
      </c>
    </row>
    <row r="9" spans="1:4" s="46" customFormat="1" x14ac:dyDescent="0.25">
      <c r="A9" s="47" t="s">
        <v>223</v>
      </c>
    </row>
    <row r="10" spans="1:4" s="46" customFormat="1" x14ac:dyDescent="0.25"/>
    <row r="11" spans="1:4" s="46" customFormat="1" x14ac:dyDescent="0.25"/>
    <row r="12" spans="1:4" s="46" customFormat="1" x14ac:dyDescent="0.25"/>
    <row r="13" spans="1:4" s="46" customFormat="1" x14ac:dyDescent="0.25"/>
    <row r="14" spans="1:4" s="46" customFormat="1" x14ac:dyDescent="0.25"/>
    <row r="15" spans="1:4" s="46" customFormat="1" x14ac:dyDescent="0.25"/>
    <row r="16" spans="1:4" s="46" customFormat="1" x14ac:dyDescent="0.25"/>
    <row r="18" spans="1:24" s="7" customFormat="1" x14ac:dyDescent="0.25">
      <c r="A18" s="7" t="s">
        <v>193</v>
      </c>
    </row>
    <row r="20" spans="1:24" x14ac:dyDescent="0.25">
      <c r="A20" t="s">
        <v>224</v>
      </c>
    </row>
    <row r="21" spans="1:24" x14ac:dyDescent="0.25">
      <c r="A21" t="s">
        <v>222</v>
      </c>
    </row>
    <row r="22" spans="1:24" x14ac:dyDescent="0.25">
      <c r="A22" t="s">
        <v>225</v>
      </c>
    </row>
    <row r="23" spans="1:24" x14ac:dyDescent="0.25">
      <c r="C23" s="132" t="s">
        <v>229</v>
      </c>
      <c r="D23" s="132"/>
      <c r="E23" s="132"/>
      <c r="F23" s="132"/>
      <c r="G23" s="132"/>
      <c r="H23" s="132"/>
      <c r="I23" s="132" t="s">
        <v>228</v>
      </c>
      <c r="J23" s="132"/>
      <c r="K23" s="132"/>
      <c r="L23" s="132"/>
      <c r="M23" s="132"/>
      <c r="N23" s="132" t="s">
        <v>226</v>
      </c>
      <c r="O23" s="132"/>
      <c r="P23" s="132"/>
      <c r="Q23" s="132"/>
      <c r="R23" s="132"/>
      <c r="S23" s="132"/>
      <c r="T23" s="132" t="s">
        <v>227</v>
      </c>
      <c r="U23" s="132"/>
      <c r="V23" s="132"/>
      <c r="W23" s="132"/>
      <c r="X23" s="132"/>
    </row>
    <row r="24" spans="1:24" x14ac:dyDescent="0.25">
      <c r="B24" s="34" t="s">
        <v>205</v>
      </c>
      <c r="C24" s="31" t="s">
        <v>194</v>
      </c>
      <c r="D24" s="31" t="s">
        <v>230</v>
      </c>
      <c r="E24" s="31" t="s">
        <v>196</v>
      </c>
      <c r="F24" s="31" t="s">
        <v>231</v>
      </c>
      <c r="G24" s="31" t="s">
        <v>198</v>
      </c>
      <c r="H24" s="31" t="s">
        <v>204</v>
      </c>
      <c r="I24" s="31" t="s">
        <v>194</v>
      </c>
      <c r="J24" s="31" t="s">
        <v>195</v>
      </c>
      <c r="K24" s="31" t="s">
        <v>196</v>
      </c>
      <c r="L24" s="31" t="s">
        <v>197</v>
      </c>
      <c r="M24" s="31" t="s">
        <v>198</v>
      </c>
      <c r="N24" s="31" t="s">
        <v>194</v>
      </c>
      <c r="O24" s="31" t="s">
        <v>195</v>
      </c>
      <c r="P24" s="31" t="s">
        <v>196</v>
      </c>
      <c r="Q24" s="31" t="s">
        <v>197</v>
      </c>
      <c r="R24" s="31" t="s">
        <v>198</v>
      </c>
      <c r="S24" s="31" t="s">
        <v>204</v>
      </c>
      <c r="T24" s="31" t="s">
        <v>194</v>
      </c>
      <c r="U24" s="31" t="s">
        <v>195</v>
      </c>
      <c r="V24" s="31" t="s">
        <v>196</v>
      </c>
      <c r="W24" s="31" t="s">
        <v>197</v>
      </c>
      <c r="X24" s="31" t="s">
        <v>198</v>
      </c>
    </row>
    <row r="25" spans="1:24" x14ac:dyDescent="0.25">
      <c r="A25" t="s">
        <v>232</v>
      </c>
      <c r="B25" s="34" t="s">
        <v>199</v>
      </c>
      <c r="C25">
        <v>27</v>
      </c>
      <c r="D25">
        <v>8</v>
      </c>
      <c r="E25">
        <v>32</v>
      </c>
      <c r="F25">
        <v>67</v>
      </c>
      <c r="G25">
        <v>0.48</v>
      </c>
      <c r="H25">
        <f>(C25+D25)/E25</f>
        <v>1.09375</v>
      </c>
      <c r="I25">
        <v>27</v>
      </c>
      <c r="J25">
        <v>8</v>
      </c>
      <c r="K25">
        <v>32</v>
      </c>
      <c r="L25">
        <v>67</v>
      </c>
      <c r="M25">
        <v>0.48</v>
      </c>
      <c r="N25">
        <v>27</v>
      </c>
      <c r="O25">
        <v>8</v>
      </c>
      <c r="P25">
        <v>32</v>
      </c>
      <c r="Q25">
        <v>67</v>
      </c>
      <c r="R25">
        <v>0.48</v>
      </c>
      <c r="S25">
        <f>N25/P25</f>
        <v>0.84375</v>
      </c>
      <c r="T25">
        <v>27</v>
      </c>
      <c r="U25">
        <v>8</v>
      </c>
      <c r="V25">
        <v>32</v>
      </c>
      <c r="W25">
        <v>67</v>
      </c>
      <c r="X25">
        <v>0.48</v>
      </c>
    </row>
    <row r="26" spans="1:24" x14ac:dyDescent="0.25">
      <c r="A26" t="s">
        <v>233</v>
      </c>
      <c r="B26" s="34" t="s">
        <v>200</v>
      </c>
      <c r="C26">
        <v>175</v>
      </c>
      <c r="D26">
        <v>20</v>
      </c>
      <c r="E26">
        <v>66</v>
      </c>
      <c r="F26">
        <v>261</v>
      </c>
      <c r="G26">
        <v>0.25</v>
      </c>
      <c r="H26">
        <f t="shared" ref="H26:H29" si="1">(C26+D26)/E26</f>
        <v>2.9545454545454546</v>
      </c>
      <c r="I26">
        <v>149</v>
      </c>
      <c r="J26">
        <v>20</v>
      </c>
      <c r="K26">
        <v>75</v>
      </c>
      <c r="L26">
        <v>244</v>
      </c>
      <c r="M26">
        <v>0.31</v>
      </c>
      <c r="N26">
        <v>186</v>
      </c>
      <c r="O26">
        <v>20</v>
      </c>
      <c r="P26">
        <v>65</v>
      </c>
      <c r="Q26">
        <v>271</v>
      </c>
      <c r="R26">
        <v>0.24</v>
      </c>
      <c r="S26">
        <f t="shared" ref="S26:S29" si="2">N26/P26</f>
        <v>2.8615384615384616</v>
      </c>
      <c r="T26" t="s">
        <v>201</v>
      </c>
      <c r="U26">
        <v>20</v>
      </c>
      <c r="V26">
        <v>60</v>
      </c>
      <c r="W26" t="s">
        <v>201</v>
      </c>
      <c r="X26" t="s">
        <v>201</v>
      </c>
    </row>
    <row r="27" spans="1:24" x14ac:dyDescent="0.25">
      <c r="A27" t="s">
        <v>234</v>
      </c>
      <c r="B27" s="34" t="s">
        <v>202</v>
      </c>
      <c r="C27">
        <v>732</v>
      </c>
      <c r="D27">
        <v>48</v>
      </c>
      <c r="E27">
        <v>90</v>
      </c>
      <c r="F27">
        <v>870</v>
      </c>
      <c r="G27">
        <v>0.1</v>
      </c>
      <c r="H27">
        <f t="shared" si="1"/>
        <v>8.6666666666666661</v>
      </c>
      <c r="I27">
        <v>636</v>
      </c>
      <c r="J27">
        <v>48</v>
      </c>
      <c r="K27">
        <v>104</v>
      </c>
      <c r="L27">
        <v>788</v>
      </c>
      <c r="M27">
        <v>0.13</v>
      </c>
      <c r="N27">
        <v>670</v>
      </c>
      <c r="O27">
        <v>48</v>
      </c>
      <c r="P27">
        <v>83</v>
      </c>
      <c r="Q27">
        <v>801</v>
      </c>
      <c r="R27">
        <v>0.1</v>
      </c>
      <c r="S27">
        <f t="shared" si="2"/>
        <v>8.0722891566265051</v>
      </c>
      <c r="T27">
        <v>467</v>
      </c>
      <c r="U27">
        <v>48</v>
      </c>
      <c r="V27">
        <v>77</v>
      </c>
      <c r="W27">
        <v>592</v>
      </c>
      <c r="X27">
        <v>0.13</v>
      </c>
    </row>
    <row r="28" spans="1:24" x14ac:dyDescent="0.25">
      <c r="A28" t="s">
        <v>235</v>
      </c>
      <c r="B28" s="34" t="s">
        <v>202</v>
      </c>
      <c r="C28">
        <v>1179</v>
      </c>
      <c r="D28">
        <v>72</v>
      </c>
      <c r="E28">
        <v>105</v>
      </c>
      <c r="F28">
        <v>1356</v>
      </c>
      <c r="G28">
        <v>0.08</v>
      </c>
      <c r="H28">
        <f t="shared" si="1"/>
        <v>11.914285714285715</v>
      </c>
      <c r="I28">
        <v>1026</v>
      </c>
      <c r="J28">
        <v>72</v>
      </c>
      <c r="K28">
        <v>102</v>
      </c>
      <c r="L28">
        <v>1200</v>
      </c>
      <c r="M28">
        <v>0.09</v>
      </c>
      <c r="N28">
        <v>899</v>
      </c>
      <c r="O28">
        <v>72</v>
      </c>
      <c r="P28">
        <v>92</v>
      </c>
      <c r="Q28">
        <v>1063</v>
      </c>
      <c r="R28">
        <v>0.09</v>
      </c>
      <c r="S28">
        <f t="shared" si="2"/>
        <v>9.7717391304347831</v>
      </c>
      <c r="T28" t="s">
        <v>201</v>
      </c>
      <c r="U28" t="s">
        <v>201</v>
      </c>
    </row>
    <row r="29" spans="1:24" x14ac:dyDescent="0.25">
      <c r="A29" t="s">
        <v>236</v>
      </c>
      <c r="B29" s="34" t="s">
        <v>203</v>
      </c>
      <c r="C29">
        <v>1989</v>
      </c>
      <c r="D29">
        <v>54</v>
      </c>
      <c r="E29">
        <v>76</v>
      </c>
      <c r="F29">
        <v>2119</v>
      </c>
      <c r="G29">
        <v>0.04</v>
      </c>
      <c r="H29">
        <f t="shared" si="1"/>
        <v>26.881578947368421</v>
      </c>
      <c r="N29">
        <v>1577</v>
      </c>
      <c r="O29">
        <v>54</v>
      </c>
      <c r="P29">
        <v>71</v>
      </c>
      <c r="Q29">
        <v>1702</v>
      </c>
      <c r="R29">
        <v>0.04</v>
      </c>
      <c r="S29">
        <f t="shared" si="2"/>
        <v>22.211267605633804</v>
      </c>
    </row>
    <row r="32" spans="1:24" s="7" customFormat="1" x14ac:dyDescent="0.25">
      <c r="A32" s="7" t="s">
        <v>214</v>
      </c>
    </row>
    <row r="33" spans="1:15" x14ac:dyDescent="0.25">
      <c r="A33" t="s">
        <v>240</v>
      </c>
    </row>
    <row r="34" spans="1:15" x14ac:dyDescent="0.25">
      <c r="A34" t="s">
        <v>222</v>
      </c>
    </row>
    <row r="36" spans="1:15" x14ac:dyDescent="0.25">
      <c r="A36" t="s">
        <v>206</v>
      </c>
      <c r="B36" t="s">
        <v>216</v>
      </c>
      <c r="D36" t="s">
        <v>218</v>
      </c>
    </row>
    <row r="37" spans="1:15" x14ac:dyDescent="0.25">
      <c r="B37">
        <v>34</v>
      </c>
      <c r="E37">
        <v>62</v>
      </c>
      <c r="H37">
        <v>90</v>
      </c>
      <c r="K37" t="s">
        <v>207</v>
      </c>
      <c r="N37">
        <v>132</v>
      </c>
    </row>
    <row r="38" spans="1:15" x14ac:dyDescent="0.25">
      <c r="B38" t="s">
        <v>208</v>
      </c>
      <c r="C38" t="s">
        <v>120</v>
      </c>
      <c r="D38" t="s">
        <v>217</v>
      </c>
      <c r="E38" t="s">
        <v>208</v>
      </c>
      <c r="F38" t="s">
        <v>120</v>
      </c>
      <c r="G38" t="s">
        <v>217</v>
      </c>
      <c r="H38" t="s">
        <v>208</v>
      </c>
      <c r="I38" t="s">
        <v>120</v>
      </c>
      <c r="J38" t="s">
        <v>217</v>
      </c>
      <c r="K38" t="s">
        <v>208</v>
      </c>
      <c r="L38" t="s">
        <v>120</v>
      </c>
      <c r="M38" t="s">
        <v>217</v>
      </c>
      <c r="N38" t="s">
        <v>208</v>
      </c>
      <c r="O38" t="s">
        <v>120</v>
      </c>
    </row>
    <row r="39" spans="1:15" x14ac:dyDescent="0.25">
      <c r="A39" t="s">
        <v>215</v>
      </c>
      <c r="B39">
        <v>26.6</v>
      </c>
      <c r="C39">
        <v>18.100000000000001</v>
      </c>
      <c r="D39">
        <f>C39/B39</f>
        <v>0.68045112781954886</v>
      </c>
      <c r="E39">
        <v>117.9</v>
      </c>
      <c r="F39">
        <v>78.2</v>
      </c>
      <c r="G39">
        <f>F39/E39</f>
        <v>0.66327396098388469</v>
      </c>
      <c r="H39">
        <v>317.8</v>
      </c>
      <c r="I39">
        <v>270.3</v>
      </c>
      <c r="J39">
        <f>I39/H39</f>
        <v>0.85053492762743865</v>
      </c>
      <c r="K39">
        <v>397.2</v>
      </c>
      <c r="L39">
        <v>622.4</v>
      </c>
      <c r="M39">
        <f>L39/K39</f>
        <v>1.5669687814702919</v>
      </c>
      <c r="N39" t="s">
        <v>201</v>
      </c>
      <c r="O39" t="s">
        <v>201</v>
      </c>
    </row>
    <row r="40" spans="1:15" x14ac:dyDescent="0.25">
      <c r="A40" t="s">
        <v>209</v>
      </c>
      <c r="B40">
        <v>16.399999999999999</v>
      </c>
      <c r="C40">
        <v>12.3</v>
      </c>
      <c r="D40">
        <f t="shared" ref="D40:D44" si="3">C40/B40</f>
        <v>0.75000000000000011</v>
      </c>
      <c r="E40">
        <v>149</v>
      </c>
      <c r="F40">
        <v>82.5</v>
      </c>
      <c r="G40">
        <f t="shared" ref="G40:G44" si="4">F40/E40</f>
        <v>0.55369127516778527</v>
      </c>
      <c r="H40">
        <v>338</v>
      </c>
      <c r="I40">
        <v>353.2</v>
      </c>
      <c r="J40">
        <f t="shared" ref="J40:J44" si="5">I40/H40</f>
        <v>1.0449704142011833</v>
      </c>
      <c r="K40">
        <v>368.6</v>
      </c>
      <c r="L40">
        <v>606.1</v>
      </c>
      <c r="M40">
        <f t="shared" ref="M40:M44" si="6">L40/K40</f>
        <v>1.6443298969072164</v>
      </c>
      <c r="N40" t="s">
        <v>201</v>
      </c>
      <c r="O40" t="s">
        <v>201</v>
      </c>
    </row>
    <row r="41" spans="1:15" x14ac:dyDescent="0.25">
      <c r="A41" t="s">
        <v>210</v>
      </c>
      <c r="B41">
        <v>22.3</v>
      </c>
      <c r="C41">
        <v>12.4</v>
      </c>
      <c r="D41">
        <f t="shared" si="3"/>
        <v>0.55605381165919288</v>
      </c>
      <c r="E41">
        <v>74.7</v>
      </c>
      <c r="F41">
        <v>68.8</v>
      </c>
      <c r="G41">
        <f t="shared" si="4"/>
        <v>0.92101740294511369</v>
      </c>
      <c r="H41">
        <v>222.9</v>
      </c>
      <c r="I41">
        <v>301</v>
      </c>
      <c r="J41">
        <f t="shared" si="5"/>
        <v>1.3503813369223867</v>
      </c>
      <c r="K41">
        <v>280</v>
      </c>
      <c r="L41">
        <v>509</v>
      </c>
      <c r="M41">
        <f t="shared" si="6"/>
        <v>1.8178571428571428</v>
      </c>
      <c r="N41">
        <v>294.89999999999998</v>
      </c>
      <c r="O41">
        <v>669.7</v>
      </c>
    </row>
    <row r="42" spans="1:15" x14ac:dyDescent="0.25">
      <c r="A42" t="s">
        <v>211</v>
      </c>
      <c r="B42">
        <v>26.9</v>
      </c>
      <c r="C42">
        <v>14.8</v>
      </c>
      <c r="D42">
        <f t="shared" si="3"/>
        <v>0.55018587360594806</v>
      </c>
      <c r="E42">
        <v>158.6</v>
      </c>
      <c r="F42">
        <v>90.4</v>
      </c>
      <c r="G42">
        <f t="shared" si="4"/>
        <v>0.56998738965952089</v>
      </c>
      <c r="H42">
        <v>257.7</v>
      </c>
      <c r="I42">
        <v>360</v>
      </c>
      <c r="J42">
        <f t="shared" si="5"/>
        <v>1.3969732246798603</v>
      </c>
      <c r="K42">
        <v>276</v>
      </c>
      <c r="L42">
        <v>532.79999999999995</v>
      </c>
      <c r="M42">
        <f t="shared" si="6"/>
        <v>1.9304347826086954</v>
      </c>
      <c r="N42" t="s">
        <v>201</v>
      </c>
      <c r="O42" t="s">
        <v>201</v>
      </c>
    </row>
    <row r="43" spans="1:15" x14ac:dyDescent="0.25">
      <c r="A43" t="s">
        <v>212</v>
      </c>
      <c r="B43">
        <v>16.600000000000001</v>
      </c>
      <c r="C43">
        <v>8.5</v>
      </c>
      <c r="D43">
        <f t="shared" si="3"/>
        <v>0.51204819277108427</v>
      </c>
      <c r="E43">
        <v>102.8</v>
      </c>
      <c r="F43">
        <v>63.8</v>
      </c>
      <c r="G43">
        <f t="shared" si="4"/>
        <v>0.62062256809338523</v>
      </c>
      <c r="H43">
        <v>245.8</v>
      </c>
      <c r="I43">
        <v>292.2</v>
      </c>
      <c r="J43">
        <f t="shared" si="5"/>
        <v>1.1887713588283155</v>
      </c>
      <c r="K43">
        <v>261.2</v>
      </c>
      <c r="L43">
        <v>491.9</v>
      </c>
      <c r="M43">
        <f t="shared" si="6"/>
        <v>1.8832312404287901</v>
      </c>
      <c r="N43" t="s">
        <v>201</v>
      </c>
      <c r="O43" t="s">
        <v>201</v>
      </c>
    </row>
    <row r="44" spans="1:15" x14ac:dyDescent="0.25">
      <c r="A44" t="s">
        <v>213</v>
      </c>
      <c r="B44">
        <v>29.4</v>
      </c>
      <c r="C44">
        <v>18.5</v>
      </c>
      <c r="D44">
        <f t="shared" si="3"/>
        <v>0.62925170068027214</v>
      </c>
      <c r="E44">
        <v>164.5</v>
      </c>
      <c r="F44">
        <v>98.9</v>
      </c>
      <c r="G44">
        <f t="shared" si="4"/>
        <v>0.60121580547112463</v>
      </c>
      <c r="H44">
        <v>245.8</v>
      </c>
      <c r="I44">
        <v>367.3</v>
      </c>
      <c r="J44">
        <f t="shared" si="5"/>
        <v>1.4943043124491455</v>
      </c>
      <c r="K44">
        <v>283.10000000000002</v>
      </c>
      <c r="L44">
        <v>536.20000000000005</v>
      </c>
      <c r="M44">
        <f t="shared" si="6"/>
        <v>1.8940303779583185</v>
      </c>
      <c r="N44" t="s">
        <v>201</v>
      </c>
      <c r="O44" t="s">
        <v>201</v>
      </c>
    </row>
    <row r="47" spans="1:15" s="7" customFormat="1" x14ac:dyDescent="0.25">
      <c r="A47" s="7" t="s">
        <v>247</v>
      </c>
    </row>
    <row r="48" spans="1:15" x14ac:dyDescent="0.25">
      <c r="A48" t="s">
        <v>240</v>
      </c>
    </row>
    <row r="49" spans="1:2" x14ac:dyDescent="0.25">
      <c r="A49" t="s">
        <v>248</v>
      </c>
    </row>
    <row r="51" spans="1:2" x14ac:dyDescent="0.25">
      <c r="A51" t="s">
        <v>249</v>
      </c>
    </row>
    <row r="53" spans="1:2" x14ac:dyDescent="0.25">
      <c r="A53" t="s">
        <v>250</v>
      </c>
    </row>
    <row r="55" spans="1:2" x14ac:dyDescent="0.25">
      <c r="A55" t="s">
        <v>251</v>
      </c>
      <c r="B55">
        <f>1/0.34-1</f>
        <v>1.9411764705882351</v>
      </c>
    </row>
    <row r="68" spans="1:7" s="31" customFormat="1" x14ac:dyDescent="0.25">
      <c r="A68" s="7" t="s">
        <v>330</v>
      </c>
    </row>
    <row r="69" spans="1:7" x14ac:dyDescent="0.25">
      <c r="A69" t="s">
        <v>178</v>
      </c>
      <c r="B69" t="s">
        <v>179</v>
      </c>
      <c r="F69" t="s">
        <v>189</v>
      </c>
      <c r="G69" t="s">
        <v>81</v>
      </c>
    </row>
    <row r="70" spans="1:7" x14ac:dyDescent="0.25">
      <c r="A70" s="25">
        <v>41982</v>
      </c>
      <c r="B70">
        <v>2.9</v>
      </c>
      <c r="C70" t="s">
        <v>180</v>
      </c>
      <c r="F70" t="s">
        <v>190</v>
      </c>
      <c r="G70" t="s">
        <v>99</v>
      </c>
    </row>
    <row r="73" spans="1:7" x14ac:dyDescent="0.25">
      <c r="A73" s="7" t="s">
        <v>331</v>
      </c>
      <c r="B73" s="7" t="s">
        <v>177</v>
      </c>
      <c r="C73" s="7" t="s">
        <v>120</v>
      </c>
      <c r="D73" s="7" t="s">
        <v>217</v>
      </c>
      <c r="E73" s="81" t="s">
        <v>332</v>
      </c>
    </row>
    <row r="74" spans="1:7" x14ac:dyDescent="0.25">
      <c r="A74">
        <v>1</v>
      </c>
      <c r="B74">
        <v>16.166666666666668</v>
      </c>
      <c r="C74">
        <v>50.216666666666669</v>
      </c>
      <c r="D74">
        <f>C74/B74</f>
        <v>3.1061855670103093</v>
      </c>
    </row>
    <row r="75" spans="1:7" x14ac:dyDescent="0.25">
      <c r="A75">
        <v>2</v>
      </c>
      <c r="B75">
        <v>13.65</v>
      </c>
      <c r="C75">
        <v>59</v>
      </c>
      <c r="D75">
        <f t="shared" ref="D75:D77" si="7">C75/B75</f>
        <v>4.3223443223443221</v>
      </c>
    </row>
    <row r="76" spans="1:7" x14ac:dyDescent="0.25">
      <c r="A76">
        <v>3</v>
      </c>
      <c r="B76">
        <v>16.233333333333334</v>
      </c>
      <c r="C76">
        <v>48.733333333333334</v>
      </c>
      <c r="D76">
        <f t="shared" si="7"/>
        <v>3.0020533880903488</v>
      </c>
    </row>
    <row r="77" spans="1:7" x14ac:dyDescent="0.25">
      <c r="A77">
        <v>4</v>
      </c>
      <c r="B77">
        <v>12.1</v>
      </c>
      <c r="C77">
        <v>45.033333333333331</v>
      </c>
      <c r="D77">
        <f t="shared" si="7"/>
        <v>3.721763085399449</v>
      </c>
    </row>
    <row r="80" spans="1:7" s="31" customFormat="1" x14ac:dyDescent="0.25">
      <c r="A80" s="7" t="s">
        <v>353</v>
      </c>
    </row>
    <row r="82" spans="1:9" x14ac:dyDescent="0.25">
      <c r="A82" s="7" t="s">
        <v>336</v>
      </c>
      <c r="B82" s="7" t="s">
        <v>337</v>
      </c>
      <c r="C82" s="7" t="s">
        <v>338</v>
      </c>
      <c r="D82" s="7" t="s">
        <v>339</v>
      </c>
      <c r="E82" s="7" t="s">
        <v>397</v>
      </c>
      <c r="F82" s="7" t="s">
        <v>79</v>
      </c>
      <c r="G82" s="7" t="s">
        <v>340</v>
      </c>
      <c r="H82" s="7" t="s">
        <v>341</v>
      </c>
      <c r="I82" s="7" t="s">
        <v>342</v>
      </c>
    </row>
    <row r="83" spans="1:9" x14ac:dyDescent="0.25">
      <c r="A83" t="s">
        <v>351</v>
      </c>
      <c r="B83" t="s">
        <v>343</v>
      </c>
      <c r="C83" t="s">
        <v>344</v>
      </c>
      <c r="D83" t="s">
        <v>345</v>
      </c>
      <c r="E83" t="s">
        <v>398</v>
      </c>
      <c r="F83">
        <v>439.22030000000001</v>
      </c>
      <c r="G83">
        <v>0.97811289999999995</v>
      </c>
      <c r="H83">
        <v>6.5278050000000004E-2</v>
      </c>
      <c r="I83">
        <v>3</v>
      </c>
    </row>
    <row r="84" spans="1:9" x14ac:dyDescent="0.25">
      <c r="A84" t="s">
        <v>352</v>
      </c>
      <c r="B84" t="s">
        <v>343</v>
      </c>
      <c r="C84" t="s">
        <v>344</v>
      </c>
      <c r="D84" t="s">
        <v>345</v>
      </c>
      <c r="E84" t="s">
        <v>398</v>
      </c>
      <c r="F84">
        <v>551.59230000000002</v>
      </c>
      <c r="G84">
        <v>0.93273819999999996</v>
      </c>
      <c r="H84">
        <v>0.24966200999999999</v>
      </c>
      <c r="I84">
        <v>3</v>
      </c>
    </row>
    <row r="85" spans="1:9" x14ac:dyDescent="0.25">
      <c r="A85" t="s">
        <v>402</v>
      </c>
      <c r="B85" t="s">
        <v>343</v>
      </c>
      <c r="C85" t="s">
        <v>344</v>
      </c>
      <c r="D85" t="s">
        <v>345</v>
      </c>
      <c r="E85" t="s">
        <v>398</v>
      </c>
      <c r="F85">
        <v>630.68910000000005</v>
      </c>
      <c r="G85">
        <v>1.1803619000000001</v>
      </c>
      <c r="H85">
        <v>0.47002527999999999</v>
      </c>
      <c r="I85">
        <v>3</v>
      </c>
    </row>
    <row r="86" spans="1:9" x14ac:dyDescent="0.25">
      <c r="A86" t="s">
        <v>403</v>
      </c>
      <c r="B86" t="s">
        <v>343</v>
      </c>
      <c r="C86" t="s">
        <v>344</v>
      </c>
      <c r="D86" t="s">
        <v>345</v>
      </c>
      <c r="E86" t="s">
        <v>398</v>
      </c>
      <c r="F86">
        <v>718.8066</v>
      </c>
      <c r="G86">
        <v>1.7632924999999999</v>
      </c>
      <c r="H86">
        <v>0.29994669000000002</v>
      </c>
      <c r="I86">
        <v>3</v>
      </c>
    </row>
    <row r="87" spans="1:9" x14ac:dyDescent="0.25">
      <c r="A87" t="s">
        <v>404</v>
      </c>
      <c r="B87" t="s">
        <v>343</v>
      </c>
      <c r="C87" t="s">
        <v>344</v>
      </c>
      <c r="D87" t="s">
        <v>345</v>
      </c>
      <c r="E87" t="s">
        <v>398</v>
      </c>
      <c r="F87">
        <v>824.54539999999997</v>
      </c>
      <c r="G87">
        <v>1.5115175999999999</v>
      </c>
      <c r="H87">
        <v>0.19074742</v>
      </c>
      <c r="I87">
        <v>3</v>
      </c>
    </row>
    <row r="88" spans="1:9" x14ac:dyDescent="0.25">
      <c r="A88" t="s">
        <v>351</v>
      </c>
      <c r="B88" t="s">
        <v>346</v>
      </c>
      <c r="C88" t="s">
        <v>347</v>
      </c>
      <c r="D88" t="s">
        <v>345</v>
      </c>
      <c r="E88" t="s">
        <v>399</v>
      </c>
      <c r="F88">
        <v>285.63400000000001</v>
      </c>
      <c r="G88">
        <v>0.99240890000000004</v>
      </c>
      <c r="H88">
        <v>4.673654E-2</v>
      </c>
      <c r="I88">
        <v>3</v>
      </c>
    </row>
    <row r="89" spans="1:9" x14ac:dyDescent="0.25">
      <c r="A89" t="s">
        <v>352</v>
      </c>
      <c r="B89" t="s">
        <v>346</v>
      </c>
      <c r="C89" t="s">
        <v>347</v>
      </c>
      <c r="D89" t="s">
        <v>345</v>
      </c>
      <c r="E89" t="s">
        <v>399</v>
      </c>
      <c r="F89">
        <v>448.87650000000002</v>
      </c>
      <c r="G89">
        <v>1.2161194</v>
      </c>
      <c r="H89">
        <v>0.16322489000000001</v>
      </c>
      <c r="I89">
        <v>3</v>
      </c>
    </row>
    <row r="90" spans="1:9" x14ac:dyDescent="0.25">
      <c r="A90" t="s">
        <v>402</v>
      </c>
      <c r="B90" t="s">
        <v>346</v>
      </c>
      <c r="C90" t="s">
        <v>347</v>
      </c>
      <c r="D90" t="s">
        <v>345</v>
      </c>
      <c r="E90" t="s">
        <v>399</v>
      </c>
      <c r="F90">
        <v>553.90060000000005</v>
      </c>
      <c r="G90">
        <v>1.2772281999999999</v>
      </c>
      <c r="H90">
        <v>0.47990516</v>
      </c>
      <c r="I90">
        <v>3</v>
      </c>
    </row>
    <row r="91" spans="1:9" x14ac:dyDescent="0.25">
      <c r="A91" t="s">
        <v>403</v>
      </c>
      <c r="B91" t="s">
        <v>346</v>
      </c>
      <c r="C91" t="s">
        <v>347</v>
      </c>
      <c r="D91" t="s">
        <v>345</v>
      </c>
      <c r="E91" t="s">
        <v>399</v>
      </c>
      <c r="F91">
        <v>596.08259999999996</v>
      </c>
      <c r="G91">
        <v>1.5076001999999999</v>
      </c>
      <c r="H91">
        <v>0.12518211000000001</v>
      </c>
      <c r="I91">
        <v>3</v>
      </c>
    </row>
    <row r="92" spans="1:9" x14ac:dyDescent="0.25">
      <c r="A92" t="s">
        <v>405</v>
      </c>
      <c r="B92" t="s">
        <v>346</v>
      </c>
      <c r="C92" t="s">
        <v>347</v>
      </c>
      <c r="D92" t="s">
        <v>345</v>
      </c>
      <c r="E92" t="s">
        <v>399</v>
      </c>
      <c r="F92">
        <v>806.22649999999999</v>
      </c>
      <c r="G92">
        <v>1.0861799999999999</v>
      </c>
      <c r="H92">
        <v>0.31230881999999999</v>
      </c>
      <c r="I92">
        <v>3</v>
      </c>
    </row>
    <row r="93" spans="1:9" x14ac:dyDescent="0.25">
      <c r="A93" t="s">
        <v>406</v>
      </c>
      <c r="B93" t="s">
        <v>346</v>
      </c>
      <c r="C93" t="s">
        <v>347</v>
      </c>
      <c r="D93" t="s">
        <v>345</v>
      </c>
      <c r="E93" t="s">
        <v>399</v>
      </c>
      <c r="F93">
        <v>1582.5463</v>
      </c>
      <c r="G93">
        <v>3.3119200000000002</v>
      </c>
      <c r="H93">
        <v>0.37623271000000003</v>
      </c>
      <c r="I93">
        <v>3</v>
      </c>
    </row>
    <row r="94" spans="1:9" x14ac:dyDescent="0.25">
      <c r="A94" t="s">
        <v>351</v>
      </c>
      <c r="B94" t="s">
        <v>348</v>
      </c>
      <c r="C94" t="s">
        <v>344</v>
      </c>
      <c r="D94" t="s">
        <v>349</v>
      </c>
      <c r="E94" t="s">
        <v>400</v>
      </c>
      <c r="F94">
        <v>395.97179999999997</v>
      </c>
      <c r="G94">
        <v>0.87149650000000001</v>
      </c>
      <c r="H94">
        <v>9.2990160000000002E-2</v>
      </c>
      <c r="I94">
        <v>3</v>
      </c>
    </row>
    <row r="95" spans="1:9" x14ac:dyDescent="0.25">
      <c r="A95" t="s">
        <v>352</v>
      </c>
      <c r="B95" t="s">
        <v>348</v>
      </c>
      <c r="C95" t="s">
        <v>344</v>
      </c>
      <c r="D95" t="s">
        <v>349</v>
      </c>
      <c r="E95" t="s">
        <v>400</v>
      </c>
      <c r="F95">
        <v>512.09429999999998</v>
      </c>
      <c r="G95">
        <v>0.82499400000000001</v>
      </c>
      <c r="H95">
        <v>0.16728707000000001</v>
      </c>
      <c r="I95">
        <v>3</v>
      </c>
    </row>
    <row r="96" spans="1:9" x14ac:dyDescent="0.25">
      <c r="A96" t="s">
        <v>402</v>
      </c>
      <c r="B96" t="s">
        <v>348</v>
      </c>
      <c r="C96" t="s">
        <v>344</v>
      </c>
      <c r="D96" t="s">
        <v>349</v>
      </c>
      <c r="E96" t="s">
        <v>400</v>
      </c>
      <c r="F96">
        <v>577.35230000000001</v>
      </c>
      <c r="G96">
        <v>0.92322170000000003</v>
      </c>
      <c r="H96">
        <v>0.20769445</v>
      </c>
      <c r="I96">
        <v>3</v>
      </c>
    </row>
    <row r="97" spans="1:9" x14ac:dyDescent="0.25">
      <c r="A97" t="s">
        <v>403</v>
      </c>
      <c r="B97" t="s">
        <v>348</v>
      </c>
      <c r="C97" t="s">
        <v>344</v>
      </c>
      <c r="D97" t="s">
        <v>349</v>
      </c>
      <c r="E97" t="s">
        <v>400</v>
      </c>
      <c r="F97">
        <v>681.50980000000004</v>
      </c>
      <c r="G97">
        <v>1.3596058</v>
      </c>
      <c r="H97">
        <v>0.41767099000000002</v>
      </c>
      <c r="I97">
        <v>3</v>
      </c>
    </row>
    <row r="98" spans="1:9" x14ac:dyDescent="0.25">
      <c r="A98" t="s">
        <v>404</v>
      </c>
      <c r="B98" t="s">
        <v>348</v>
      </c>
      <c r="C98" t="s">
        <v>344</v>
      </c>
      <c r="D98" t="s">
        <v>349</v>
      </c>
      <c r="E98" t="s">
        <v>400</v>
      </c>
      <c r="F98">
        <v>739.20489999999995</v>
      </c>
      <c r="G98">
        <v>1.4188730000000001</v>
      </c>
      <c r="H98">
        <v>0.19792298</v>
      </c>
      <c r="I98">
        <v>3</v>
      </c>
    </row>
    <row r="99" spans="1:9" x14ac:dyDescent="0.25">
      <c r="A99" t="s">
        <v>406</v>
      </c>
      <c r="B99" t="s">
        <v>348</v>
      </c>
      <c r="C99" t="s">
        <v>344</v>
      </c>
      <c r="D99" t="s">
        <v>349</v>
      </c>
      <c r="E99" t="s">
        <v>400</v>
      </c>
      <c r="F99">
        <v>1565.6069</v>
      </c>
      <c r="G99">
        <v>6.0878494999999999</v>
      </c>
      <c r="H99">
        <v>2.05939804</v>
      </c>
      <c r="I99">
        <v>3</v>
      </c>
    </row>
    <row r="100" spans="1:9" x14ac:dyDescent="0.25">
      <c r="A100" t="s">
        <v>351</v>
      </c>
      <c r="B100" t="s">
        <v>350</v>
      </c>
      <c r="C100" t="s">
        <v>347</v>
      </c>
      <c r="D100" t="s">
        <v>349</v>
      </c>
      <c r="E100" t="s">
        <v>401</v>
      </c>
      <c r="F100">
        <v>281.80990000000003</v>
      </c>
      <c r="G100" s="4">
        <v>0.80861769999999999</v>
      </c>
      <c r="H100">
        <v>0.11161214</v>
      </c>
      <c r="I100">
        <v>3</v>
      </c>
    </row>
    <row r="101" spans="1:9" x14ac:dyDescent="0.25">
      <c r="A101" t="s">
        <v>352</v>
      </c>
      <c r="B101" t="s">
        <v>350</v>
      </c>
      <c r="C101" t="s">
        <v>347</v>
      </c>
      <c r="D101" t="s">
        <v>349</v>
      </c>
      <c r="E101" t="s">
        <v>401</v>
      </c>
      <c r="F101">
        <v>444.97649999999999</v>
      </c>
      <c r="G101">
        <v>0.75703120000000002</v>
      </c>
      <c r="H101">
        <v>0.112196</v>
      </c>
      <c r="I101">
        <v>3</v>
      </c>
    </row>
    <row r="102" spans="1:9" x14ac:dyDescent="0.25">
      <c r="A102" t="s">
        <v>402</v>
      </c>
      <c r="B102" t="s">
        <v>350</v>
      </c>
      <c r="C102" t="s">
        <v>347</v>
      </c>
      <c r="D102" t="s">
        <v>349</v>
      </c>
      <c r="E102" t="s">
        <v>401</v>
      </c>
      <c r="F102">
        <v>532.36300000000006</v>
      </c>
      <c r="G102">
        <v>0.89751999999999998</v>
      </c>
      <c r="H102">
        <v>0.38160631</v>
      </c>
      <c r="I102">
        <v>3</v>
      </c>
    </row>
    <row r="103" spans="1:9" x14ac:dyDescent="0.25">
      <c r="A103" t="s">
        <v>403</v>
      </c>
      <c r="B103" t="s">
        <v>350</v>
      </c>
      <c r="C103" t="s">
        <v>347</v>
      </c>
      <c r="D103" t="s">
        <v>349</v>
      </c>
      <c r="E103" t="s">
        <v>401</v>
      </c>
      <c r="F103">
        <v>599.22460000000001</v>
      </c>
      <c r="G103">
        <v>1.1000589000000001</v>
      </c>
      <c r="H103">
        <v>0.54027435000000001</v>
      </c>
      <c r="I103">
        <v>3</v>
      </c>
    </row>
    <row r="104" spans="1:9" x14ac:dyDescent="0.25">
      <c r="A104" t="s">
        <v>405</v>
      </c>
      <c r="B104" t="s">
        <v>350</v>
      </c>
      <c r="C104" t="s">
        <v>347</v>
      </c>
      <c r="D104" t="s">
        <v>349</v>
      </c>
      <c r="E104" t="s">
        <v>401</v>
      </c>
      <c r="F104">
        <v>773.4117</v>
      </c>
      <c r="G104">
        <v>1.2347718999999999</v>
      </c>
      <c r="H104">
        <v>0.49762642000000001</v>
      </c>
      <c r="I104">
        <v>3</v>
      </c>
    </row>
    <row r="105" spans="1:9" x14ac:dyDescent="0.25">
      <c r="A105" t="s">
        <v>406</v>
      </c>
      <c r="B105" t="s">
        <v>350</v>
      </c>
      <c r="C105" t="s">
        <v>347</v>
      </c>
      <c r="D105" t="s">
        <v>349</v>
      </c>
      <c r="E105" t="s">
        <v>401</v>
      </c>
      <c r="F105">
        <v>1530.9282000000001</v>
      </c>
      <c r="G105">
        <v>4.6283380999999997</v>
      </c>
      <c r="H105">
        <v>6.9558869999999995E-2</v>
      </c>
      <c r="I105">
        <v>2</v>
      </c>
    </row>
  </sheetData>
  <sortState ref="A83:I105">
    <sortCondition ref="B83:B105"/>
  </sortState>
  <mergeCells count="4">
    <mergeCell ref="C23:H23"/>
    <mergeCell ref="I23:M23"/>
    <mergeCell ref="N23:S23"/>
    <mergeCell ref="T23:X2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62"/>
  <sheetViews>
    <sheetView workbookViewId="0">
      <selection activeCell="A33" sqref="A33"/>
    </sheetView>
  </sheetViews>
  <sheetFormatPr baseColWidth="10" defaultRowHeight="15" x14ac:dyDescent="0.25"/>
  <sheetData>
    <row r="1" spans="1:15" s="31" customFormat="1" x14ac:dyDescent="0.25">
      <c r="A1" s="7" t="s">
        <v>319</v>
      </c>
    </row>
    <row r="3" spans="1:15" x14ac:dyDescent="0.25">
      <c r="C3" s="71" t="s">
        <v>303</v>
      </c>
      <c r="D3" s="66" t="s">
        <v>304</v>
      </c>
      <c r="E3" s="67"/>
      <c r="F3" s="67"/>
      <c r="G3" s="67"/>
      <c r="H3" s="67"/>
    </row>
    <row r="4" spans="1:15" x14ac:dyDescent="0.25">
      <c r="C4" s="71" t="s">
        <v>305</v>
      </c>
      <c r="D4" s="66" t="s">
        <v>306</v>
      </c>
      <c r="E4" s="66" t="s">
        <v>306</v>
      </c>
      <c r="F4" s="66" t="s">
        <v>306</v>
      </c>
      <c r="G4" s="66" t="s">
        <v>306</v>
      </c>
      <c r="H4" s="66" t="s">
        <v>306</v>
      </c>
    </row>
    <row r="5" spans="1:15" x14ac:dyDescent="0.25">
      <c r="C5" s="71" t="s">
        <v>307</v>
      </c>
      <c r="D5" s="66">
        <v>21</v>
      </c>
      <c r="E5" s="66">
        <v>21</v>
      </c>
      <c r="F5" s="66">
        <v>21</v>
      </c>
      <c r="G5" s="66">
        <v>28</v>
      </c>
      <c r="H5" s="66" t="s">
        <v>308</v>
      </c>
    </row>
    <row r="6" spans="1:15" ht="45" x14ac:dyDescent="0.25">
      <c r="C6" s="71" t="s">
        <v>309</v>
      </c>
      <c r="D6" s="68" t="s">
        <v>310</v>
      </c>
      <c r="E6" s="68" t="s">
        <v>311</v>
      </c>
      <c r="F6" s="68" t="s">
        <v>312</v>
      </c>
      <c r="G6" s="68" t="s">
        <v>313</v>
      </c>
      <c r="H6" s="68" t="s">
        <v>314</v>
      </c>
    </row>
    <row r="7" spans="1:15" x14ac:dyDescent="0.25">
      <c r="C7" s="71" t="s">
        <v>315</v>
      </c>
      <c r="D7" s="70">
        <v>0.62</v>
      </c>
      <c r="E7" s="70">
        <v>0.53</v>
      </c>
      <c r="F7" s="70">
        <v>0.41</v>
      </c>
      <c r="G7" s="70">
        <v>0.56000000000000005</v>
      </c>
      <c r="H7" s="70">
        <v>0.71</v>
      </c>
      <c r="J7" s="70"/>
    </row>
    <row r="8" spans="1:15" x14ac:dyDescent="0.25">
      <c r="C8" s="71" t="s">
        <v>316</v>
      </c>
      <c r="D8" s="70">
        <v>0.22</v>
      </c>
      <c r="E8" s="70">
        <v>0.18</v>
      </c>
      <c r="F8" s="70">
        <v>0.19</v>
      </c>
      <c r="G8" s="70">
        <v>0.22</v>
      </c>
      <c r="H8" s="70">
        <v>0.13</v>
      </c>
      <c r="J8" s="70"/>
    </row>
    <row r="9" spans="1:15" x14ac:dyDescent="0.25">
      <c r="C9" s="71" t="s">
        <v>317</v>
      </c>
      <c r="D9" s="70">
        <v>0.06</v>
      </c>
      <c r="E9" s="70">
        <v>0.12</v>
      </c>
      <c r="F9" s="70">
        <v>0.17</v>
      </c>
      <c r="G9" s="70">
        <v>0.05</v>
      </c>
      <c r="H9" s="70">
        <v>0.13</v>
      </c>
      <c r="J9" s="70"/>
    </row>
    <row r="10" spans="1:15" x14ac:dyDescent="0.25">
      <c r="C10" s="71" t="s">
        <v>318</v>
      </c>
      <c r="D10" s="70">
        <v>0.1</v>
      </c>
      <c r="E10" s="70">
        <v>0.17</v>
      </c>
      <c r="F10" s="70">
        <v>0.23</v>
      </c>
      <c r="G10" s="70">
        <v>0.17</v>
      </c>
      <c r="H10" s="70">
        <v>0.04</v>
      </c>
      <c r="J10" s="70"/>
    </row>
    <row r="11" spans="1:15" x14ac:dyDescent="0.25">
      <c r="D11" s="69"/>
      <c r="J11" s="69"/>
    </row>
    <row r="13" spans="1:15" s="31" customFormat="1" x14ac:dyDescent="0.25">
      <c r="A13" s="7" t="s">
        <v>237</v>
      </c>
    </row>
    <row r="15" spans="1:15" x14ac:dyDescent="0.25">
      <c r="A15" t="s">
        <v>238</v>
      </c>
    </row>
    <row r="16" spans="1:15" x14ac:dyDescent="0.25">
      <c r="A16" t="s">
        <v>239</v>
      </c>
      <c r="O16" t="s">
        <v>320</v>
      </c>
    </row>
    <row r="17" spans="1:16" x14ac:dyDescent="0.25">
      <c r="O17" t="s">
        <v>321</v>
      </c>
    </row>
    <row r="18" spans="1:16" x14ac:dyDescent="0.25">
      <c r="O18" t="s">
        <v>322</v>
      </c>
    </row>
    <row r="28" spans="1:16" s="31" customFormat="1" x14ac:dyDescent="0.25">
      <c r="A28" s="7" t="s">
        <v>241</v>
      </c>
    </row>
    <row r="29" spans="1:16" s="48" customFormat="1" x14ac:dyDescent="0.25">
      <c r="A29" t="s">
        <v>323</v>
      </c>
    </row>
    <row r="30" spans="1:16" s="48" customFormat="1" x14ac:dyDescent="0.25">
      <c r="A30" t="s">
        <v>324</v>
      </c>
      <c r="P30" s="48" t="s">
        <v>326</v>
      </c>
    </row>
    <row r="31" spans="1:16" s="48" customFormat="1" x14ac:dyDescent="0.25">
      <c r="A31" s="48" t="s">
        <v>325</v>
      </c>
    </row>
    <row r="32" spans="1:16" s="48" customFormat="1" x14ac:dyDescent="0.25">
      <c r="A32" s="46"/>
    </row>
    <row r="33" spans="1:1" s="48" customFormat="1" x14ac:dyDescent="0.25">
      <c r="A33" t="s">
        <v>327</v>
      </c>
    </row>
    <row r="34" spans="1:1" s="48" customFormat="1" x14ac:dyDescent="0.25">
      <c r="A34" s="46"/>
    </row>
    <row r="35" spans="1:1" s="48" customFormat="1" x14ac:dyDescent="0.25">
      <c r="A35" s="46"/>
    </row>
    <row r="36" spans="1:1" s="48" customFormat="1" x14ac:dyDescent="0.25">
      <c r="A36" s="46"/>
    </row>
    <row r="37" spans="1:1" s="48" customFormat="1" x14ac:dyDescent="0.25">
      <c r="A37" s="46"/>
    </row>
    <row r="38" spans="1:1" s="48" customFormat="1" x14ac:dyDescent="0.25">
      <c r="A38" s="46"/>
    </row>
    <row r="39" spans="1:1" s="48" customFormat="1" x14ac:dyDescent="0.25">
      <c r="A39" s="46"/>
    </row>
    <row r="40" spans="1:1" s="48" customFormat="1" x14ac:dyDescent="0.25">
      <c r="A40" s="46"/>
    </row>
    <row r="41" spans="1:1" s="48" customFormat="1" x14ac:dyDescent="0.25">
      <c r="A41" s="46"/>
    </row>
    <row r="47" spans="1:1" s="31" customFormat="1" x14ac:dyDescent="0.25">
      <c r="A47" s="7" t="s">
        <v>242</v>
      </c>
    </row>
    <row r="49" spans="1:1" s="31" customFormat="1" x14ac:dyDescent="0.25">
      <c r="A49" s="7" t="s">
        <v>310</v>
      </c>
    </row>
    <row r="62" spans="1:1" x14ac:dyDescent="0.25">
      <c r="A62" t="s">
        <v>327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"/>
  <sheetViews>
    <sheetView zoomScaleNormal="100" workbookViewId="0">
      <selection activeCell="E34" sqref="E34"/>
    </sheetView>
  </sheetViews>
  <sheetFormatPr baseColWidth="10" defaultRowHeight="15" x14ac:dyDescent="0.25"/>
  <sheetData>
    <row r="1" spans="1:21" s="36" customFormat="1" x14ac:dyDescent="0.25">
      <c r="A1" s="35" t="s">
        <v>120</v>
      </c>
    </row>
    <row r="3" spans="1:21" s="31" customFormat="1" x14ac:dyDescent="0.25">
      <c r="A3" s="7" t="s">
        <v>121</v>
      </c>
    </row>
    <row r="4" spans="1:21" x14ac:dyDescent="0.25">
      <c r="A4" t="s">
        <v>130</v>
      </c>
    </row>
    <row r="5" spans="1:21" x14ac:dyDescent="0.25">
      <c r="A5" t="s">
        <v>255</v>
      </c>
    </row>
    <row r="6" spans="1:21" x14ac:dyDescent="0.25">
      <c r="A6" t="s">
        <v>257</v>
      </c>
    </row>
    <row r="7" spans="1:21" x14ac:dyDescent="0.25">
      <c r="A7" t="s">
        <v>256</v>
      </c>
    </row>
    <row r="9" spans="1:21" s="31" customFormat="1" x14ac:dyDescent="0.25">
      <c r="A9" s="7" t="s">
        <v>131</v>
      </c>
    </row>
    <row r="10" spans="1:21" s="48" customFormat="1" x14ac:dyDescent="0.25">
      <c r="A10" s="47" t="s">
        <v>257</v>
      </c>
      <c r="U10" s="48" t="s">
        <v>284</v>
      </c>
    </row>
    <row r="11" spans="1:21" s="48" customFormat="1" x14ac:dyDescent="0.25">
      <c r="A11" t="s">
        <v>258</v>
      </c>
      <c r="U11" s="48">
        <v>180</v>
      </c>
    </row>
    <row r="12" spans="1:21" s="48" customFormat="1" x14ac:dyDescent="0.25">
      <c r="A12" s="47" t="s">
        <v>259</v>
      </c>
      <c r="N12" s="48" t="s">
        <v>260</v>
      </c>
      <c r="U12" s="48" t="s">
        <v>267</v>
      </c>
    </row>
    <row r="13" spans="1:21" s="48" customFormat="1" x14ac:dyDescent="0.25">
      <c r="B13" s="47"/>
      <c r="U13" s="48">
        <v>340</v>
      </c>
    </row>
    <row r="14" spans="1:21" x14ac:dyDescent="0.25">
      <c r="A14" t="s">
        <v>270</v>
      </c>
      <c r="G14" t="s">
        <v>142</v>
      </c>
      <c r="K14">
        <v>1</v>
      </c>
      <c r="L14" t="s">
        <v>143</v>
      </c>
      <c r="O14" t="s">
        <v>264</v>
      </c>
      <c r="P14" t="s">
        <v>265</v>
      </c>
      <c r="Q14" t="s">
        <v>266</v>
      </c>
      <c r="U14" t="s">
        <v>268</v>
      </c>
    </row>
    <row r="15" spans="1:21" x14ac:dyDescent="0.25">
      <c r="G15">
        <v>14</v>
      </c>
      <c r="K15">
        <f>0.1</f>
        <v>0.1</v>
      </c>
      <c r="L15" t="s">
        <v>144</v>
      </c>
      <c r="N15" t="s">
        <v>261</v>
      </c>
      <c r="O15">
        <v>70</v>
      </c>
      <c r="P15">
        <f>O15/$K$15</f>
        <v>700</v>
      </c>
      <c r="U15">
        <v>12</v>
      </c>
    </row>
    <row r="16" spans="1:21" x14ac:dyDescent="0.25">
      <c r="D16" t="s">
        <v>136</v>
      </c>
      <c r="E16" t="s">
        <v>145</v>
      </c>
      <c r="K16">
        <f>K15*0.8</f>
        <v>8.0000000000000016E-2</v>
      </c>
      <c r="L16" t="s">
        <v>27</v>
      </c>
      <c r="N16" t="s">
        <v>262</v>
      </c>
      <c r="O16">
        <v>7</v>
      </c>
      <c r="P16">
        <f t="shared" ref="P16:P17" si="0">O16/$K$15</f>
        <v>70</v>
      </c>
      <c r="Q16" s="110">
        <f>O16/$K$16*10^-3/$U$13*$U$17*10^6</f>
        <v>3088.2352941176468</v>
      </c>
      <c r="U16" t="s">
        <v>269</v>
      </c>
    </row>
    <row r="17" spans="1:21" x14ac:dyDescent="0.25">
      <c r="A17" t="s">
        <v>133</v>
      </c>
      <c r="B17">
        <v>70</v>
      </c>
      <c r="C17" t="s">
        <v>134</v>
      </c>
      <c r="D17">
        <f>B17*$G$25/$G$15*10^3</f>
        <v>755</v>
      </c>
      <c r="E17" s="110">
        <f>D17/K16</f>
        <v>9437.4999999999982</v>
      </c>
      <c r="G17" t="s">
        <v>137</v>
      </c>
      <c r="N17" t="s">
        <v>263</v>
      </c>
      <c r="O17">
        <v>4</v>
      </c>
      <c r="P17">
        <f t="shared" si="0"/>
        <v>40</v>
      </c>
      <c r="U17">
        <v>12</v>
      </c>
    </row>
    <row r="18" spans="1:21" x14ac:dyDescent="0.25">
      <c r="A18" t="s">
        <v>132</v>
      </c>
      <c r="B18">
        <v>40</v>
      </c>
      <c r="C18" t="s">
        <v>135</v>
      </c>
      <c r="D18">
        <f>B18*$G$21</f>
        <v>50</v>
      </c>
      <c r="E18">
        <f>D18/K16</f>
        <v>624.99999999999989</v>
      </c>
      <c r="G18">
        <v>129.75</v>
      </c>
      <c r="H18" t="s">
        <v>138</v>
      </c>
    </row>
    <row r="20" spans="1:21" s="37" customFormat="1" ht="30" x14ac:dyDescent="0.25">
      <c r="C20" s="38" t="s">
        <v>126</v>
      </c>
      <c r="D20" s="39">
        <f>D18/D17</f>
        <v>6.6225165562913912E-2</v>
      </c>
      <c r="G20" s="37" t="s">
        <v>139</v>
      </c>
      <c r="P20" s="61"/>
      <c r="Q20" s="62"/>
    </row>
    <row r="21" spans="1:21" x14ac:dyDescent="0.25">
      <c r="G21">
        <v>1.25</v>
      </c>
    </row>
    <row r="22" spans="1:21" x14ac:dyDescent="0.25">
      <c r="A22" s="40" t="s">
        <v>146</v>
      </c>
    </row>
    <row r="23" spans="1:21" x14ac:dyDescent="0.25">
      <c r="A23" t="s">
        <v>191</v>
      </c>
      <c r="G23" s="34" t="s">
        <v>140</v>
      </c>
    </row>
    <row r="24" spans="1:21" x14ac:dyDescent="0.25">
      <c r="A24">
        <f>B17*G25+B18*G21*14*10^-3/K15</f>
        <v>17.57</v>
      </c>
      <c r="G24" s="34" t="s">
        <v>141</v>
      </c>
    </row>
    <row r="25" spans="1:21" x14ac:dyDescent="0.25">
      <c r="G25">
        <v>0.151</v>
      </c>
    </row>
    <row r="26" spans="1:21" x14ac:dyDescent="0.25">
      <c r="B26" t="s">
        <v>424</v>
      </c>
      <c r="C26" t="s">
        <v>281</v>
      </c>
      <c r="D26" t="s">
        <v>283</v>
      </c>
    </row>
    <row r="27" spans="1:21" x14ac:dyDescent="0.25">
      <c r="A27" t="s">
        <v>423</v>
      </c>
      <c r="B27">
        <v>10</v>
      </c>
      <c r="C27">
        <f>B27/K16</f>
        <v>124.99999999999997</v>
      </c>
      <c r="D27" s="110">
        <f>C27*10^-3/U13*U17*10^6</f>
        <v>4411.7647058823522</v>
      </c>
    </row>
    <row r="28" spans="1:21" x14ac:dyDescent="0.25">
      <c r="B28">
        <f>B27*10^-3/0.1*100</f>
        <v>10</v>
      </c>
      <c r="C28" t="s">
        <v>292</v>
      </c>
    </row>
    <row r="31" spans="1:21" x14ac:dyDescent="0.25">
      <c r="P31" s="61"/>
    </row>
    <row r="33" spans="1:10" s="31" customFormat="1" x14ac:dyDescent="0.25">
      <c r="A33" s="7" t="s">
        <v>271</v>
      </c>
    </row>
    <row r="34" spans="1:10" x14ac:dyDescent="0.25">
      <c r="A34" t="s">
        <v>272</v>
      </c>
    </row>
    <row r="35" spans="1:10" x14ac:dyDescent="0.25">
      <c r="A35" t="s">
        <v>273</v>
      </c>
    </row>
    <row r="36" spans="1:10" x14ac:dyDescent="0.25">
      <c r="A36" t="s">
        <v>274</v>
      </c>
    </row>
    <row r="38" spans="1:10" x14ac:dyDescent="0.25">
      <c r="A38" t="s">
        <v>275</v>
      </c>
    </row>
    <row r="40" spans="1:10" x14ac:dyDescent="0.25">
      <c r="A40" t="s">
        <v>276</v>
      </c>
      <c r="B40" t="s">
        <v>280</v>
      </c>
      <c r="F40" t="s">
        <v>437</v>
      </c>
    </row>
    <row r="41" spans="1:10" x14ac:dyDescent="0.25">
      <c r="B41" t="s">
        <v>279</v>
      </c>
      <c r="C41" t="s">
        <v>281</v>
      </c>
      <c r="D41" t="s">
        <v>283</v>
      </c>
      <c r="G41" t="s">
        <v>279</v>
      </c>
      <c r="H41" t="s">
        <v>281</v>
      </c>
      <c r="I41" t="s">
        <v>283</v>
      </c>
      <c r="J41" t="s">
        <v>292</v>
      </c>
    </row>
    <row r="42" spans="1:10" x14ac:dyDescent="0.25">
      <c r="A42" t="s">
        <v>277</v>
      </c>
      <c r="B42">
        <v>2</v>
      </c>
      <c r="C42">
        <f>B42/$K$16</f>
        <v>24.999999999999996</v>
      </c>
      <c r="D42">
        <f>C42*10^-3/$U$11*6*10^6</f>
        <v>833.33333333333326</v>
      </c>
      <c r="F42" t="s">
        <v>277</v>
      </c>
      <c r="G42">
        <v>5</v>
      </c>
      <c r="H42">
        <f>G42/$K$16</f>
        <v>62.499999999999986</v>
      </c>
      <c r="I42">
        <f>H42*10^-3/$U$11*6*10^6</f>
        <v>2083.333333333333</v>
      </c>
    </row>
    <row r="43" spans="1:10" x14ac:dyDescent="0.25">
      <c r="A43" t="s">
        <v>278</v>
      </c>
      <c r="B43">
        <v>9</v>
      </c>
      <c r="C43">
        <f>B43/$K$16</f>
        <v>112.49999999999997</v>
      </c>
      <c r="D43">
        <f>C43*10^-3/$U$13*12*10^6</f>
        <v>3970.5882352941162</v>
      </c>
      <c r="F43" t="s">
        <v>278</v>
      </c>
      <c r="G43">
        <v>4</v>
      </c>
      <c r="H43">
        <f>G43/$K$16</f>
        <v>49.999999999999993</v>
      </c>
      <c r="I43">
        <f>H43*10^-3/$U$13*12*10^6</f>
        <v>1764.705882352941</v>
      </c>
    </row>
    <row r="44" spans="1:10" x14ac:dyDescent="0.25">
      <c r="A44" t="s">
        <v>285</v>
      </c>
      <c r="B44">
        <f>B43+B42</f>
        <v>11</v>
      </c>
      <c r="C44">
        <f>C43+C42</f>
        <v>137.49999999999997</v>
      </c>
      <c r="D44">
        <f>D43+D42</f>
        <v>4803.9215686274492</v>
      </c>
      <c r="F44" t="s">
        <v>285</v>
      </c>
      <c r="G44">
        <f>G43+G42</f>
        <v>9</v>
      </c>
      <c r="H44">
        <f>H43+H42</f>
        <v>112.49999999999997</v>
      </c>
      <c r="I44">
        <f>I43+I42</f>
        <v>3848.039215686274</v>
      </c>
    </row>
    <row r="45" spans="1:10" x14ac:dyDescent="0.25">
      <c r="C45">
        <f>B44/1000*100/0.1</f>
        <v>10.999999999999998</v>
      </c>
      <c r="D45" t="s">
        <v>292</v>
      </c>
      <c r="F45" t="s">
        <v>438</v>
      </c>
      <c r="G45">
        <v>3</v>
      </c>
      <c r="H45">
        <f>G45/$K$16</f>
        <v>37.499999999999993</v>
      </c>
      <c r="I45" s="110">
        <f>H45*10^-3/$U$13*12*10^6</f>
        <v>1323.5294117647056</v>
      </c>
      <c r="J45">
        <f>G45/1000*100/0.1</f>
        <v>2.9999999999999996</v>
      </c>
    </row>
    <row r="46" spans="1:10" x14ac:dyDescent="0.25">
      <c r="H46">
        <f>(G45+G44)/1000*100/0.1</f>
        <v>11.999999999999998</v>
      </c>
      <c r="I46" t="s">
        <v>292</v>
      </c>
    </row>
    <row r="47" spans="1:10" x14ac:dyDescent="0.25">
      <c r="A47" t="s">
        <v>422</v>
      </c>
      <c r="B47" t="s">
        <v>280</v>
      </c>
    </row>
    <row r="48" spans="1:10" x14ac:dyDescent="0.25">
      <c r="B48" t="s">
        <v>279</v>
      </c>
      <c r="C48" t="s">
        <v>281</v>
      </c>
      <c r="D48" t="s">
        <v>283</v>
      </c>
      <c r="E48" t="s">
        <v>292</v>
      </c>
    </row>
    <row r="49" spans="1:15" x14ac:dyDescent="0.25">
      <c r="A49" t="s">
        <v>277</v>
      </c>
      <c r="B49">
        <v>10</v>
      </c>
      <c r="C49">
        <f>B49/$K$16</f>
        <v>124.99999999999997</v>
      </c>
      <c r="D49" s="110">
        <f>C49*10^-3/$U$11*6*10^6</f>
        <v>4166.6666666666661</v>
      </c>
    </row>
    <row r="50" spans="1:15" x14ac:dyDescent="0.25">
      <c r="A50" t="s">
        <v>278</v>
      </c>
      <c r="B50">
        <v>35</v>
      </c>
      <c r="C50">
        <f>B50/$K$16</f>
        <v>437.49999999999994</v>
      </c>
      <c r="D50" s="110">
        <f>C50*10^-3/$U$13*12*10^6</f>
        <v>15441.176470588232</v>
      </c>
    </row>
    <row r="51" spans="1:15" x14ac:dyDescent="0.25">
      <c r="A51" t="s">
        <v>285</v>
      </c>
      <c r="B51">
        <f>B50+B49</f>
        <v>45</v>
      </c>
      <c r="C51">
        <f>C50+C49</f>
        <v>562.49999999999989</v>
      </c>
      <c r="D51" s="110">
        <f>D50+D49</f>
        <v>19607.843137254898</v>
      </c>
    </row>
    <row r="52" spans="1:15" x14ac:dyDescent="0.25">
      <c r="A52" t="s">
        <v>412</v>
      </c>
      <c r="B52">
        <v>5</v>
      </c>
      <c r="C52">
        <f>B52/$K$16</f>
        <v>62.499999999999986</v>
      </c>
      <c r="D52" s="110">
        <f>C52*10^-3/$U$13*12*10^6</f>
        <v>2205.8823529411761</v>
      </c>
    </row>
    <row r="53" spans="1:15" x14ac:dyDescent="0.25">
      <c r="C53">
        <f>(B52+B51)/1000*100/0.1</f>
        <v>50</v>
      </c>
      <c r="D53" t="s">
        <v>292</v>
      </c>
    </row>
    <row r="54" spans="1:15" s="31" customFormat="1" x14ac:dyDescent="0.25">
      <c r="A54" s="7" t="s">
        <v>286</v>
      </c>
    </row>
    <row r="55" spans="1:15" ht="15.75" customHeight="1" x14ac:dyDescent="0.25">
      <c r="A55" t="s">
        <v>287</v>
      </c>
    </row>
    <row r="56" spans="1:15" x14ac:dyDescent="0.25">
      <c r="A56" t="s">
        <v>288</v>
      </c>
    </row>
    <row r="58" spans="1:15" x14ac:dyDescent="0.25">
      <c r="A58" t="s">
        <v>289</v>
      </c>
      <c r="O58" s="60" t="s">
        <v>296</v>
      </c>
    </row>
    <row r="59" spans="1:15" x14ac:dyDescent="0.25">
      <c r="A59" t="s">
        <v>290</v>
      </c>
      <c r="O59" s="60" t="s">
        <v>329</v>
      </c>
    </row>
    <row r="60" spans="1:15" x14ac:dyDescent="0.25">
      <c r="A60" t="s">
        <v>291</v>
      </c>
    </row>
    <row r="63" spans="1:15" x14ac:dyDescent="0.25">
      <c r="A63">
        <v>10</v>
      </c>
      <c r="B63" t="s">
        <v>292</v>
      </c>
    </row>
    <row r="64" spans="1:15" x14ac:dyDescent="0.25">
      <c r="A64">
        <f>A63/100</f>
        <v>0.1</v>
      </c>
      <c r="B64" t="s">
        <v>293</v>
      </c>
    </row>
    <row r="65" spans="1:2" x14ac:dyDescent="0.25">
      <c r="A65">
        <f>A64/$U$13*12*10^6</f>
        <v>3529.4117647058824</v>
      </c>
      <c r="B65" t="s">
        <v>294</v>
      </c>
    </row>
    <row r="66" spans="1:2" x14ac:dyDescent="0.25">
      <c r="A66">
        <f>A65/0.8</f>
        <v>4411.7647058823532</v>
      </c>
      <c r="B66" t="s">
        <v>282</v>
      </c>
    </row>
    <row r="70" spans="1:2" s="31" customFormat="1" x14ac:dyDescent="0.25">
      <c r="A70" s="7" t="s">
        <v>295</v>
      </c>
    </row>
    <row r="71" spans="1:2" x14ac:dyDescent="0.25">
      <c r="A71" t="s">
        <v>297</v>
      </c>
    </row>
    <row r="72" spans="1:2" x14ac:dyDescent="0.25">
      <c r="A72" t="s">
        <v>298</v>
      </c>
    </row>
    <row r="73" spans="1:2" x14ac:dyDescent="0.25">
      <c r="A73" t="s">
        <v>299</v>
      </c>
    </row>
    <row r="74" spans="1:2" x14ac:dyDescent="0.25">
      <c r="A74" t="s">
        <v>300</v>
      </c>
    </row>
    <row r="76" spans="1:2" x14ac:dyDescent="0.25">
      <c r="A76" t="s">
        <v>301</v>
      </c>
    </row>
    <row r="79" spans="1:2" x14ac:dyDescent="0.25">
      <c r="A79">
        <v>400</v>
      </c>
      <c r="B79" t="s">
        <v>302</v>
      </c>
    </row>
    <row r="80" spans="1:2" x14ac:dyDescent="0.25">
      <c r="A80">
        <f>A79*6/0.8</f>
        <v>3000</v>
      </c>
      <c r="B80" t="s">
        <v>283</v>
      </c>
    </row>
    <row r="81" spans="1:5" x14ac:dyDescent="0.25">
      <c r="A81">
        <f>A79*$U$11*10^-6*100</f>
        <v>7.1999999999999993</v>
      </c>
      <c r="B81" t="s">
        <v>292</v>
      </c>
    </row>
    <row r="87" spans="1:5" s="31" customFormat="1" x14ac:dyDescent="0.25">
      <c r="A87" s="7" t="s">
        <v>417</v>
      </c>
    </row>
    <row r="89" spans="1:5" x14ac:dyDescent="0.25">
      <c r="A89" t="s">
        <v>418</v>
      </c>
    </row>
    <row r="90" spans="1:5" x14ac:dyDescent="0.25">
      <c r="E90" t="s">
        <v>421</v>
      </c>
    </row>
    <row r="91" spans="1:5" x14ac:dyDescent="0.25">
      <c r="E91">
        <v>180</v>
      </c>
    </row>
    <row r="92" spans="1:5" x14ac:dyDescent="0.25">
      <c r="B92" t="s">
        <v>120</v>
      </c>
      <c r="C92" t="s">
        <v>177</v>
      </c>
    </row>
    <row r="93" spans="1:5" x14ac:dyDescent="0.25">
      <c r="B93" t="s">
        <v>419</v>
      </c>
    </row>
    <row r="94" spans="1:5" x14ac:dyDescent="0.25">
      <c r="B94">
        <v>80</v>
      </c>
      <c r="C94">
        <v>4</v>
      </c>
    </row>
    <row r="96" spans="1:5" x14ac:dyDescent="0.25">
      <c r="B96" t="s">
        <v>420</v>
      </c>
    </row>
    <row r="97" spans="2:3" x14ac:dyDescent="0.25">
      <c r="B97">
        <f>B94/0.1*E91*10^-6</f>
        <v>0.14399999999999999</v>
      </c>
      <c r="C97">
        <f>C94/0.1*E91*10^-6</f>
        <v>7.1999999999999998E-3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"/>
  <sheetViews>
    <sheetView workbookViewId="0">
      <selection activeCell="D8" sqref="D8"/>
    </sheetView>
  </sheetViews>
  <sheetFormatPr baseColWidth="10" defaultRowHeight="15" x14ac:dyDescent="0.25"/>
  <cols>
    <col min="1" max="1" width="16.42578125" bestFit="1" customWidth="1"/>
    <col min="3" max="3" width="13.28515625" bestFit="1" customWidth="1"/>
    <col min="6" max="6" width="12.85546875" bestFit="1" customWidth="1"/>
  </cols>
  <sheetData>
    <row r="1" spans="1:7" s="31" customFormat="1" x14ac:dyDescent="0.25">
      <c r="A1" s="7" t="s">
        <v>407</v>
      </c>
    </row>
    <row r="2" spans="1:7" x14ac:dyDescent="0.25">
      <c r="A2" t="s">
        <v>408</v>
      </c>
    </row>
    <row r="3" spans="1:7" x14ac:dyDescent="0.25">
      <c r="F3" t="s">
        <v>415</v>
      </c>
      <c r="G3">
        <v>0.15</v>
      </c>
    </row>
    <row r="4" spans="1:7" x14ac:dyDescent="0.25">
      <c r="B4" s="113" t="s">
        <v>414</v>
      </c>
      <c r="C4" s="113" t="s">
        <v>416</v>
      </c>
      <c r="D4" s="113" t="s">
        <v>282</v>
      </c>
      <c r="E4" s="113" t="s">
        <v>292</v>
      </c>
      <c r="F4" t="s">
        <v>143</v>
      </c>
      <c r="G4">
        <v>1</v>
      </c>
    </row>
    <row r="5" spans="1:7" x14ac:dyDescent="0.25">
      <c r="A5" t="s">
        <v>410</v>
      </c>
      <c r="B5">
        <v>10</v>
      </c>
      <c r="C5" s="111">
        <f>B5/($G$3*10^-3)</f>
        <v>66666.666666666672</v>
      </c>
      <c r="D5" s="114">
        <f>C5/0.8/342*12</f>
        <v>2923.9766081871344</v>
      </c>
      <c r="E5" s="110">
        <f>C5*10^-6*100</f>
        <v>6.666666666666667</v>
      </c>
      <c r="F5" t="s">
        <v>409</v>
      </c>
      <c r="G5">
        <f>(1-0.9)*G4</f>
        <v>9.9999999999999978E-2</v>
      </c>
    </row>
    <row r="6" spans="1:7" x14ac:dyDescent="0.25">
      <c r="A6" t="s">
        <v>411</v>
      </c>
      <c r="B6">
        <v>15</v>
      </c>
      <c r="C6" s="111">
        <f t="shared" ref="C6:C7" si="0">B6/($G$3*10^-3)</f>
        <v>100000.00000000001</v>
      </c>
      <c r="D6" s="114">
        <f t="shared" ref="D6:D7" si="1">C6/0.8/342*12</f>
        <v>4385.9649122807023</v>
      </c>
      <c r="E6" s="110">
        <f t="shared" ref="E6:E7" si="2">C6*10^-6*100</f>
        <v>10</v>
      </c>
      <c r="F6" t="s">
        <v>27</v>
      </c>
      <c r="G6">
        <f>0.8*G5</f>
        <v>7.9999999999999988E-2</v>
      </c>
    </row>
    <row r="7" spans="1:7" x14ac:dyDescent="0.25">
      <c r="A7" t="s">
        <v>412</v>
      </c>
      <c r="B7">
        <v>40</v>
      </c>
      <c r="C7" s="111">
        <f t="shared" si="0"/>
        <v>266666.66666666669</v>
      </c>
      <c r="D7" s="114">
        <f t="shared" si="1"/>
        <v>11695.906432748538</v>
      </c>
      <c r="E7" s="110">
        <f t="shared" si="2"/>
        <v>26.666666666666668</v>
      </c>
    </row>
    <row r="9" spans="1:7" x14ac:dyDescent="0.25">
      <c r="C9" s="110">
        <f>(C5+C6+C7)*10^-6*100</f>
        <v>43.333333333333336</v>
      </c>
      <c r="D9" t="s">
        <v>292</v>
      </c>
    </row>
    <row r="29" spans="1:1" s="31" customFormat="1" x14ac:dyDescent="0.25">
      <c r="A29" s="7" t="s">
        <v>425</v>
      </c>
    </row>
    <row r="30" spans="1:1" x14ac:dyDescent="0.25">
      <c r="A30" t="s">
        <v>432</v>
      </c>
    </row>
    <row r="31" spans="1:1" x14ac:dyDescent="0.25">
      <c r="A31" t="s">
        <v>426</v>
      </c>
    </row>
    <row r="33" spans="1:15" x14ac:dyDescent="0.25">
      <c r="B33" s="112" t="s">
        <v>264</v>
      </c>
      <c r="C33" s="112" t="s">
        <v>428</v>
      </c>
      <c r="D33" s="112" t="s">
        <v>429</v>
      </c>
      <c r="E33" s="112" t="s">
        <v>292</v>
      </c>
      <c r="O33" s="34" t="s">
        <v>140</v>
      </c>
    </row>
    <row r="34" spans="1:15" x14ac:dyDescent="0.25">
      <c r="A34" t="s">
        <v>427</v>
      </c>
      <c r="B34">
        <v>35</v>
      </c>
      <c r="C34">
        <f>B34/0.08</f>
        <v>437.5</v>
      </c>
      <c r="D34" s="110">
        <f>C34*10^-3*O35/14*10^6</f>
        <v>4718.75</v>
      </c>
      <c r="E34">
        <f>B34/0.1*10^-3*100</f>
        <v>35</v>
      </c>
      <c r="O34" s="34" t="s">
        <v>141</v>
      </c>
    </row>
    <row r="35" spans="1:15" x14ac:dyDescent="0.25">
      <c r="A35" t="s">
        <v>277</v>
      </c>
      <c r="B35">
        <v>8</v>
      </c>
      <c r="C35">
        <f t="shared" ref="C35:C36" si="3">B35/0.08</f>
        <v>100</v>
      </c>
      <c r="D35" s="110">
        <f>C35*10^-3/O38*6*10^6</f>
        <v>3333.333333333333</v>
      </c>
      <c r="E35">
        <f t="shared" ref="E35:E36" si="4">B35/0.1*10^-3*100</f>
        <v>8</v>
      </c>
      <c r="O35">
        <v>0.151</v>
      </c>
    </row>
    <row r="36" spans="1:15" x14ac:dyDescent="0.25">
      <c r="A36" t="s">
        <v>278</v>
      </c>
      <c r="B36">
        <v>7</v>
      </c>
      <c r="C36">
        <f t="shared" si="3"/>
        <v>87.5</v>
      </c>
      <c r="D36" s="110">
        <f>C36*10^-3/O41*12*10^6</f>
        <v>3088.2352941176473</v>
      </c>
      <c r="E36">
        <f t="shared" si="4"/>
        <v>7.0000000000000009</v>
      </c>
    </row>
    <row r="37" spans="1:15" x14ac:dyDescent="0.25">
      <c r="O37" t="s">
        <v>421</v>
      </c>
    </row>
    <row r="38" spans="1:15" x14ac:dyDescent="0.25">
      <c r="O38">
        <v>180</v>
      </c>
    </row>
    <row r="40" spans="1:15" x14ac:dyDescent="0.25">
      <c r="O40" t="s">
        <v>430</v>
      </c>
    </row>
    <row r="41" spans="1:15" x14ac:dyDescent="0.25">
      <c r="O41">
        <v>340</v>
      </c>
    </row>
    <row r="57" spans="1:4" s="31" customFormat="1" x14ac:dyDescent="0.25">
      <c r="A57" s="7" t="s">
        <v>431</v>
      </c>
    </row>
    <row r="58" spans="1:4" x14ac:dyDescent="0.25">
      <c r="A58" t="s">
        <v>433</v>
      </c>
    </row>
    <row r="60" spans="1:4" x14ac:dyDescent="0.25">
      <c r="B60" t="s">
        <v>434</v>
      </c>
      <c r="C60" t="s">
        <v>413</v>
      </c>
      <c r="D60" t="s">
        <v>435</v>
      </c>
    </row>
    <row r="61" spans="1:4" x14ac:dyDescent="0.25">
      <c r="A61" t="s">
        <v>412</v>
      </c>
      <c r="B61">
        <v>15</v>
      </c>
      <c r="C61">
        <f>B61/100/0.8</f>
        <v>0.18749999999999997</v>
      </c>
      <c r="D61">
        <f>C61/O41*12*10^6</f>
        <v>6617.6470588235288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N17" sqref="N17"/>
    </sheetView>
  </sheetViews>
  <sheetFormatPr baseColWidth="10" defaultRowHeight="15" x14ac:dyDescent="0.25"/>
  <sheetData>
    <row r="1" spans="1:9" x14ac:dyDescent="0.25">
      <c r="A1" s="42" t="s">
        <v>163</v>
      </c>
    </row>
    <row r="3" spans="1:9" x14ac:dyDescent="0.25">
      <c r="C3" s="43" t="s">
        <v>164</v>
      </c>
      <c r="D3" s="43" t="s">
        <v>134</v>
      </c>
      <c r="E3" s="43" t="s">
        <v>134</v>
      </c>
      <c r="F3" s="43" t="s">
        <v>165</v>
      </c>
      <c r="G3" s="43" t="s">
        <v>166</v>
      </c>
      <c r="I3" s="43" t="s">
        <v>167</v>
      </c>
    </row>
    <row r="4" spans="1:9" x14ac:dyDescent="0.25">
      <c r="A4" s="7" t="s">
        <v>168</v>
      </c>
      <c r="B4" s="7" t="s">
        <v>169</v>
      </c>
      <c r="C4" s="7" t="s">
        <v>170</v>
      </c>
      <c r="D4" s="7" t="s">
        <v>27</v>
      </c>
      <c r="E4" s="7" t="s">
        <v>43</v>
      </c>
      <c r="F4" s="7" t="s">
        <v>171</v>
      </c>
      <c r="G4" s="7" t="s">
        <v>172</v>
      </c>
      <c r="I4" s="7" t="s">
        <v>173</v>
      </c>
    </row>
    <row r="5" spans="1:9" x14ac:dyDescent="0.25">
      <c r="A5">
        <v>11</v>
      </c>
      <c r="B5" t="s">
        <v>38</v>
      </c>
      <c r="C5">
        <v>34.6</v>
      </c>
      <c r="D5">
        <v>140</v>
      </c>
      <c r="E5">
        <v>0.97</v>
      </c>
      <c r="F5" s="33">
        <f>D5/C5*10</f>
        <v>40.462427745664733</v>
      </c>
      <c r="G5">
        <v>15</v>
      </c>
      <c r="I5" s="33">
        <f>G5/D5*1000</f>
        <v>107.14285714285714</v>
      </c>
    </row>
    <row r="6" spans="1:9" x14ac:dyDescent="0.25">
      <c r="A6">
        <v>10</v>
      </c>
      <c r="B6" t="s">
        <v>38</v>
      </c>
      <c r="C6">
        <v>34</v>
      </c>
      <c r="D6">
        <v>90</v>
      </c>
      <c r="E6">
        <v>0.77</v>
      </c>
      <c r="F6" s="33">
        <f t="shared" ref="F6:F17" si="0">D6/C6*10</f>
        <v>26.470588235294116</v>
      </c>
      <c r="G6">
        <v>8</v>
      </c>
      <c r="I6" s="33">
        <f t="shared" ref="I6:I19" si="1">G6/D6*1000</f>
        <v>88.888888888888886</v>
      </c>
    </row>
    <row r="7" spans="1:9" x14ac:dyDescent="0.25">
      <c r="A7">
        <v>9</v>
      </c>
      <c r="B7" t="s">
        <v>38</v>
      </c>
      <c r="C7">
        <v>22.8</v>
      </c>
      <c r="D7">
        <v>50</v>
      </c>
      <c r="E7">
        <v>0.47</v>
      </c>
      <c r="F7" s="33">
        <f t="shared" si="0"/>
        <v>21.929824561403507</v>
      </c>
      <c r="G7">
        <v>3.5</v>
      </c>
      <c r="I7" s="33">
        <f t="shared" si="1"/>
        <v>70</v>
      </c>
    </row>
    <row r="8" spans="1:9" x14ac:dyDescent="0.25">
      <c r="A8">
        <v>8</v>
      </c>
      <c r="B8" t="s">
        <v>38</v>
      </c>
      <c r="C8">
        <v>16</v>
      </c>
      <c r="D8">
        <v>40</v>
      </c>
      <c r="E8">
        <v>0.34</v>
      </c>
      <c r="F8" s="33">
        <f t="shared" si="0"/>
        <v>25</v>
      </c>
      <c r="G8">
        <v>2.5</v>
      </c>
      <c r="I8" s="33">
        <f t="shared" si="1"/>
        <v>62.5</v>
      </c>
    </row>
    <row r="9" spans="1:9" x14ac:dyDescent="0.25">
      <c r="A9">
        <v>11</v>
      </c>
      <c r="B9" t="s">
        <v>40</v>
      </c>
      <c r="C9">
        <v>6</v>
      </c>
      <c r="D9">
        <v>123</v>
      </c>
      <c r="E9">
        <v>0.6</v>
      </c>
      <c r="F9" s="33">
        <f t="shared" si="0"/>
        <v>205</v>
      </c>
      <c r="G9">
        <v>0.5</v>
      </c>
      <c r="I9" s="33">
        <f t="shared" si="1"/>
        <v>4.0650406504065044</v>
      </c>
    </row>
    <row r="10" spans="1:9" x14ac:dyDescent="0.25">
      <c r="A10">
        <v>10</v>
      </c>
      <c r="B10" t="s">
        <v>40</v>
      </c>
      <c r="C10">
        <v>5</v>
      </c>
      <c r="D10">
        <v>95</v>
      </c>
      <c r="E10">
        <v>0.28000000000000003</v>
      </c>
      <c r="F10" s="33">
        <f t="shared" si="0"/>
        <v>190</v>
      </c>
      <c r="G10">
        <v>0.2</v>
      </c>
      <c r="I10" s="33">
        <f t="shared" si="1"/>
        <v>2.1052631578947367</v>
      </c>
    </row>
    <row r="11" spans="1:9" x14ac:dyDescent="0.25">
      <c r="A11">
        <v>9</v>
      </c>
      <c r="B11" t="s">
        <v>40</v>
      </c>
      <c r="C11">
        <v>4</v>
      </c>
      <c r="D11">
        <v>73</v>
      </c>
      <c r="E11">
        <v>0.28000000000000003</v>
      </c>
      <c r="F11" s="33">
        <f t="shared" si="0"/>
        <v>182.5</v>
      </c>
      <c r="G11">
        <v>0.15</v>
      </c>
      <c r="I11" s="33">
        <f t="shared" si="1"/>
        <v>2.054794520547945</v>
      </c>
    </row>
    <row r="12" spans="1:9" x14ac:dyDescent="0.25">
      <c r="A12">
        <v>8</v>
      </c>
      <c r="B12" t="s">
        <v>40</v>
      </c>
      <c r="C12">
        <v>2</v>
      </c>
      <c r="D12">
        <v>58</v>
      </c>
      <c r="E12">
        <v>0.43</v>
      </c>
      <c r="F12" s="33">
        <f t="shared" si="0"/>
        <v>290</v>
      </c>
      <c r="G12">
        <v>1.5</v>
      </c>
      <c r="I12" s="33">
        <f t="shared" si="1"/>
        <v>25.862068965517242</v>
      </c>
    </row>
    <row r="13" spans="1:9" x14ac:dyDescent="0.25">
      <c r="A13">
        <v>11</v>
      </c>
      <c r="B13" t="s">
        <v>174</v>
      </c>
      <c r="C13">
        <v>0.8</v>
      </c>
      <c r="D13">
        <v>32</v>
      </c>
      <c r="E13">
        <v>0.09</v>
      </c>
      <c r="F13" s="33">
        <f t="shared" si="0"/>
        <v>400</v>
      </c>
      <c r="G13">
        <v>0.5</v>
      </c>
      <c r="I13" s="33">
        <f t="shared" si="1"/>
        <v>15.625</v>
      </c>
    </row>
    <row r="14" spans="1:9" x14ac:dyDescent="0.25">
      <c r="A14">
        <v>11</v>
      </c>
      <c r="B14" t="s">
        <v>175</v>
      </c>
      <c r="C14">
        <v>4</v>
      </c>
      <c r="D14">
        <v>160</v>
      </c>
      <c r="E14">
        <v>0.43</v>
      </c>
      <c r="F14" s="33">
        <f t="shared" si="0"/>
        <v>400</v>
      </c>
      <c r="G14">
        <v>0.5</v>
      </c>
      <c r="I14" s="33">
        <f t="shared" si="1"/>
        <v>3.125</v>
      </c>
    </row>
    <row r="15" spans="1:9" x14ac:dyDescent="0.25">
      <c r="A15">
        <v>10</v>
      </c>
      <c r="B15" t="s">
        <v>176</v>
      </c>
      <c r="C15">
        <v>4</v>
      </c>
      <c r="D15">
        <v>152</v>
      </c>
      <c r="E15">
        <v>0.32</v>
      </c>
      <c r="F15" s="33">
        <f t="shared" si="0"/>
        <v>380</v>
      </c>
      <c r="G15">
        <v>0.15</v>
      </c>
      <c r="I15" s="33">
        <f t="shared" si="1"/>
        <v>0.98684210526315796</v>
      </c>
    </row>
    <row r="16" spans="1:9" x14ac:dyDescent="0.25">
      <c r="A16">
        <v>9</v>
      </c>
      <c r="B16" t="s">
        <v>176</v>
      </c>
      <c r="C16">
        <v>2.5</v>
      </c>
      <c r="D16">
        <v>109</v>
      </c>
      <c r="E16">
        <v>0.26</v>
      </c>
      <c r="F16" s="33">
        <f t="shared" si="0"/>
        <v>436</v>
      </c>
      <c r="G16">
        <v>0.1</v>
      </c>
      <c r="I16" s="33">
        <f t="shared" si="1"/>
        <v>0.91743119266055051</v>
      </c>
    </row>
    <row r="17" spans="1:9" x14ac:dyDescent="0.25">
      <c r="A17">
        <v>8</v>
      </c>
      <c r="B17" t="s">
        <v>176</v>
      </c>
      <c r="C17">
        <v>1</v>
      </c>
      <c r="D17">
        <v>74</v>
      </c>
      <c r="E17">
        <v>0.31</v>
      </c>
      <c r="F17" s="33">
        <f t="shared" si="0"/>
        <v>740</v>
      </c>
      <c r="G17">
        <v>0.1</v>
      </c>
      <c r="I17" s="33">
        <f t="shared" si="1"/>
        <v>1.3513513513513513</v>
      </c>
    </row>
    <row r="19" spans="1:9" x14ac:dyDescent="0.25">
      <c r="B19" t="s">
        <v>177</v>
      </c>
      <c r="D19">
        <f>0.5*1000</f>
        <v>500</v>
      </c>
      <c r="E19">
        <f>0.01*1000</f>
        <v>10</v>
      </c>
      <c r="G19">
        <v>2.5</v>
      </c>
      <c r="I19" s="33">
        <f t="shared" si="1"/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INPUTS</vt:lpstr>
      <vt:lpstr>INPUTS_save</vt:lpstr>
      <vt:lpstr>INPUTS_save2</vt:lpstr>
      <vt:lpstr>mstruct</vt:lpstr>
      <vt:lpstr>Nstruct</vt:lpstr>
      <vt:lpstr>N content</vt:lpstr>
      <vt:lpstr>N crit</vt:lpstr>
      <vt:lpstr>shoot roots</vt:lpstr>
      <vt:lpstr>allocation C roots</vt:lpstr>
      <vt:lpstr>Conc Shoot</vt:lpstr>
      <vt:lpstr>Conc HZ</vt:lpstr>
      <vt:lpstr>Barillot2016b_inputs</vt:lpstr>
    </vt:vector>
  </TitlesOfParts>
  <Company>INRA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mngauthier</dc:creator>
  <cp:lastModifiedBy>mngauthier</cp:lastModifiedBy>
  <dcterms:created xsi:type="dcterms:W3CDTF">2018-08-23T07:17:26Z</dcterms:created>
  <dcterms:modified xsi:type="dcterms:W3CDTF">2018-12-04T17:53:02Z</dcterms:modified>
</cp:coreProperties>
</file>