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example\Vegetative_stages\inputs\"/>
    </mc:Choice>
  </mc:AlternateContent>
  <bookViews>
    <workbookView xWindow="0" yWindow="0" windowWidth="20490" windowHeight="7320" activeTab="3"/>
  </bookViews>
  <sheets>
    <sheet name="INPUTS" sheetId="15" r:id="rId1"/>
    <sheet name="INPUTS_save" sheetId="20" r:id="rId2"/>
    <sheet name="INPUTS_tillering" sheetId="17" r:id="rId3"/>
    <sheet name="Soil" sheetId="18" r:id="rId4"/>
    <sheet name="Barillot2016b_inputs" sheetId="6" r:id="rId5"/>
    <sheet name="Bertheloot2011b" sheetId="1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7" l="1"/>
  <c r="F11" i="17"/>
  <c r="F10" i="17"/>
  <c r="F9" i="17"/>
  <c r="F8" i="17"/>
  <c r="F7" i="17"/>
  <c r="F6" i="17"/>
  <c r="F5" i="17"/>
  <c r="L6" i="17" l="1"/>
  <c r="L7" i="17"/>
  <c r="L8" i="17"/>
  <c r="L9" i="17"/>
  <c r="L10" i="17"/>
  <c r="L11" i="17"/>
  <c r="L12" i="17"/>
  <c r="L5" i="17"/>
  <c r="T31" i="20" l="1"/>
  <c r="J31" i="20"/>
  <c r="G31" i="20"/>
  <c r="F31" i="20"/>
  <c r="F32" i="20" s="1"/>
  <c r="E31" i="20"/>
  <c r="AV25" i="20"/>
  <c r="AW23" i="20"/>
  <c r="AA20" i="20"/>
  <c r="J20" i="20"/>
  <c r="K20" i="20" s="1"/>
  <c r="AA19" i="20"/>
  <c r="J19" i="20"/>
  <c r="K19" i="20" s="1"/>
  <c r="G19" i="20"/>
  <c r="G18" i="20" s="1"/>
  <c r="AA18" i="20"/>
  <c r="J18" i="20"/>
  <c r="AA17" i="20"/>
  <c r="J17" i="20"/>
  <c r="AS16" i="20"/>
  <c r="AB16" i="20"/>
  <c r="O20" i="20" s="1"/>
  <c r="AA16" i="20"/>
  <c r="N16" i="20" s="1"/>
  <c r="J16" i="20"/>
  <c r="AR15" i="20"/>
  <c r="AQ15" i="20"/>
  <c r="AS11" i="20" s="1"/>
  <c r="AT11" i="20" s="1"/>
  <c r="AA15" i="20"/>
  <c r="J15" i="20"/>
  <c r="BC12" i="20"/>
  <c r="BA12" i="20"/>
  <c r="AX12" i="20"/>
  <c r="AV12" i="20"/>
  <c r="AM12" i="20"/>
  <c r="AI12" i="20"/>
  <c r="AL12" i="20" s="1"/>
  <c r="AN12" i="20" s="1"/>
  <c r="E12" i="20"/>
  <c r="W12" i="20" s="1"/>
  <c r="BC11" i="20"/>
  <c r="BA11" i="20"/>
  <c r="AI11" i="20" s="1"/>
  <c r="AX11" i="20"/>
  <c r="AV11" i="20"/>
  <c r="AM11" i="20"/>
  <c r="E11" i="20"/>
  <c r="W11" i="20" s="1"/>
  <c r="BC10" i="20"/>
  <c r="BA10" i="20"/>
  <c r="AI10" i="20" s="1"/>
  <c r="AK10" i="20" s="1"/>
  <c r="AG10" i="20" s="1"/>
  <c r="AX10" i="20"/>
  <c r="AV10" i="20"/>
  <c r="AM10" i="20"/>
  <c r="E10" i="20"/>
  <c r="W10" i="20" s="1"/>
  <c r="BC9" i="20"/>
  <c r="BA9" i="20"/>
  <c r="AI9" i="20" s="1"/>
  <c r="AX9" i="20"/>
  <c r="AV9" i="20"/>
  <c r="AM9" i="20"/>
  <c r="BC8" i="20"/>
  <c r="BA8" i="20"/>
  <c r="AI8" i="20" s="1"/>
  <c r="AX8" i="20"/>
  <c r="AV8" i="20"/>
  <c r="AM8" i="20"/>
  <c r="BC7" i="20"/>
  <c r="BA7" i="20"/>
  <c r="AI7" i="20" s="1"/>
  <c r="AX7" i="20"/>
  <c r="AV7" i="20"/>
  <c r="AM7" i="20"/>
  <c r="BC6" i="20"/>
  <c r="AJ6" i="20" s="1"/>
  <c r="AM6" i="20" s="1"/>
  <c r="BA6" i="20"/>
  <c r="AI6" i="20" s="1"/>
  <c r="AV6" i="20"/>
  <c r="BC5" i="20"/>
  <c r="AJ5" i="20" s="1"/>
  <c r="AM5" i="20" s="1"/>
  <c r="BA5" i="20"/>
  <c r="AY5" i="20"/>
  <c r="AX5" i="20"/>
  <c r="AV5" i="20"/>
  <c r="J5" i="20"/>
  <c r="K5" i="20" s="1"/>
  <c r="G5" i="20"/>
  <c r="E2" i="20"/>
  <c r="E9" i="20" s="1"/>
  <c r="W9" i="20" s="1"/>
  <c r="AK6" i="20" l="1"/>
  <c r="AE6" i="20" s="1"/>
  <c r="G17" i="20"/>
  <c r="G16" i="20" s="1"/>
  <c r="G15" i="20" s="1"/>
  <c r="AS7" i="20"/>
  <c r="AT7" i="20" s="1"/>
  <c r="AS15" i="20"/>
  <c r="O17" i="20"/>
  <c r="N19" i="20"/>
  <c r="W17" i="20"/>
  <c r="X17" i="20" s="1"/>
  <c r="M17" i="20" s="1"/>
  <c r="N17" i="20"/>
  <c r="W16" i="20"/>
  <c r="X16" i="20" s="1"/>
  <c r="N20" i="20"/>
  <c r="O18" i="20"/>
  <c r="N15" i="20"/>
  <c r="K18" i="20"/>
  <c r="P42" i="20"/>
  <c r="P32" i="20"/>
  <c r="AS8" i="20"/>
  <c r="AT8" i="20" s="1"/>
  <c r="AS9" i="20"/>
  <c r="AT9" i="20" s="1"/>
  <c r="E32" i="20"/>
  <c r="AS6" i="20"/>
  <c r="AT6" i="20" s="1"/>
  <c r="AC16" i="20" s="1"/>
  <c r="Q16" i="20" s="1"/>
  <c r="AS5" i="20"/>
  <c r="AT5" i="20" s="1"/>
  <c r="AK12" i="20"/>
  <c r="AS12" i="20"/>
  <c r="AT12" i="20" s="1"/>
  <c r="W18" i="20"/>
  <c r="X18" i="20" s="1"/>
  <c r="M18" i="20" s="1"/>
  <c r="O15" i="20"/>
  <c r="AL7" i="20"/>
  <c r="AN7" i="20" s="1"/>
  <c r="AK7" i="20"/>
  <c r="AE10" i="20"/>
  <c r="AL6" i="20"/>
  <c r="AN6" i="20" s="1"/>
  <c r="N18" i="20"/>
  <c r="K15" i="20"/>
  <c r="R16" i="20"/>
  <c r="AL8" i="20"/>
  <c r="AN8" i="20" s="1"/>
  <c r="AK8" i="20"/>
  <c r="AL11" i="20"/>
  <c r="AN11" i="20" s="1"/>
  <c r="AK11" i="20"/>
  <c r="AZ5" i="20"/>
  <c r="AI5" i="20" s="1"/>
  <c r="AL9" i="20"/>
  <c r="AN9" i="20" s="1"/>
  <c r="AK9" i="20"/>
  <c r="AS10" i="20"/>
  <c r="AT10" i="20" s="1"/>
  <c r="AH10" i="20" s="1"/>
  <c r="O16" i="20"/>
  <c r="K16" i="20"/>
  <c r="M16" i="20"/>
  <c r="E28" i="20"/>
  <c r="O19" i="20"/>
  <c r="W20" i="20"/>
  <c r="X20" i="20" s="1"/>
  <c r="K17" i="20"/>
  <c r="E5" i="20"/>
  <c r="W5" i="20" s="1"/>
  <c r="E8" i="20"/>
  <c r="W8" i="20" s="1"/>
  <c r="AL10" i="20"/>
  <c r="AN10" i="20" s="1"/>
  <c r="E6" i="20"/>
  <c r="W6" i="20" s="1"/>
  <c r="E7" i="20"/>
  <c r="W7" i="20" s="1"/>
  <c r="J6" i="20"/>
  <c r="W15" i="20"/>
  <c r="X15" i="20" s="1"/>
  <c r="AC15" i="20" s="1"/>
  <c r="Q15" i="20" s="1"/>
  <c r="W19" i="20"/>
  <c r="M50" i="17"/>
  <c r="AC17" i="20" l="1"/>
  <c r="Q17" i="20" s="1"/>
  <c r="L17" i="20"/>
  <c r="AD17" i="20" s="1"/>
  <c r="AE17" i="20" s="1"/>
  <c r="AH6" i="20"/>
  <c r="AF6" i="20"/>
  <c r="AP6" i="20" s="1"/>
  <c r="AQ6" i="20" s="1"/>
  <c r="L16" i="20"/>
  <c r="AD16" i="20" s="1"/>
  <c r="AE16" i="20" s="1"/>
  <c r="AG6" i="20"/>
  <c r="AH8" i="20"/>
  <c r="AP8" i="20" s="1"/>
  <c r="AQ8" i="20" s="1"/>
  <c r="AG8" i="20"/>
  <c r="AF8" i="20"/>
  <c r="AE8" i="20"/>
  <c r="L19" i="20"/>
  <c r="X19" i="20"/>
  <c r="L18" i="20"/>
  <c r="AD18" i="20" s="1"/>
  <c r="AE18" i="20" s="1"/>
  <c r="AK5" i="20"/>
  <c r="AL5" i="20"/>
  <c r="AN5" i="20" s="1"/>
  <c r="AH12" i="20"/>
  <c r="AG12" i="20"/>
  <c r="AF12" i="20"/>
  <c r="AE12" i="20"/>
  <c r="AP12" i="20" s="1"/>
  <c r="AQ12" i="20" s="1"/>
  <c r="R18" i="20"/>
  <c r="AC18" i="20"/>
  <c r="Q18" i="20" s="1"/>
  <c r="K6" i="20"/>
  <c r="J7" i="20"/>
  <c r="AY6" i="20"/>
  <c r="AX6" i="20"/>
  <c r="AG11" i="20"/>
  <c r="AF11" i="20"/>
  <c r="AE11" i="20"/>
  <c r="AH11" i="20"/>
  <c r="L20" i="20"/>
  <c r="AE9" i="20"/>
  <c r="AH9" i="20"/>
  <c r="AG9" i="20"/>
  <c r="AF9" i="20"/>
  <c r="M15" i="20"/>
  <c r="AF10" i="20"/>
  <c r="AP10" i="20" s="1"/>
  <c r="AQ10" i="20" s="1"/>
  <c r="AG7" i="20"/>
  <c r="AF7" i="20"/>
  <c r="AH7" i="20"/>
  <c r="AE7" i="20"/>
  <c r="AP7" i="20" s="1"/>
  <c r="AQ7" i="20" s="1"/>
  <c r="F28" i="20"/>
  <c r="AC20" i="20"/>
  <c r="Q20" i="20" s="1"/>
  <c r="M20" i="20"/>
  <c r="L15" i="20"/>
  <c r="AP11" i="20" l="1"/>
  <c r="AQ11" i="20" s="1"/>
  <c r="AZ6" i="20"/>
  <c r="AP9" i="20"/>
  <c r="AQ9" i="20" s="1"/>
  <c r="AD20" i="20"/>
  <c r="AE20" i="20" s="1"/>
  <c r="K7" i="20"/>
  <c r="J8" i="20"/>
  <c r="AY7" i="20"/>
  <c r="AZ7" i="20" s="1"/>
  <c r="G28" i="20"/>
  <c r="AF5" i="20"/>
  <c r="AH5" i="20"/>
  <c r="AG5" i="20"/>
  <c r="AE5" i="20"/>
  <c r="AP5" i="20" s="1"/>
  <c r="AQ5" i="20" s="1"/>
  <c r="P33" i="20" a="1"/>
  <c r="P33" i="20" s="1"/>
  <c r="AD15" i="20"/>
  <c r="AC19" i="20"/>
  <c r="Q19" i="20" s="1"/>
  <c r="M19" i="20"/>
  <c r="AD19" i="20" s="1"/>
  <c r="AE19" i="20" s="1"/>
  <c r="R19" i="20"/>
  <c r="G42" i="17"/>
  <c r="G19" i="15"/>
  <c r="G17" i="15" l="1"/>
  <c r="G18" i="15"/>
  <c r="G40" i="17" s="1"/>
  <c r="G41" i="17"/>
  <c r="Y23" i="20"/>
  <c r="AE15" i="20"/>
  <c r="AY8" i="20"/>
  <c r="AZ8" i="20" s="1"/>
  <c r="K8" i="20"/>
  <c r="J9" i="20"/>
  <c r="P37" i="20"/>
  <c r="K27" i="20"/>
  <c r="AB16" i="15"/>
  <c r="E28" i="15" s="1"/>
  <c r="AA18" i="15"/>
  <c r="G16" i="15" l="1"/>
  <c r="G39" i="17"/>
  <c r="AY9" i="20"/>
  <c r="AZ9" i="20" s="1"/>
  <c r="J10" i="20"/>
  <c r="K9" i="20"/>
  <c r="M27" i="20"/>
  <c r="L27" i="20"/>
  <c r="P30" i="20"/>
  <c r="N28" i="20"/>
  <c r="P39" i="20" s="1"/>
  <c r="E27" i="20"/>
  <c r="F27" i="20"/>
  <c r="G27" i="20"/>
  <c r="AO6" i="17"/>
  <c r="AO13" i="17" s="1"/>
  <c r="AO20" i="17" s="1"/>
  <c r="AO27" i="17" s="1"/>
  <c r="AO34" i="17" s="1"/>
  <c r="AO7" i="17"/>
  <c r="AO14" i="17" s="1"/>
  <c r="AO21" i="17" s="1"/>
  <c r="AO28" i="17" s="1"/>
  <c r="AO8" i="17"/>
  <c r="AO15" i="17" s="1"/>
  <c r="AO22" i="17" s="1"/>
  <c r="AO29" i="17" s="1"/>
  <c r="AO9" i="17"/>
  <c r="AO16" i="17" s="1"/>
  <c r="AO23" i="17" s="1"/>
  <c r="AO30" i="17" s="1"/>
  <c r="AO10" i="17"/>
  <c r="AO17" i="17" s="1"/>
  <c r="AO24" i="17" s="1"/>
  <c r="AO31" i="17" s="1"/>
  <c r="AO11" i="17"/>
  <c r="AO18" i="17" s="1"/>
  <c r="AO25" i="17" s="1"/>
  <c r="AO32" i="17" s="1"/>
  <c r="AO12" i="17"/>
  <c r="AO19" i="17" s="1"/>
  <c r="AO26" i="17" s="1"/>
  <c r="AO33" i="17" s="1"/>
  <c r="AO5" i="17"/>
  <c r="P34" i="20" l="1"/>
  <c r="P44" i="20" s="1"/>
  <c r="G38" i="17"/>
  <c r="G15" i="15"/>
  <c r="G37" i="17" s="1"/>
  <c r="P35" i="20"/>
  <c r="P38" i="20"/>
  <c r="P40" i="20"/>
  <c r="J11" i="20"/>
  <c r="AY10" i="20"/>
  <c r="AZ10" i="20" s="1"/>
  <c r="K10" i="20"/>
  <c r="V37" i="17"/>
  <c r="P43" i="20" l="1"/>
  <c r="K11" i="20"/>
  <c r="AY11" i="20"/>
  <c r="AZ11" i="20" s="1"/>
  <c r="J12" i="20"/>
  <c r="R42" i="17"/>
  <c r="AY12" i="20" l="1"/>
  <c r="AZ12" i="20" s="1"/>
  <c r="K12" i="20"/>
  <c r="D1" i="19"/>
  <c r="E25" i="6"/>
  <c r="C2" i="18" l="1"/>
  <c r="W15" i="17" l="1"/>
  <c r="W16" i="17"/>
  <c r="W17" i="17"/>
  <c r="W18" i="17"/>
  <c r="W34" i="17"/>
  <c r="W26" i="17"/>
  <c r="W22" i="17"/>
  <c r="W21" i="17"/>
  <c r="W20" i="17"/>
  <c r="W19" i="17"/>
  <c r="W14" i="17"/>
  <c r="W13" i="17"/>
  <c r="W27" i="17" l="1"/>
  <c r="W28" i="17"/>
  <c r="W31" i="17"/>
  <c r="W23" i="17"/>
  <c r="W24" i="17"/>
  <c r="W32" i="17"/>
  <c r="W29" i="17"/>
  <c r="W30" i="17"/>
  <c r="W25" i="17"/>
  <c r="W33" i="17"/>
  <c r="F4" i="18" l="1"/>
  <c r="AV9" i="17" l="1"/>
  <c r="AV7" i="17" l="1"/>
  <c r="AV8" i="17"/>
  <c r="AV10" i="17"/>
  <c r="AV11" i="17"/>
  <c r="AV12" i="17"/>
  <c r="AV6" i="17"/>
  <c r="AV5" i="17"/>
  <c r="AW31" i="17"/>
  <c r="AW27" i="17"/>
  <c r="AW28" i="17"/>
  <c r="AW29" i="17"/>
  <c r="AW30" i="17"/>
  <c r="AW26" i="17"/>
  <c r="AW21" i="17"/>
  <c r="AW22" i="17"/>
  <c r="AW23" i="17"/>
  <c r="AW24" i="17"/>
  <c r="AW25" i="17"/>
  <c r="AW20" i="17"/>
  <c r="AW14" i="17"/>
  <c r="AW15" i="17"/>
  <c r="AW16" i="17"/>
  <c r="AW17" i="17"/>
  <c r="AW32" i="17" s="1"/>
  <c r="AW18" i="17"/>
  <c r="AW33" i="17" s="1"/>
  <c r="AW19" i="17"/>
  <c r="AW13" i="17"/>
  <c r="AV13" i="17" s="1"/>
  <c r="AR37" i="17"/>
  <c r="AR6" i="17"/>
  <c r="AA40" i="17"/>
  <c r="AW34" i="17" l="1"/>
  <c r="F3" i="18" l="1"/>
  <c r="AQ37" i="17" l="1"/>
  <c r="AS37" i="17" s="1"/>
  <c r="J53" i="17"/>
  <c r="AR5" i="17"/>
  <c r="P50" i="17" l="1"/>
  <c r="BB12" i="17" l="1"/>
  <c r="BB11" i="17"/>
  <c r="BB10" i="17"/>
  <c r="BB9" i="17"/>
  <c r="BB8" i="17"/>
  <c r="BB7" i="17"/>
  <c r="BB6" i="17"/>
  <c r="BB5" i="17"/>
  <c r="AU34" i="17" l="1"/>
  <c r="AV34" i="17" s="1"/>
  <c r="AU33" i="17"/>
  <c r="AV33" i="17" s="1"/>
  <c r="AU32" i="17"/>
  <c r="AV32" i="17" s="1"/>
  <c r="AU31" i="17"/>
  <c r="AV31" i="17" s="1"/>
  <c r="AU30" i="17"/>
  <c r="AV30" i="17" s="1"/>
  <c r="AU29" i="17"/>
  <c r="AV29" i="17" s="1"/>
  <c r="AU28" i="17"/>
  <c r="AV28" i="17" s="1"/>
  <c r="AU27" i="17"/>
  <c r="AV27" i="17" s="1"/>
  <c r="AU26" i="17"/>
  <c r="AV26" i="17" s="1"/>
  <c r="AU25" i="17"/>
  <c r="AV25" i="17" s="1"/>
  <c r="AU24" i="17"/>
  <c r="AV24" i="17" s="1"/>
  <c r="AU23" i="17"/>
  <c r="AV23" i="17" s="1"/>
  <c r="AU22" i="17"/>
  <c r="AV22" i="17" s="1"/>
  <c r="AU21" i="17"/>
  <c r="AV21" i="17" s="1"/>
  <c r="AU20" i="17"/>
  <c r="AV20" i="17" s="1"/>
  <c r="AU19" i="17"/>
  <c r="AV19" i="17" s="1"/>
  <c r="AU18" i="17"/>
  <c r="AV18" i="17" s="1"/>
  <c r="AU17" i="17"/>
  <c r="AV17" i="17" s="1"/>
  <c r="AU16" i="17"/>
  <c r="AV16" i="17" s="1"/>
  <c r="AU15" i="17"/>
  <c r="AV15" i="17" s="1"/>
  <c r="AU14" i="17"/>
  <c r="AV14" i="17" s="1"/>
  <c r="AV6" i="15"/>
  <c r="AV7" i="15"/>
  <c r="AV8" i="15"/>
  <c r="AV9" i="15"/>
  <c r="AV10" i="15"/>
  <c r="AV11" i="15"/>
  <c r="AV12" i="15"/>
  <c r="AV5" i="15"/>
  <c r="AR15" i="15"/>
  <c r="D3" i="18" l="1"/>
  <c r="D4" i="18"/>
  <c r="C3" i="18"/>
  <c r="C4" i="18"/>
  <c r="D2" i="18"/>
  <c r="I20" i="6" l="1"/>
  <c r="D22" i="6"/>
  <c r="E22" i="6"/>
  <c r="I22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AR7" i="17"/>
  <c r="AR8" i="17"/>
  <c r="AR9" i="17"/>
  <c r="AR10" i="17"/>
  <c r="AR11" i="17"/>
  <c r="AR12" i="17"/>
  <c r="X45" i="17"/>
  <c r="V38" i="17"/>
  <c r="V39" i="17"/>
  <c r="V40" i="17"/>
  <c r="V41" i="17"/>
  <c r="V42" i="17"/>
  <c r="U38" i="17"/>
  <c r="U39" i="17"/>
  <c r="U40" i="17"/>
  <c r="U41" i="17"/>
  <c r="U42" i="17"/>
  <c r="U37" i="17"/>
  <c r="M62" i="17" l="1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R34" i="17"/>
  <c r="AR33" i="17"/>
  <c r="AR32" i="17"/>
  <c r="AR31" i="17"/>
  <c r="AR30" i="17"/>
  <c r="AR29" i="17"/>
  <c r="AR28" i="17"/>
  <c r="AR27" i="17"/>
  <c r="AR26" i="17"/>
  <c r="AR25" i="17"/>
  <c r="AR24" i="17"/>
  <c r="AR23" i="17"/>
  <c r="AR22" i="17"/>
  <c r="AR21" i="17"/>
  <c r="AR20" i="17"/>
  <c r="AR19" i="17"/>
  <c r="AR18" i="17"/>
  <c r="AR17" i="17"/>
  <c r="AR16" i="17"/>
  <c r="AR15" i="17"/>
  <c r="AR14" i="17"/>
  <c r="AR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E53" i="17"/>
  <c r="AS12" i="17" s="1"/>
  <c r="AW47" i="17"/>
  <c r="AX45" i="17"/>
  <c r="AA42" i="17"/>
  <c r="J42" i="17"/>
  <c r="AA41" i="17"/>
  <c r="J41" i="17"/>
  <c r="J40" i="17"/>
  <c r="AA39" i="17"/>
  <c r="J39" i="17"/>
  <c r="AS38" i="17"/>
  <c r="AB38" i="17"/>
  <c r="E50" i="17" s="1"/>
  <c r="AA38" i="17"/>
  <c r="J38" i="17"/>
  <c r="AA37" i="17"/>
  <c r="J37" i="17"/>
  <c r="BD12" i="17"/>
  <c r="AI12" i="17"/>
  <c r="AI19" i="17" s="1"/>
  <c r="AY12" i="17"/>
  <c r="AM12" i="17"/>
  <c r="AM19" i="17" s="1"/>
  <c r="BD11" i="17"/>
  <c r="AI11" i="17"/>
  <c r="AI33" i="17" s="1"/>
  <c r="AY11" i="17"/>
  <c r="AM11" i="17"/>
  <c r="AM18" i="17" s="1"/>
  <c r="BD10" i="17"/>
  <c r="AI10" i="17"/>
  <c r="AL10" i="17" s="1"/>
  <c r="AL23" i="17" s="1"/>
  <c r="AY10" i="17"/>
  <c r="AM10" i="17"/>
  <c r="BD9" i="17"/>
  <c r="AI9" i="17"/>
  <c r="AI31" i="17" s="1"/>
  <c r="AY9" i="17"/>
  <c r="AM9" i="17"/>
  <c r="AM16" i="17" s="1"/>
  <c r="BD8" i="17"/>
  <c r="AI8" i="17"/>
  <c r="AY8" i="17"/>
  <c r="AM8" i="17"/>
  <c r="AM15" i="17" s="1"/>
  <c r="BD7" i="17"/>
  <c r="AI7" i="17"/>
  <c r="AL7" i="17" s="1"/>
  <c r="AL20" i="17" s="1"/>
  <c r="AY7" i="17"/>
  <c r="AM7" i="17"/>
  <c r="AM14" i="17" s="1"/>
  <c r="BD6" i="17"/>
  <c r="AJ6" i="17" s="1"/>
  <c r="AM6" i="17" s="1"/>
  <c r="AM13" i="17" s="1"/>
  <c r="BD5" i="17"/>
  <c r="AJ5" i="17" s="1"/>
  <c r="AM5" i="17" s="1"/>
  <c r="J5" i="17"/>
  <c r="J6" i="17" s="1"/>
  <c r="J13" i="17" s="1"/>
  <c r="G5" i="17"/>
  <c r="E2" i="17"/>
  <c r="E7" i="17" s="1"/>
  <c r="E20" i="17" s="1"/>
  <c r="AS8" i="17" l="1"/>
  <c r="AS15" i="17" s="1"/>
  <c r="AS6" i="17"/>
  <c r="AS5" i="17"/>
  <c r="AT5" i="17" s="1"/>
  <c r="AI30" i="17"/>
  <c r="AI24" i="17"/>
  <c r="F54" i="17"/>
  <c r="P54" i="17"/>
  <c r="AI34" i="17"/>
  <c r="AS9" i="17"/>
  <c r="AS27" i="17" s="1"/>
  <c r="AS11" i="17"/>
  <c r="AS24" i="17" s="1"/>
  <c r="AJ13" i="17"/>
  <c r="P64" i="17"/>
  <c r="AS7" i="17"/>
  <c r="AS14" i="17" s="1"/>
  <c r="AS10" i="17"/>
  <c r="AS32" i="17" s="1"/>
  <c r="AS26" i="17"/>
  <c r="AS21" i="17"/>
  <c r="AS13" i="17"/>
  <c r="AT6" i="17"/>
  <c r="AT13" i="17" s="1"/>
  <c r="AS19" i="17"/>
  <c r="AS25" i="17"/>
  <c r="AS34" i="17"/>
  <c r="AS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Y6" i="17"/>
  <c r="J7" i="17"/>
  <c r="AZ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W39" i="17"/>
  <c r="X39" i="17" s="1"/>
  <c r="AK7" i="17"/>
  <c r="AG7" i="17" s="1"/>
  <c r="K38" i="17"/>
  <c r="O40" i="17"/>
  <c r="AY5" i="17"/>
  <c r="K5" i="17"/>
  <c r="AZ5" i="17"/>
  <c r="AK10" i="17"/>
  <c r="AG10" i="17" s="1"/>
  <c r="W38" i="17"/>
  <c r="X38" i="17" s="1"/>
  <c r="K37" i="17"/>
  <c r="E6" i="17"/>
  <c r="E13" i="17" s="1"/>
  <c r="E9" i="17"/>
  <c r="K42" i="17"/>
  <c r="K39" i="17"/>
  <c r="AS23" i="17" l="1"/>
  <c r="AS17" i="17"/>
  <c r="AS20" i="17"/>
  <c r="AC37" i="17"/>
  <c r="AS33" i="17"/>
  <c r="AS18" i="17"/>
  <c r="AS28" i="17"/>
  <c r="AG27" i="17"/>
  <c r="AG16" i="17"/>
  <c r="AG22" i="17"/>
  <c r="AG31" i="17"/>
  <c r="AG20" i="17"/>
  <c r="AG14" i="17"/>
  <c r="AT9" i="17"/>
  <c r="AH9" i="17" s="1"/>
  <c r="AS31" i="17"/>
  <c r="AG15" i="17"/>
  <c r="AG26" i="17"/>
  <c r="AG21" i="17"/>
  <c r="AS16" i="17"/>
  <c r="AS22" i="17"/>
  <c r="AG33" i="17"/>
  <c r="AG24" i="17"/>
  <c r="AG29" i="17"/>
  <c r="AG18" i="17"/>
  <c r="AS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T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BA6" i="17"/>
  <c r="AK16" i="17"/>
  <c r="AK22" i="17"/>
  <c r="AK27" i="17"/>
  <c r="AK31" i="17"/>
  <c r="M39" i="17"/>
  <c r="L39" i="17"/>
  <c r="K7" i="17"/>
  <c r="AZ7" i="17"/>
  <c r="BA7" i="17" s="1"/>
  <c r="J8" i="17"/>
  <c r="BA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AP9" i="17" l="1"/>
  <c r="AQ9" i="17" s="1"/>
  <c r="AP11" i="17"/>
  <c r="AQ11" i="17" s="1"/>
  <c r="AD42" i="17"/>
  <c r="AE42" i="17" s="1"/>
  <c r="AD37" i="17"/>
  <c r="AD40" i="17"/>
  <c r="AE40" i="17" s="1"/>
  <c r="AF7" i="17"/>
  <c r="AT7" i="17"/>
  <c r="AD41" i="17"/>
  <c r="AE41" i="17" s="1"/>
  <c r="AD39" i="17"/>
  <c r="AE39" i="17" s="1"/>
  <c r="AT8" i="17"/>
  <c r="AT12" i="17"/>
  <c r="AT10" i="17"/>
  <c r="AT16" i="17"/>
  <c r="AT31" i="17"/>
  <c r="AT22" i="17"/>
  <c r="AT27" i="17"/>
  <c r="AT18" i="17"/>
  <c r="AT33" i="17"/>
  <c r="AT29" i="17"/>
  <c r="AT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L5" i="17"/>
  <c r="AN5" i="17" s="1"/>
  <c r="AK5" i="17"/>
  <c r="J9" i="17"/>
  <c r="AZ8" i="17"/>
  <c r="BA8" i="17" s="1"/>
  <c r="K8" i="17"/>
  <c r="AE37" i="17" l="1"/>
  <c r="AP31" i="17"/>
  <c r="AP29" i="17"/>
  <c r="AQ29" i="17" s="1"/>
  <c r="AP16" i="17"/>
  <c r="AQ16" i="17" s="1"/>
  <c r="AP27" i="17"/>
  <c r="AQ27" i="17" s="1"/>
  <c r="AP22" i="17"/>
  <c r="AQ22" i="17" s="1"/>
  <c r="AP18" i="17"/>
  <c r="AQ18" i="17" s="1"/>
  <c r="AF14" i="17"/>
  <c r="AP24" i="17"/>
  <c r="AQ24" i="17" s="1"/>
  <c r="AG5" i="17"/>
  <c r="AP33" i="17"/>
  <c r="AQ33" i="17" s="1"/>
  <c r="AF20" i="17"/>
  <c r="AC39" i="17"/>
  <c r="Q39" i="17" s="1"/>
  <c r="AC41" i="17"/>
  <c r="Q41" i="17" s="1"/>
  <c r="AC40" i="17"/>
  <c r="Q40" i="17" s="1"/>
  <c r="Q37" i="17"/>
  <c r="AC42" i="17"/>
  <c r="Q42" i="17" s="1"/>
  <c r="AC38" i="17"/>
  <c r="Q38" i="17" s="1"/>
  <c r="AQ31" i="17"/>
  <c r="AT14" i="17"/>
  <c r="AT20" i="17"/>
  <c r="AH7" i="17"/>
  <c r="AP7" i="17" s="1"/>
  <c r="AT17" i="17"/>
  <c r="AT23" i="17"/>
  <c r="AT32" i="17"/>
  <c r="AT28" i="17"/>
  <c r="AH10" i="17"/>
  <c r="AP10" i="17" s="1"/>
  <c r="AT34" i="17"/>
  <c r="AT25" i="17"/>
  <c r="AT30" i="17"/>
  <c r="AT19" i="17"/>
  <c r="AH12" i="17"/>
  <c r="AP12" i="17" s="1"/>
  <c r="AH8" i="17"/>
  <c r="AP8" i="17" s="1"/>
  <c r="AQ8" i="17" s="1"/>
  <c r="AT26" i="17"/>
  <c r="AT15" i="17"/>
  <c r="AT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AZ9" i="17"/>
  <c r="BA9" i="17" s="1"/>
  <c r="J10" i="17"/>
  <c r="K9" i="17"/>
  <c r="AA16" i="15"/>
  <c r="AA17" i="15"/>
  <c r="AA19" i="15"/>
  <c r="N19" i="15" s="1"/>
  <c r="AA20" i="15"/>
  <c r="AA15" i="15"/>
  <c r="AQ15" i="15"/>
  <c r="T31" i="15"/>
  <c r="J31" i="15"/>
  <c r="G31" i="15"/>
  <c r="F31" i="15"/>
  <c r="E31" i="15"/>
  <c r="AV25" i="15"/>
  <c r="AW23" i="15"/>
  <c r="J20" i="15"/>
  <c r="J19" i="15"/>
  <c r="K19" i="15" s="1"/>
  <c r="J18" i="15"/>
  <c r="J17" i="15"/>
  <c r="AS16" i="15"/>
  <c r="J16" i="15"/>
  <c r="O16" i="15" s="1"/>
  <c r="J15" i="15"/>
  <c r="BC12" i="15"/>
  <c r="BA12" i="15"/>
  <c r="AI12" i="15" s="1"/>
  <c r="AL12" i="15" s="1"/>
  <c r="AX12" i="15"/>
  <c r="AM12" i="15"/>
  <c r="BC11" i="15"/>
  <c r="BA11" i="15"/>
  <c r="AI11" i="15" s="1"/>
  <c r="AX11" i="15"/>
  <c r="AM11" i="15"/>
  <c r="BC10" i="15"/>
  <c r="BA10" i="15"/>
  <c r="AI10" i="15" s="1"/>
  <c r="AK10" i="15" s="1"/>
  <c r="AX10" i="15"/>
  <c r="AM10" i="15"/>
  <c r="BC9" i="15"/>
  <c r="BA9" i="15"/>
  <c r="AI9" i="15" s="1"/>
  <c r="AK9" i="15" s="1"/>
  <c r="AX9" i="15"/>
  <c r="AM9" i="15"/>
  <c r="BC8" i="15"/>
  <c r="BA8" i="15"/>
  <c r="AX8" i="15"/>
  <c r="AM8" i="15"/>
  <c r="AI8" i="15"/>
  <c r="AK8" i="15" s="1"/>
  <c r="AG8" i="15" s="1"/>
  <c r="BC7" i="15"/>
  <c r="BA7" i="15"/>
  <c r="AI7" i="15" s="1"/>
  <c r="AK7" i="15" s="1"/>
  <c r="AG7" i="15" s="1"/>
  <c r="AX7" i="15"/>
  <c r="AM7" i="15"/>
  <c r="BC6" i="15"/>
  <c r="AJ6" i="15" s="1"/>
  <c r="AM6" i="15" s="1"/>
  <c r="BA6" i="15"/>
  <c r="AI6" i="15" s="1"/>
  <c r="AK6" i="15" s="1"/>
  <c r="AG6" i="15" s="1"/>
  <c r="BC5" i="15"/>
  <c r="AJ5" i="15" s="1"/>
  <c r="AM5" i="15" s="1"/>
  <c r="BA5" i="15"/>
  <c r="J5" i="15"/>
  <c r="K5" i="15" s="1"/>
  <c r="G5" i="15"/>
  <c r="E2" i="15"/>
  <c r="E5" i="15" s="1"/>
  <c r="W5" i="15" s="1"/>
  <c r="O20" i="15" l="1"/>
  <c r="N17" i="15"/>
  <c r="W16" i="15"/>
  <c r="X16" i="15" s="1"/>
  <c r="R16" i="15" s="1"/>
  <c r="AP5" i="17"/>
  <c r="W20" i="15"/>
  <c r="X20" i="15" s="1"/>
  <c r="AE9" i="15"/>
  <c r="AG9" i="15"/>
  <c r="AS6" i="15"/>
  <c r="AS9" i="15"/>
  <c r="AS7" i="15"/>
  <c r="AS8" i="15"/>
  <c r="AS10" i="15"/>
  <c r="AS11" i="15"/>
  <c r="AS12" i="15"/>
  <c r="AS5" i="15"/>
  <c r="N15" i="15"/>
  <c r="AE10" i="15"/>
  <c r="AG10" i="15"/>
  <c r="O18" i="15"/>
  <c r="N18" i="15"/>
  <c r="W15" i="15"/>
  <c r="X15" i="15" s="1"/>
  <c r="O19" i="15"/>
  <c r="AN12" i="15"/>
  <c r="N16" i="15"/>
  <c r="AH32" i="17"/>
  <c r="AH17" i="17"/>
  <c r="AH28" i="17"/>
  <c r="AH23" i="17"/>
  <c r="AP23" i="17" s="1"/>
  <c r="AH21" i="17"/>
  <c r="AH15" i="17"/>
  <c r="AH26" i="17"/>
  <c r="AH30" i="17"/>
  <c r="AH34" i="17"/>
  <c r="AH25" i="17"/>
  <c r="AH19" i="17"/>
  <c r="AP19" i="17" s="1"/>
  <c r="AQ7" i="17"/>
  <c r="AH14" i="17"/>
  <c r="AP14" i="17" s="1"/>
  <c r="AH20" i="17"/>
  <c r="AQ10" i="17"/>
  <c r="AQ12" i="17"/>
  <c r="K31" i="17"/>
  <c r="K27" i="17"/>
  <c r="K22" i="17"/>
  <c r="K16" i="17"/>
  <c r="J23" i="17"/>
  <c r="J28" i="17"/>
  <c r="J17" i="17"/>
  <c r="J32" i="17"/>
  <c r="J11" i="17"/>
  <c r="K10" i="17"/>
  <c r="AZ10" i="17"/>
  <c r="BA10" i="17" s="1"/>
  <c r="E8" i="15"/>
  <c r="W8" i="15" s="1"/>
  <c r="AL7" i="15"/>
  <c r="AN7" i="15" s="1"/>
  <c r="E6" i="15"/>
  <c r="W6" i="15" s="1"/>
  <c r="E9" i="15"/>
  <c r="W9" i="15" s="1"/>
  <c r="AL9" i="15"/>
  <c r="AN9" i="15" s="1"/>
  <c r="E11" i="15"/>
  <c r="W11" i="15" s="1"/>
  <c r="N20" i="15"/>
  <c r="E7" i="15"/>
  <c r="W7" i="15" s="1"/>
  <c r="W18" i="15"/>
  <c r="X18" i="15" s="1"/>
  <c r="R18" i="15" s="1"/>
  <c r="AS15" i="15"/>
  <c r="AE7" i="15"/>
  <c r="AE8" i="15"/>
  <c r="AE6" i="15"/>
  <c r="AX5" i="15"/>
  <c r="J6" i="15"/>
  <c r="AY5" i="15"/>
  <c r="AL11" i="15"/>
  <c r="AN11" i="15" s="1"/>
  <c r="AK11" i="15"/>
  <c r="AG11" i="15" s="1"/>
  <c r="M16" i="15"/>
  <c r="R38" i="17" s="1"/>
  <c r="W17" i="15"/>
  <c r="X17" i="15" s="1"/>
  <c r="K15" i="15"/>
  <c r="K20" i="15"/>
  <c r="AL6" i="15"/>
  <c r="AN6" i="15" s="1"/>
  <c r="AL8" i="15"/>
  <c r="AN8" i="15" s="1"/>
  <c r="E10" i="15"/>
  <c r="W10" i="15" s="1"/>
  <c r="AL10" i="15"/>
  <c r="AN10" i="15" s="1"/>
  <c r="E12" i="15"/>
  <c r="W12" i="15" s="1"/>
  <c r="O15" i="15"/>
  <c r="K16" i="15"/>
  <c r="O17" i="15"/>
  <c r="K18" i="15"/>
  <c r="W19" i="15"/>
  <c r="M20" i="15"/>
  <c r="K17" i="15"/>
  <c r="AK12" i="15"/>
  <c r="AG12" i="15" s="1"/>
  <c r="L16" i="15" l="1"/>
  <c r="L20" i="15"/>
  <c r="AD20" i="15" s="1"/>
  <c r="AE20" i="15" s="1"/>
  <c r="M18" i="15"/>
  <c r="R40" i="17" s="1"/>
  <c r="L15" i="15"/>
  <c r="M15" i="15"/>
  <c r="AP26" i="17"/>
  <c r="AQ26" i="17" s="1"/>
  <c r="AP17" i="17"/>
  <c r="AQ17" i="17" s="1"/>
  <c r="AP25" i="17"/>
  <c r="AQ25" i="17" s="1"/>
  <c r="AP32" i="17"/>
  <c r="AQ32" i="17" s="1"/>
  <c r="AP15" i="17"/>
  <c r="AQ15" i="17" s="1"/>
  <c r="AP21" i="17"/>
  <c r="AQ21" i="17" s="1"/>
  <c r="AP20" i="17"/>
  <c r="AQ20" i="17" s="1"/>
  <c r="AQ23" i="17"/>
  <c r="AP34" i="17"/>
  <c r="AQ34" i="17" s="1"/>
  <c r="AQ19" i="17"/>
  <c r="AP28" i="17"/>
  <c r="AQ28" i="17" s="1"/>
  <c r="AP30" i="17"/>
  <c r="AQ30" i="17" s="1"/>
  <c r="AQ14" i="17"/>
  <c r="K17" i="17"/>
  <c r="K23" i="17"/>
  <c r="K32" i="17"/>
  <c r="K28" i="17"/>
  <c r="J33" i="17"/>
  <c r="J29" i="17"/>
  <c r="J18" i="17"/>
  <c r="J24" i="17"/>
  <c r="AQ5" i="17"/>
  <c r="AZ11" i="17"/>
  <c r="BA11" i="17" s="1"/>
  <c r="J12" i="17"/>
  <c r="K11" i="17"/>
  <c r="L18" i="15"/>
  <c r="AZ5" i="15"/>
  <c r="AI5" i="15" s="1"/>
  <c r="AK5" i="15" s="1"/>
  <c r="AG5" i="15" s="1"/>
  <c r="AE12" i="15"/>
  <c r="AE11" i="15"/>
  <c r="AD16" i="15"/>
  <c r="AE16" i="15" s="1"/>
  <c r="AT5" i="15"/>
  <c r="AT9" i="15"/>
  <c r="AH9" i="15" s="1"/>
  <c r="AT12" i="15"/>
  <c r="AH12" i="15" s="1"/>
  <c r="AT7" i="15"/>
  <c r="AH7" i="15" s="1"/>
  <c r="AT11" i="15"/>
  <c r="AH11" i="15" s="1"/>
  <c r="M17" i="15"/>
  <c r="AX6" i="15"/>
  <c r="J7" i="15"/>
  <c r="K6" i="15"/>
  <c r="AY6" i="15"/>
  <c r="X19" i="15"/>
  <c r="R19" i="15" s="1"/>
  <c r="L19" i="15"/>
  <c r="F28" i="15"/>
  <c r="L17" i="15"/>
  <c r="AD18" i="15" l="1"/>
  <c r="AE18" i="15" s="1"/>
  <c r="AD15" i="15"/>
  <c r="AE15" i="15" s="1"/>
  <c r="AZ6" i="15"/>
  <c r="AF9" i="15"/>
  <c r="AP9" i="15" s="1"/>
  <c r="AQ9" i="15" s="1"/>
  <c r="AL5" i="15"/>
  <c r="AN5" i="15" s="1"/>
  <c r="J19" i="17"/>
  <c r="J34" i="17"/>
  <c r="J25" i="17"/>
  <c r="J30" i="17"/>
  <c r="K33" i="17"/>
  <c r="K29" i="17"/>
  <c r="K18" i="17"/>
  <c r="K24" i="17"/>
  <c r="K12" i="17"/>
  <c r="AZ12" i="17"/>
  <c r="BA12" i="17" s="1"/>
  <c r="AF11" i="15"/>
  <c r="AP11" i="15" s="1"/>
  <c r="AQ11" i="15" s="1"/>
  <c r="AE5" i="15"/>
  <c r="AF8" i="15"/>
  <c r="AT8" i="15"/>
  <c r="AH8" i="15" s="1"/>
  <c r="AT6" i="15"/>
  <c r="AC15" i="15" s="1"/>
  <c r="Q15" i="15" s="1"/>
  <c r="AF6" i="15"/>
  <c r="AF12" i="15"/>
  <c r="AP12" i="15" s="1"/>
  <c r="AQ12" i="15" s="1"/>
  <c r="AF7" i="15"/>
  <c r="AP7" i="15" s="1"/>
  <c r="AQ7" i="15" s="1"/>
  <c r="AT10" i="15"/>
  <c r="AH10" i="15" s="1"/>
  <c r="AF10" i="15"/>
  <c r="G28" i="15"/>
  <c r="J8" i="15"/>
  <c r="K7" i="15"/>
  <c r="AY7" i="15"/>
  <c r="AZ7" i="15" s="1"/>
  <c r="AH5" i="15"/>
  <c r="AF5" i="15"/>
  <c r="AD17" i="15"/>
  <c r="AE17" i="15" s="1"/>
  <c r="M19" i="15"/>
  <c r="AC19" i="15" l="1"/>
  <c r="Q19" i="15" s="1"/>
  <c r="AD19" i="15"/>
  <c r="AE19" i="15" s="1"/>
  <c r="R41" i="17"/>
  <c r="AP10" i="15"/>
  <c r="AQ10" i="15" s="1"/>
  <c r="K25" i="17"/>
  <c r="K34" i="17"/>
  <c r="K30" i="17"/>
  <c r="K19" i="17"/>
  <c r="AP5" i="15"/>
  <c r="AQ5" i="15" s="1"/>
  <c r="AH6" i="15"/>
  <c r="AP6" i="15" s="1"/>
  <c r="AQ6" i="15" s="1"/>
  <c r="AC20" i="15"/>
  <c r="Q20" i="15" s="1"/>
  <c r="AC16" i="15"/>
  <c r="Q16" i="15" s="1"/>
  <c r="AC18" i="15"/>
  <c r="Q18" i="15" s="1"/>
  <c r="AC17" i="15"/>
  <c r="Q17" i="15" s="1"/>
  <c r="AP8" i="15"/>
  <c r="AQ8" i="15" s="1"/>
  <c r="K8" i="15"/>
  <c r="J9" i="15"/>
  <c r="AY8" i="15"/>
  <c r="AZ8" i="15" s="1"/>
  <c r="P33" i="15" l="1" a="1"/>
  <c r="P33" i="15"/>
  <c r="K27" i="15" s="1"/>
  <c r="G27" i="15" s="1"/>
  <c r="Y23" i="15"/>
  <c r="J10" i="15"/>
  <c r="K9" i="15"/>
  <c r="AY9" i="15"/>
  <c r="AZ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Y10" i="15"/>
  <c r="AZ10" i="15" s="1"/>
  <c r="J11" i="15"/>
  <c r="P34" i="15" l="1"/>
  <c r="P38" i="15" s="1"/>
  <c r="P39" i="15"/>
  <c r="AY11" i="15"/>
  <c r="AZ11" i="15" s="1"/>
  <c r="J12" i="15"/>
  <c r="K11" i="15"/>
  <c r="P40" i="15" l="1"/>
  <c r="P44" i="15"/>
  <c r="P35" i="15"/>
  <c r="P43" i="15" s="1"/>
  <c r="K12" i="15"/>
  <c r="AY12" i="15"/>
  <c r="AZ12" i="15" s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P6" i="17"/>
  <c r="AQ6" i="17" l="1"/>
  <c r="Y45" i="17"/>
  <c r="AP13" i="17"/>
  <c r="AQ13" i="17" s="1"/>
  <c r="P55" i="17" a="1"/>
  <c r="P55" i="17" s="1"/>
  <c r="K49" i="17" s="1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R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AR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3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<sst xmlns="http://schemas.openxmlformats.org/spreadsheetml/2006/main" count="982" uniqueCount="180">
  <si>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</si>
  <si>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</si>
  <si>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</si>
  <si>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</si>
  <si>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</si>
  <si>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</si>
  <si>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</si>
  <si>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</si>
  <si>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</si>
  <si>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</si>
  <si>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</si>
  <si>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</si>
  <si>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</si>
  <si>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</si>
  <si>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</si>
  <si>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</si>
  <si>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</si>
  <si>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</si>
  <si>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</si>
  <si>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</si>
  <si>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</si>
  <si>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</si>
  <si>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</si>
  <si>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</si>
  <si>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</si>
  <si>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</si>
  <si>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</si>
  <si>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</si>
  <si>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</si>
  <si>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</si>
  <si>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</si>
  <si>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</si>
  <si>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</si>
  <si>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</si>
  <si>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</si>
  <si>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</si>
  <si>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</si>
  <si>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</si>
  <si>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</si>
  <si>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</si>
  <si>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</si>
  <si>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</si>
  <si>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</si>
  <si>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</si>
  <si>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</si>
  <si>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</si>
  <si>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</si>
  <si>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</si>
  <si>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</si>
  <si>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</si>
  <si>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</si>
  <si>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</si>
  <si>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</si>
  <si>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</si>
  <si>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</si>
  <si>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</si>
  <si>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</si>
  <si>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</si>
  <si>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</si>
  <si>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</si>
  <si>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</si>
  <si>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</si>
  <si>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</si>
  <si>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</si>
  <si>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</si>
  <si>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</si>
  <si>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</si>
  <si>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</si>
  <si>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</si>
  <si>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</si>
  <si>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</si>
  <si>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</si>
  <si>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</si>
  <si>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</si>
  <si>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</si>
  <si>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</si>
  <si>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</si>
  <si>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</si>
  <si>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</si>
  <si>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</si>
  <si>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</si>
  <si>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</si>
  <si>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</si>
  <si>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</si>
  <si>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</si>
  <si>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</si>
  <si>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</si>
  <si>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</si>
  <si>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</si>
  <si>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</si>
  <si>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</si>
  <si>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</si>
  <si>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</si>
  <si>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</si>
  <si>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</si>
  <si>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</si>
  <si>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</si>
  <si>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</si>
  <si>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</si>
  <si>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</si>
  <si>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</si>
  <si>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</si>
  <si>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</si>
  <si>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</si>
  <si>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</si>
  <si>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</si>
  <si>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</si>
  <si>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</si>
  <si>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</si>
  <si>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</si>
  <si>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</si>
  <si>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</si>
  <si>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</si>
  <si>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</si>
  <si>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</si>
  <si>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</si>
  <si>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</si>
  <si>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</si>
  <si>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</si>
  <si>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</si>
  <si>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</si>
  <si>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</si>
  <si>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</si>
  <si>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</si>
  <si>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</si>
  <si>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</si>
  <si>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</si>
  <si>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</si>
  <si>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</si>
  <si>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</si>
  <si>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</si>
  <si>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</si>
  <si>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</si>
  <si>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</si>
  <si>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</si>
  <si>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</si>
  <si>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</si>
  <si>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</si>
  <si>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</si>
  <si>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</si>
  <si>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</si>
  <si>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</si>
  <si>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</si>
  <si>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</si>
  <si>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</si>
  <si>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</si>
  <si>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</si>
  <si>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</si>
  <si>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</si>
  <si>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</si>
  <si>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</si>
  <si>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</si>
  <si>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</si>
  <si>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</si>
  <si>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</si>
  <si>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</si>
  <si>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Apport 01/04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</si>
  <si>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</si>
  <si>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</si>
  <si>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</si>
  <si>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</si>
  <si>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</si>
  <si>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</si>
  <si>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</si>
  <si>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</si>
  <si>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</si>
  <si>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</si>
  <si>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</si>
  <si>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</si>
  <si>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</si>
  <si>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</si>
  <si>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</si>
  <si>
    <t>Grains</t>
  </si>
  <si>
    <t>Ped_exp</t>
  </si>
  <si>
    <t>Ped_enc</t>
  </si>
  <si>
    <t>Roots = 15% DM Shoot</t>
  </si>
  <si>
    <t xml:space="preserve"> =&gt; FAUX</t>
  </si>
  <si>
    <t>mean_conc_sucrose</t>
  </si>
  <si>
    <t>nitrates (µmol N.m-3)</t>
  </si>
  <si>
    <t>g.m-3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</si>
</sst>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102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3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9" fillId="0" borderId="0" xfId="0" applyFont="1"/>
    <xf numFmtId="11" fontId="9" fillId="0" borderId="0" xfId="0" applyNumberFormat="1" applyFont="1"/>
    <xf numFmtId="0" fontId="2" fillId="0" borderId="5" xfId="0" applyFont="1" applyBorder="1"/>
    <xf numFmtId="0" fontId="10" fillId="0" borderId="0" xfId="0" applyFont="1"/>
    <xf numFmtId="2" fontId="0" fillId="0" borderId="0" xfId="0" applyNumberFormat="1"/>
    <xf numFmtId="0" fontId="11" fillId="0" borderId="0" xfId="0" applyFont="1"/>
    <xf numFmtId="0" fontId="12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4" fillId="0" borderId="0" xfId="0" applyFont="1"/>
    <xf numFmtId="11" fontId="14" fillId="0" borderId="0" xfId="0" applyNumberFormat="1" applyFont="1"/>
    <xf numFmtId="0" fontId="15" fillId="0" borderId="0" xfId="0" applyFont="1"/>
    <xf numFmtId="11" fontId="15" fillId="0" borderId="0" xfId="0" applyNumberFormat="1" applyFont="1"/>
    <xf numFmtId="9" fontId="14" fillId="0" borderId="0" xfId="1" applyFont="1"/>
    <xf numFmtId="0" fontId="14" fillId="0" borderId="2" xfId="0" applyFont="1" applyBorder="1"/>
    <xf numFmtId="0" fontId="1" fillId="0" borderId="0" xfId="0" applyFont="1"/>
    <xf numFmtId="0" fontId="17" fillId="0" borderId="1" xfId="0" applyFont="1" applyBorder="1"/>
    <xf numFmtId="0" fontId="18" fillId="0" borderId="0" xfId="0" applyFont="1"/>
    <xf numFmtId="11" fontId="18" fillId="0" borderId="0" xfId="0" applyNumberFormat="1" applyFont="1"/>
    <xf numFmtId="0" fontId="14" fillId="0" borderId="0" xfId="0" applyFont="1" applyBorder="1"/>
    <xf numFmtId="0" fontId="15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5" fillId="0" borderId="0" xfId="1" applyFont="1"/>
    <xf numFmtId="1" fontId="15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3" fillId="0" borderId="14" xfId="0" applyFont="1" applyBorder="1"/>
    <xf numFmtId="0" fontId="16" fillId="0" borderId="15" xfId="0" applyFont="1" applyBorder="1"/>
    <xf numFmtId="0" fontId="0" fillId="0" borderId="16" xfId="0" applyBorder="1"/>
    <xf numFmtId="0" fontId="14" fillId="0" borderId="17" xfId="0" applyFont="1" applyBorder="1"/>
    <xf numFmtId="0" fontId="16" fillId="0" borderId="18" xfId="0" applyFont="1" applyBorder="1"/>
    <xf numFmtId="0" fontId="0" fillId="0" borderId="19" xfId="0" applyBorder="1"/>
    <xf numFmtId="0" fontId="21" fillId="0" borderId="2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14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4" fillId="0" borderId="4" xfId="0" applyNumberFormat="1" applyFont="1" applyBorder="1"/>
    <xf numFmtId="2" fontId="14" fillId="0" borderId="0" xfId="0" applyNumberFormat="1" applyFont="1"/>
    <xf numFmtId="0" fontId="15" fillId="0" borderId="2" xfId="0" applyFont="1" applyBorder="1"/>
    <xf numFmtId="165" fontId="15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3" fillId="0" borderId="6" xfId="0" applyFont="1" applyBorder="1"/>
    <xf numFmtId="0" fontId="14" fillId="0" borderId="7" xfId="0" applyFont="1" applyBorder="1"/>
    <xf numFmtId="0" fontId="0" fillId="0" borderId="20" xfId="0" applyBorder="1"/>
    <xf numFmtId="0" fontId="1" fillId="0" borderId="8" xfId="0" applyFont="1" applyBorder="1"/>
    <xf numFmtId="1" fontId="15" fillId="0" borderId="0" xfId="0" applyNumberFormat="1" applyFont="1" applyBorder="1" applyAlignment="1">
      <alignment horizontal="center"/>
    </xf>
    <xf numFmtId="166" fontId="15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11" fontId="3" fillId="0" borderId="6" xfId="0" applyNumberFormat="1" applyFont="1" applyBorder="1"/>
    <xf numFmtId="1" fontId="15" fillId="0" borderId="3" xfId="0" applyNumberFormat="1" applyFont="1" applyBorder="1"/>
    <xf numFmtId="1" fontId="15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4" fontId="0" fillId="0" borderId="0" xfId="0" applyNumberFormat="1"/>
    <xf numFmtId="0" fontId="4" fillId="0" borderId="0" xfId="0" applyFont="1" applyAlignment="1">
      <alignment horizontal="center" vertical="center"/>
    </xf>
    <xf numFmtId="166" fontId="15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0" fillId="0" borderId="0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center"/>
    </xf>
    <xf numFmtId="0" fontId="22" fillId="0" borderId="0" xfId="0" applyFont="1" applyAlignment="1">
      <alignment horizontal="center"/>
    </xf>
    <xf numFmtId="11" fontId="22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9" xfId="0" applyFont="1" applyBorder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C44"/>
  <sheetViews>
    <sheetView topLeftCell="AI1" workbookViewId="0">
      <selection activeCell="AO1" sqref="AO1:AO1048576"/>
    </sheetView>
  </sheetViews>
  <sheetFormatPr baseColWidth="10" defaultRowHeight="15" x14ac:dyDescent="0.25"/>
  <cols>
    <col min="5" max="5" width="16.5703125" bestFit="1" customWidth="1"/>
    <col min="6" max="6" width="12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5" max="45" width="12" bestFit="1" customWidth="1"/>
    <col min="46" max="47" width="12" customWidth="1"/>
  </cols>
  <sheetData>
    <row r="1" spans="1:55" x14ac:dyDescent="0.25">
      <c r="A1" s="49" t="s">
        <v>112</v>
      </c>
      <c r="B1" s="50" t="s">
        <v>113</v>
      </c>
      <c r="C1" s="51"/>
      <c r="E1" s="55" t="s">
        <v>138</v>
      </c>
      <c r="W1" s="92" t="s">
        <v>170</v>
      </c>
      <c r="X1" s="93" t="s">
        <v>171</v>
      </c>
    </row>
    <row r="2" spans="1:55" s="29" customFormat="1" ht="15.75" thickBot="1" x14ac:dyDescent="0.3">
      <c r="A2" s="52" t="s">
        <v>112</v>
      </c>
      <c r="B2" s="53" t="s">
        <v>114</v>
      </c>
      <c r="C2" s="54"/>
      <c r="E2" s="56">
        <f xml:space="preserve"> 76.1/12*24*3600</f>
        <v>547920</v>
      </c>
      <c r="W2" s="94">
        <v>9.9999999999999995E-7</v>
      </c>
      <c r="X2" s="94">
        <v>9.9999999999999995E-7</v>
      </c>
    </row>
    <row r="4" spans="1:55" s="2" customFormat="1" ht="15" customHeight="1" x14ac:dyDescent="0.25">
      <c r="A4" s="98" t="s">
        <v>70</v>
      </c>
      <c r="B4" s="5" t="s">
        <v>0</v>
      </c>
      <c r="C4" s="5" t="s">
        <v>1</v>
      </c>
      <c r="D4" s="5" t="s">
        <v>2</v>
      </c>
      <c r="E4" s="5" t="s">
        <v>124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7" t="s">
        <v>8</v>
      </c>
      <c r="L4" s="37" t="s">
        <v>9</v>
      </c>
      <c r="M4" s="37" t="s">
        <v>10</v>
      </c>
      <c r="N4" s="5" t="s">
        <v>90</v>
      </c>
      <c r="O4" s="5" t="s">
        <v>91</v>
      </c>
      <c r="P4" s="5" t="s">
        <v>86</v>
      </c>
      <c r="Q4" s="5" t="s">
        <v>87</v>
      </c>
      <c r="R4" s="5" t="s">
        <v>88</v>
      </c>
      <c r="S4" s="5" t="s">
        <v>89</v>
      </c>
      <c r="T4" s="5" t="s">
        <v>11</v>
      </c>
      <c r="U4" s="5" t="s">
        <v>12</v>
      </c>
      <c r="V4" s="5" t="s">
        <v>13</v>
      </c>
      <c r="W4" s="5" t="s">
        <v>169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96" t="s">
        <v>177</v>
      </c>
      <c r="AP4" s="12" t="s">
        <v>77</v>
      </c>
      <c r="AQ4" s="12" t="s">
        <v>125</v>
      </c>
      <c r="AR4" s="12" t="s">
        <v>107</v>
      </c>
      <c r="AS4" s="12" t="s">
        <v>22</v>
      </c>
      <c r="AT4" s="12" t="s">
        <v>24</v>
      </c>
      <c r="AU4" s="12" t="s">
        <v>159</v>
      </c>
      <c r="AV4" s="85" t="s">
        <v>160</v>
      </c>
      <c r="AW4" s="6" t="s">
        <v>63</v>
      </c>
      <c r="AX4" s="6" t="s">
        <v>53</v>
      </c>
      <c r="AY4" s="6" t="s">
        <v>54</v>
      </c>
      <c r="AZ4" s="6" t="s">
        <v>55</v>
      </c>
      <c r="BA4" s="6" t="s">
        <v>56</v>
      </c>
      <c r="BB4" s="6"/>
      <c r="BC4" s="6" t="s">
        <v>61</v>
      </c>
    </row>
    <row r="5" spans="1:55" x14ac:dyDescent="0.25">
      <c r="A5" s="98"/>
      <c r="B5">
        <v>1</v>
      </c>
      <c r="C5" t="s">
        <v>30</v>
      </c>
      <c r="D5">
        <v>3</v>
      </c>
      <c r="E5">
        <f>(10-D5)*$E$2</f>
        <v>3835440</v>
      </c>
      <c r="F5">
        <v>1570000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38">
        <f>J5-M5</f>
        <v>2.8899999999999999E-2</v>
      </c>
      <c r="L5" s="38">
        <v>9.2499999999999999E-2</v>
      </c>
      <c r="M5" s="3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AK5*$AQ$15</f>
        <v>8.9088436646547198</v>
      </c>
      <c r="AF5" s="1">
        <f t="shared" ref="AF5:AF12" si="1">AK5*$AS5</f>
        <v>0.99652622317307915</v>
      </c>
      <c r="AG5" s="24">
        <f t="shared" ref="AG5:AG12" si="2">AK5*$AV5</f>
        <v>8.9088436646547198</v>
      </c>
      <c r="AH5" s="28">
        <f t="shared" ref="AH5:AH12" si="3">AK5*$AT5</f>
        <v>9.9652622317307902</v>
      </c>
      <c r="AI5" s="1">
        <f>AZ5</f>
        <v>2.0180134110471437E-3</v>
      </c>
      <c r="AJ5" s="1">
        <f>BC5</f>
        <v>1.3244862745926676E-6</v>
      </c>
      <c r="AK5" s="1">
        <f>AI5+AJ5</f>
        <v>2.0193378973217364E-3</v>
      </c>
      <c r="AL5" s="1">
        <f>AI5*0.005</f>
        <v>1.0090067055235718E-5</v>
      </c>
      <c r="AM5">
        <f>AJ5*0.005</f>
        <v>6.6224313729633385E-9</v>
      </c>
      <c r="AN5">
        <f>AL5+AM5</f>
        <v>1.0096689486608681E-5</v>
      </c>
      <c r="AO5" s="1">
        <v>1800</v>
      </c>
      <c r="AP5" s="58">
        <f t="shared" ref="AP5:AP12" si="4">AK5+AE5*$E$31+AF5*$F$31+AH5*$J$31</f>
        <v>3.3011513455652687E-3</v>
      </c>
      <c r="AQ5" s="59">
        <f t="shared" ref="AQ5:AQ12" si="5">(1-AK5/AP5)*100</f>
        <v>38.829284515098252</v>
      </c>
      <c r="AR5" s="13">
        <v>4.5999999999999996</v>
      </c>
      <c r="AS5" s="13">
        <f t="shared" ref="AS5:AS12" si="6">(($AR5/100)*(1+($AQ$15+$AV5)*$E$31)-$Y$16)/(((1+1/$X$23)*(14*10^(-6)))-(($J$31/$X$23+$F$31)*$AR5/100))</f>
        <v>493.49156696102204</v>
      </c>
      <c r="AT5" s="13">
        <f t="shared" ref="AT5:AT12" si="7">$AS5/$X$23</f>
        <v>4934.91566961022</v>
      </c>
      <c r="AU5" s="13">
        <v>10</v>
      </c>
      <c r="AV5" s="71">
        <f t="shared" ref="AV5:AV12" si="8">$AU5/100/(1-$X$33)*$X$32*10^6/$X$30</f>
        <v>4411.7647058823532</v>
      </c>
      <c r="AW5" s="7">
        <v>851425</v>
      </c>
      <c r="AX5" s="8">
        <f>$T$27+$T$28*$T$30*(J5)^$T$29</f>
        <v>9.1058115591388438E-4</v>
      </c>
      <c r="AY5" s="7">
        <f t="shared" ref="AY5:AY12" si="9">J5*Z5</f>
        <v>2.6054999999999997E-3</v>
      </c>
      <c r="AZ5" s="8">
        <f>((AY5-AX5)/($T$31-AW5))*(F5-$T$31)+AY5</f>
        <v>2.0180134110471437E-3</v>
      </c>
      <c r="BA5" s="8">
        <f t="shared" ref="BA5:BA12" si="10">$T$27+$T$28*$T$30*(L5)^$T$29</f>
        <v>4.0277279389003447E-3</v>
      </c>
      <c r="BB5" s="7"/>
      <c r="BC5" s="7">
        <f t="shared" ref="BC5:BC12" si="11">$AX$20*$AW$22*$AW$24*(M5)^$AW$21</f>
        <v>1.3244862745926676E-6</v>
      </c>
    </row>
    <row r="6" spans="1:55" x14ac:dyDescent="0.25">
      <c r="A6" s="98"/>
      <c r="B6">
        <v>1</v>
      </c>
      <c r="C6" t="s">
        <v>30</v>
      </c>
      <c r="D6">
        <v>4</v>
      </c>
      <c r="E6">
        <f t="shared" ref="E6:E11" si="12">(10-D6)*$E$2</f>
        <v>3287520</v>
      </c>
      <c r="F6">
        <v>757000</v>
      </c>
      <c r="G6">
        <v>0</v>
      </c>
      <c r="H6" t="s">
        <v>31</v>
      </c>
      <c r="I6" t="s">
        <v>31</v>
      </c>
      <c r="J6">
        <f>J5-M6</f>
        <v>2.894E-2</v>
      </c>
      <c r="K6" s="38">
        <f t="shared" ref="K6:K12" si="13">J6-M6</f>
        <v>2.8930000000000001E-2</v>
      </c>
      <c r="L6" s="38">
        <v>2.6499999999999999E-2</v>
      </c>
      <c r="M6" s="3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4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3.5881220853167113</v>
      </c>
      <c r="AF6" s="1">
        <f t="shared" si="1"/>
        <v>0.67583627559825854</v>
      </c>
      <c r="AG6" s="24">
        <f t="shared" si="2"/>
        <v>1.7940610426583556</v>
      </c>
      <c r="AH6" s="28">
        <f t="shared" si="3"/>
        <v>6.7583627559825858</v>
      </c>
      <c r="AI6" s="1">
        <f>BA6</f>
        <v>8.1313887523147316E-4</v>
      </c>
      <c r="AJ6" s="1">
        <f>BC6</f>
        <v>1.6879744031468265E-7</v>
      </c>
      <c r="AK6">
        <f t="shared" ref="AK6:AK12" si="15">AI6+AJ6</f>
        <v>8.1330767267178783E-4</v>
      </c>
      <c r="AL6">
        <f t="shared" ref="AL6:AM12" si="16">AI6*0.005</f>
        <v>4.0656943761573658E-6</v>
      </c>
      <c r="AM6">
        <f t="shared" si="16"/>
        <v>8.4398720157341326E-10</v>
      </c>
      <c r="AN6">
        <f t="shared" ref="AN6:AN12" si="17">AL6+AM6</f>
        <v>4.066538363358939E-6</v>
      </c>
      <c r="AO6" s="1">
        <v>1800</v>
      </c>
      <c r="AP6" s="58">
        <f t="shared" si="4"/>
        <v>1.612515340843685E-3</v>
      </c>
      <c r="AQ6" s="59">
        <f t="shared" si="5"/>
        <v>49.562794717583479</v>
      </c>
      <c r="AR6" s="13">
        <v>6.5</v>
      </c>
      <c r="AS6" s="13">
        <f t="shared" si="6"/>
        <v>830.97245766546928</v>
      </c>
      <c r="AT6" s="13">
        <f t="shared" si="7"/>
        <v>8309.724576654693</v>
      </c>
      <c r="AU6" s="13">
        <v>5</v>
      </c>
      <c r="AV6" s="71">
        <f t="shared" si="8"/>
        <v>2205.8823529411766</v>
      </c>
      <c r="AW6" s="7">
        <v>818263</v>
      </c>
      <c r="AX6" s="8">
        <f>$T$27+$T$28*$T$30*(J6)^$T$29</f>
        <v>9.1017858127080242E-4</v>
      </c>
      <c r="AY6" s="7" t="e">
        <f t="shared" si="9"/>
        <v>#VALUE!</v>
      </c>
      <c r="AZ6" s="8" t="e">
        <f>((AY6-AX6)/($T$31-AW6))*(F6-$T$31)+AY6</f>
        <v>#VALUE!</v>
      </c>
      <c r="BA6" s="8">
        <f t="shared" si="10"/>
        <v>8.1313887523147316E-4</v>
      </c>
      <c r="BB6" s="7"/>
      <c r="BC6" s="7">
        <f t="shared" si="11"/>
        <v>1.6879744031468265E-7</v>
      </c>
    </row>
    <row r="7" spans="1:55" x14ac:dyDescent="0.25">
      <c r="A7" s="98"/>
      <c r="B7">
        <v>1</v>
      </c>
      <c r="C7" t="s">
        <v>30</v>
      </c>
      <c r="D7">
        <v>5</v>
      </c>
      <c r="E7">
        <f t="shared" si="12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38">
        <f t="shared" si="13"/>
        <v>2.894E-2</v>
      </c>
      <c r="L7" s="38">
        <v>2E-3</v>
      </c>
      <c r="M7" s="3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4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4">
        <f t="shared" si="2"/>
        <v>0</v>
      </c>
      <c r="AH7" s="28">
        <f t="shared" si="3"/>
        <v>0.54184269937105289</v>
      </c>
      <c r="AI7" s="1">
        <f>BA7</f>
        <v>2.9792072957780891E-5</v>
      </c>
      <c r="AJ7" s="1">
        <v>0</v>
      </c>
      <c r="AK7">
        <f t="shared" si="15"/>
        <v>2.9792072957780891E-5</v>
      </c>
      <c r="AL7">
        <f t="shared" si="16"/>
        <v>1.4896036478890447E-7</v>
      </c>
      <c r="AM7">
        <f t="shared" si="16"/>
        <v>0</v>
      </c>
      <c r="AN7">
        <f t="shared" si="17"/>
        <v>1.4896036478890447E-7</v>
      </c>
      <c r="AO7" s="1">
        <v>1800</v>
      </c>
      <c r="AP7" s="58">
        <f t="shared" si="4"/>
        <v>8.9403557211611783E-5</v>
      </c>
      <c r="AQ7" s="59">
        <f t="shared" si="5"/>
        <v>66.676859526668281</v>
      </c>
      <c r="AR7" s="13">
        <v>9.5</v>
      </c>
      <c r="AS7" s="13">
        <f t="shared" si="6"/>
        <v>1818.7478935719314</v>
      </c>
      <c r="AT7" s="13">
        <f t="shared" si="7"/>
        <v>18187.478935719311</v>
      </c>
      <c r="AU7" s="13">
        <v>0</v>
      </c>
      <c r="AV7" s="71">
        <f t="shared" si="8"/>
        <v>0</v>
      </c>
      <c r="AW7" s="7"/>
      <c r="AX7" s="8" t="e">
        <f t="shared" ref="AX7:AX12" si="18">$T$27+$T$28*$T$30*(T7*$T$32)^$T$29</f>
        <v>#VALUE!</v>
      </c>
      <c r="AY7" s="7" t="e">
        <f t="shared" si="9"/>
        <v>#VALUE!</v>
      </c>
      <c r="AZ7" s="8" t="e">
        <f t="shared" ref="AZ7:AZ12" si="19">AX7+((AY7-AX7)/$T$31)*F7</f>
        <v>#VALUE!</v>
      </c>
      <c r="BA7" s="8">
        <f t="shared" si="10"/>
        <v>2.9792072957780891E-5</v>
      </c>
      <c r="BB7" s="7"/>
      <c r="BC7" s="7">
        <f t="shared" si="11"/>
        <v>0</v>
      </c>
    </row>
    <row r="8" spans="1:55" x14ac:dyDescent="0.25">
      <c r="A8" s="98"/>
      <c r="B8">
        <v>1</v>
      </c>
      <c r="C8" t="s">
        <v>30</v>
      </c>
      <c r="D8">
        <v>6</v>
      </c>
      <c r="E8">
        <f t="shared" si="12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38">
        <f t="shared" si="13"/>
        <v>2.894E-2</v>
      </c>
      <c r="L8" s="38">
        <v>7.2000000000000005E-4</v>
      </c>
      <c r="M8" s="3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4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4">
        <f t="shared" si="2"/>
        <v>0</v>
      </c>
      <c r="AH8" s="28">
        <f t="shared" si="3"/>
        <v>0.14688630816538931</v>
      </c>
      <c r="AI8" s="1">
        <f t="shared" ref="AI8:AI12" si="21">BA8</f>
        <v>8.076232483046996E-6</v>
      </c>
      <c r="AJ8" s="1">
        <v>0</v>
      </c>
      <c r="AK8">
        <f t="shared" si="15"/>
        <v>8.076232483046996E-6</v>
      </c>
      <c r="AL8">
        <f t="shared" si="16"/>
        <v>4.0381162415234981E-8</v>
      </c>
      <c r="AM8">
        <f t="shared" si="16"/>
        <v>0</v>
      </c>
      <c r="AN8">
        <f t="shared" si="17"/>
        <v>4.0381162415234981E-8</v>
      </c>
      <c r="AO8" t="s">
        <v>32</v>
      </c>
      <c r="AP8" s="58">
        <f t="shared" si="4"/>
        <v>2.4236108506970847E-5</v>
      </c>
      <c r="AQ8" s="59">
        <f t="shared" si="5"/>
        <v>66.676859526668281</v>
      </c>
      <c r="AR8" s="13">
        <v>9.5</v>
      </c>
      <c r="AS8" s="13">
        <f t="shared" si="6"/>
        <v>1818.7478935719314</v>
      </c>
      <c r="AT8" s="13">
        <f t="shared" si="7"/>
        <v>18187.478935719311</v>
      </c>
      <c r="AU8" s="13">
        <v>0</v>
      </c>
      <c r="AV8" s="71">
        <f t="shared" si="8"/>
        <v>0</v>
      </c>
      <c r="AW8" s="7"/>
      <c r="AX8" s="8" t="e">
        <f t="shared" si="18"/>
        <v>#VALUE!</v>
      </c>
      <c r="AY8" s="7" t="e">
        <f t="shared" si="9"/>
        <v>#VALUE!</v>
      </c>
      <c r="AZ8" s="8" t="e">
        <f t="shared" si="19"/>
        <v>#VALUE!</v>
      </c>
      <c r="BA8" s="8">
        <f t="shared" si="10"/>
        <v>8.076232483046996E-6</v>
      </c>
      <c r="BB8" s="7"/>
      <c r="BC8" s="7">
        <f t="shared" si="11"/>
        <v>0</v>
      </c>
    </row>
    <row r="9" spans="1:55" x14ac:dyDescent="0.25">
      <c r="A9" s="98"/>
      <c r="B9">
        <v>1</v>
      </c>
      <c r="C9" t="s">
        <v>30</v>
      </c>
      <c r="D9">
        <v>7</v>
      </c>
      <c r="E9">
        <f t="shared" si="12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38">
        <f t="shared" si="13"/>
        <v>2.894E-2</v>
      </c>
      <c r="L9" s="38">
        <v>3.1E-4</v>
      </c>
      <c r="M9" s="3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4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4">
        <f t="shared" si="2"/>
        <v>0</v>
      </c>
      <c r="AH9" s="28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5"/>
        <v>2.7639035136305163E-6</v>
      </c>
      <c r="AL9">
        <f t="shared" si="16"/>
        <v>1.3819517568152583E-8</v>
      </c>
      <c r="AM9">
        <f t="shared" si="16"/>
        <v>0</v>
      </c>
      <c r="AN9">
        <f t="shared" si="17"/>
        <v>1.3819517568152583E-8</v>
      </c>
      <c r="AO9" t="s">
        <v>32</v>
      </c>
      <c r="AP9" s="58">
        <f t="shared" si="4"/>
        <v>8.294246803786242E-6</v>
      </c>
      <c r="AQ9" s="59">
        <f t="shared" si="5"/>
        <v>66.676859526668281</v>
      </c>
      <c r="AR9" s="13">
        <v>9.5</v>
      </c>
      <c r="AS9" s="13">
        <f t="shared" si="6"/>
        <v>1818.7478935719314</v>
      </c>
      <c r="AT9" s="13">
        <f t="shared" si="7"/>
        <v>18187.478935719311</v>
      </c>
      <c r="AU9" s="13">
        <v>0</v>
      </c>
      <c r="AV9" s="71">
        <f t="shared" si="8"/>
        <v>0</v>
      </c>
      <c r="AW9" s="7"/>
      <c r="AX9" s="8" t="e">
        <f t="shared" si="18"/>
        <v>#VALUE!</v>
      </c>
      <c r="AY9" s="7" t="e">
        <f t="shared" si="9"/>
        <v>#VALUE!</v>
      </c>
      <c r="AZ9" s="8" t="e">
        <f t="shared" si="19"/>
        <v>#VALUE!</v>
      </c>
      <c r="BA9" s="8">
        <f t="shared" si="10"/>
        <v>2.7639035136305163E-6</v>
      </c>
      <c r="BB9" s="7"/>
      <c r="BC9" s="7">
        <f t="shared" si="11"/>
        <v>0</v>
      </c>
    </row>
    <row r="10" spans="1:55" x14ac:dyDescent="0.25">
      <c r="A10" s="98"/>
      <c r="B10">
        <v>1</v>
      </c>
      <c r="C10" t="s">
        <v>30</v>
      </c>
      <c r="D10">
        <v>8</v>
      </c>
      <c r="E10">
        <f t="shared" si="12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38">
        <f t="shared" si="13"/>
        <v>2.894E-2</v>
      </c>
      <c r="L10" s="38">
        <v>1.6000000000000001E-4</v>
      </c>
      <c r="M10" s="3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4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4">
        <f t="shared" si="2"/>
        <v>0</v>
      </c>
      <c r="AH10" s="28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5"/>
        <v>1.2005036038088161E-6</v>
      </c>
      <c r="AL10">
        <f t="shared" si="16"/>
        <v>6.0025180190440811E-9</v>
      </c>
      <c r="AM10">
        <f t="shared" si="16"/>
        <v>0</v>
      </c>
      <c r="AN10">
        <f t="shared" si="17"/>
        <v>6.0025180190440811E-9</v>
      </c>
      <c r="AO10" t="s">
        <v>32</v>
      </c>
      <c r="AP10" s="58">
        <f t="shared" si="4"/>
        <v>3.6026124391534188E-6</v>
      </c>
      <c r="AQ10" s="59">
        <f t="shared" si="5"/>
        <v>66.676859526668281</v>
      </c>
      <c r="AR10" s="13">
        <v>9.5</v>
      </c>
      <c r="AS10" s="13">
        <f t="shared" si="6"/>
        <v>1818.7478935719314</v>
      </c>
      <c r="AT10" s="13">
        <f t="shared" si="7"/>
        <v>18187.478935719311</v>
      </c>
      <c r="AU10" s="13">
        <v>0</v>
      </c>
      <c r="AV10" s="71">
        <f t="shared" si="8"/>
        <v>0</v>
      </c>
      <c r="AW10" s="7"/>
      <c r="AX10" s="8" t="e">
        <f t="shared" si="18"/>
        <v>#VALUE!</v>
      </c>
      <c r="AY10" s="7" t="e">
        <f t="shared" si="9"/>
        <v>#VALUE!</v>
      </c>
      <c r="AZ10" s="8" t="e">
        <f t="shared" si="19"/>
        <v>#VALUE!</v>
      </c>
      <c r="BA10" s="8">
        <f t="shared" si="10"/>
        <v>1.2005036038088161E-6</v>
      </c>
      <c r="BB10" s="7"/>
      <c r="BC10" s="7">
        <f t="shared" si="11"/>
        <v>0</v>
      </c>
    </row>
    <row r="11" spans="1:55" x14ac:dyDescent="0.25">
      <c r="A11" s="98"/>
      <c r="B11">
        <v>1</v>
      </c>
      <c r="C11" t="s">
        <v>30</v>
      </c>
      <c r="D11">
        <v>9</v>
      </c>
      <c r="E11">
        <f t="shared" si="12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38">
        <f t="shared" si="13"/>
        <v>2.894E-2</v>
      </c>
      <c r="L11" s="39">
        <v>6.9999999999999994E-5</v>
      </c>
      <c r="M11" s="3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4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4">
        <f t="shared" si="2"/>
        <v>0</v>
      </c>
      <c r="AH11" s="28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5"/>
        <v>4.3399411725433714E-7</v>
      </c>
      <c r="AL11">
        <f t="shared" si="16"/>
        <v>2.1699705862716857E-9</v>
      </c>
      <c r="AM11">
        <f t="shared" si="16"/>
        <v>0</v>
      </c>
      <c r="AN11">
        <f t="shared" si="17"/>
        <v>2.1699705862716857E-9</v>
      </c>
      <c r="AO11" t="s">
        <v>32</v>
      </c>
      <c r="AP11" s="58">
        <f t="shared" si="4"/>
        <v>1.3023806012571343E-6</v>
      </c>
      <c r="AQ11" s="59">
        <f t="shared" si="5"/>
        <v>66.676859526668281</v>
      </c>
      <c r="AR11" s="13">
        <v>9.5</v>
      </c>
      <c r="AS11" s="13">
        <f t="shared" si="6"/>
        <v>1818.7478935719314</v>
      </c>
      <c r="AT11" s="13">
        <f t="shared" si="7"/>
        <v>18187.478935719311</v>
      </c>
      <c r="AU11" s="13">
        <v>0</v>
      </c>
      <c r="AV11" s="71">
        <f t="shared" si="8"/>
        <v>0</v>
      </c>
      <c r="AW11" s="7"/>
      <c r="AX11" s="8" t="e">
        <f t="shared" si="18"/>
        <v>#VALUE!</v>
      </c>
      <c r="AY11" s="7" t="e">
        <f t="shared" si="9"/>
        <v>#VALUE!</v>
      </c>
      <c r="AZ11" s="8" t="e">
        <f t="shared" si="19"/>
        <v>#VALUE!</v>
      </c>
      <c r="BA11" s="8">
        <f t="shared" si="10"/>
        <v>4.3399411725433714E-7</v>
      </c>
      <c r="BB11" s="7"/>
      <c r="BC11" s="7">
        <f t="shared" si="11"/>
        <v>0</v>
      </c>
    </row>
    <row r="12" spans="1:55" x14ac:dyDescent="0.25">
      <c r="A12" s="98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38">
        <f t="shared" si="13"/>
        <v>2.894E-2</v>
      </c>
      <c r="L12" s="39">
        <v>5.0000000000000002E-5</v>
      </c>
      <c r="M12" s="3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4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4">
        <f t="shared" si="2"/>
        <v>0</v>
      </c>
      <c r="AH12" s="28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5"/>
        <v>2.9139725491853351E-7</v>
      </c>
      <c r="AL12">
        <f t="shared" si="16"/>
        <v>1.4569862745926675E-9</v>
      </c>
      <c r="AM12">
        <f t="shared" si="16"/>
        <v>0</v>
      </c>
      <c r="AN12">
        <f t="shared" si="17"/>
        <v>1.4569862745926675E-9</v>
      </c>
      <c r="AO12" t="s">
        <v>32</v>
      </c>
      <c r="AP12" s="61">
        <f t="shared" si="4"/>
        <v>8.7445916195004701E-7</v>
      </c>
      <c r="AQ12" s="60">
        <f t="shared" si="5"/>
        <v>66.676859526668281</v>
      </c>
      <c r="AR12" s="14">
        <v>9.5</v>
      </c>
      <c r="AS12" s="13">
        <f t="shared" si="6"/>
        <v>1818.7478935719314</v>
      </c>
      <c r="AT12" s="14">
        <f t="shared" si="7"/>
        <v>18187.478935719311</v>
      </c>
      <c r="AU12" s="14">
        <v>0</v>
      </c>
      <c r="AV12" s="71">
        <f t="shared" si="8"/>
        <v>0</v>
      </c>
      <c r="AW12" s="7"/>
      <c r="AX12" s="8" t="e">
        <f t="shared" si="18"/>
        <v>#VALUE!</v>
      </c>
      <c r="AY12" s="7" t="e">
        <f t="shared" si="9"/>
        <v>#VALUE!</v>
      </c>
      <c r="AZ12" s="8" t="e">
        <f t="shared" si="19"/>
        <v>#VALUE!</v>
      </c>
      <c r="BA12" s="8">
        <f t="shared" si="10"/>
        <v>2.9139725491853351E-7</v>
      </c>
      <c r="BB12" s="7"/>
      <c r="BC12" s="7">
        <f t="shared" si="11"/>
        <v>0</v>
      </c>
    </row>
    <row r="13" spans="1:55" x14ac:dyDescent="0.25">
      <c r="A13" s="4"/>
      <c r="X13" s="1"/>
      <c r="Y13" s="1"/>
      <c r="Z13" s="1"/>
      <c r="AA13" s="1"/>
      <c r="AB13" s="1"/>
      <c r="AC13" s="1"/>
      <c r="AD13" s="1"/>
      <c r="AE13" s="1"/>
      <c r="AF13" s="1"/>
    </row>
    <row r="14" spans="1:55" s="2" customFormat="1" x14ac:dyDescent="0.25">
      <c r="A14" s="98" t="s">
        <v>71</v>
      </c>
      <c r="B14" s="5" t="s">
        <v>0</v>
      </c>
      <c r="C14" s="5" t="s">
        <v>1</v>
      </c>
      <c r="D14" s="5" t="s">
        <v>2</v>
      </c>
      <c r="E14" s="5" t="s">
        <v>34</v>
      </c>
      <c r="F14" s="37" t="s">
        <v>35</v>
      </c>
      <c r="G14" s="37" t="s">
        <v>137</v>
      </c>
      <c r="H14" s="37" t="s">
        <v>36</v>
      </c>
      <c r="I14" s="37" t="s">
        <v>37</v>
      </c>
      <c r="J14" s="5" t="s">
        <v>27</v>
      </c>
      <c r="K14" s="5" t="s">
        <v>43</v>
      </c>
      <c r="L14" s="5" t="s">
        <v>22</v>
      </c>
      <c r="M14" s="5" t="s">
        <v>24</v>
      </c>
      <c r="N14" s="5" t="s">
        <v>23</v>
      </c>
      <c r="O14" s="5" t="s">
        <v>21</v>
      </c>
      <c r="P14" s="5" t="s">
        <v>44</v>
      </c>
      <c r="Q14" s="5" t="s">
        <v>45</v>
      </c>
      <c r="R14" s="5" t="s">
        <v>85</v>
      </c>
      <c r="S14" s="5" t="s">
        <v>66</v>
      </c>
      <c r="T14" s="5" t="s">
        <v>64</v>
      </c>
      <c r="U14" s="12" t="s">
        <v>62</v>
      </c>
      <c r="V14" s="12" t="s">
        <v>107</v>
      </c>
      <c r="W14" s="12" t="s">
        <v>22</v>
      </c>
      <c r="X14" s="12" t="s">
        <v>24</v>
      </c>
      <c r="AA14" s="12" t="s">
        <v>23</v>
      </c>
      <c r="AB14" s="3"/>
      <c r="AC14" s="12" t="s">
        <v>45</v>
      </c>
      <c r="AD14" s="12" t="s">
        <v>77</v>
      </c>
      <c r="AE14" s="12" t="s">
        <v>125</v>
      </c>
      <c r="AF14" s="3"/>
      <c r="AG14" s="3"/>
      <c r="AP14" s="22"/>
      <c r="AQ14" s="67" t="s">
        <v>21</v>
      </c>
      <c r="AR14" s="67" t="s">
        <v>135</v>
      </c>
      <c r="AS14" s="68" t="s">
        <v>115</v>
      </c>
      <c r="AT14" s="40"/>
      <c r="AU14" s="40"/>
    </row>
    <row r="15" spans="1:55" x14ac:dyDescent="0.25">
      <c r="A15" s="98"/>
      <c r="B15">
        <v>1</v>
      </c>
      <c r="C15" t="s">
        <v>30</v>
      </c>
      <c r="D15">
        <v>1</v>
      </c>
      <c r="E15" t="s">
        <v>38</v>
      </c>
      <c r="F15" s="38" t="s">
        <v>39</v>
      </c>
      <c r="G15" s="38">
        <f>G16</f>
        <v>240</v>
      </c>
      <c r="H15" s="38">
        <v>8.2000000000000003E-2</v>
      </c>
      <c r="I15" s="38" t="s">
        <v>33</v>
      </c>
      <c r="J15">
        <f>P15*$U$15</f>
        <v>4.1019300000000002E-3</v>
      </c>
      <c r="K15">
        <f>J15*0.005</f>
        <v>2.0509650000000001E-5</v>
      </c>
      <c r="L15">
        <f>J15*$W15</f>
        <v>1.6239747221660625</v>
      </c>
      <c r="M15">
        <f t="shared" ref="M15:M20" si="22">J15*$X15</f>
        <v>16.239747221660625</v>
      </c>
      <c r="N15">
        <f t="shared" ref="N15:N20" si="23">AA15*$J15</f>
        <v>0</v>
      </c>
      <c r="O15" s="1">
        <f t="shared" ref="O15:O20" si="24">J15*$AB$16</f>
        <v>18.09675</v>
      </c>
      <c r="P15">
        <v>1.9532999999999999E-4</v>
      </c>
      <c r="Q15" s="1">
        <f>J15*$AC15</f>
        <v>0.23381001000000001</v>
      </c>
      <c r="R15">
        <v>4250</v>
      </c>
      <c r="S15">
        <v>0</v>
      </c>
      <c r="T15">
        <v>0</v>
      </c>
      <c r="U15" s="13">
        <v>21</v>
      </c>
      <c r="V15" s="13">
        <v>4.3</v>
      </c>
      <c r="W15" s="13">
        <f t="shared" ref="W15:W20" si="25">(($V15/100)*(1+$AB$16*$E$31)-$Y$16)/(((1+1/$X$23)*(14*10^(-6)))-(($J$31/$X$23+$F$31)*$V15/100))</f>
        <v>395.90503059926971</v>
      </c>
      <c r="X15" s="13">
        <f>$W15/$X$23</f>
        <v>3959.0503059926968</v>
      </c>
      <c r="Y15" s="67" t="s">
        <v>43</v>
      </c>
      <c r="Z15" s="67" t="s">
        <v>27</v>
      </c>
      <c r="AA15" s="76">
        <f t="shared" ref="AA15:AA20" si="26">IF(F15="HiddenElement",$AA$22/100/(1-$X$33)*$X$32*10^6/$X$30,0)</f>
        <v>0</v>
      </c>
      <c r="AB15" s="75" t="s">
        <v>21</v>
      </c>
      <c r="AC15" s="13">
        <f>ROUND(X15/$AT$6*120,0)</f>
        <v>57</v>
      </c>
      <c r="AD15" s="13">
        <f>J15+L15*$F$31+M15*$J$31+O15*$E$31</f>
        <v>6.293064121245898E-3</v>
      </c>
      <c r="AE15" s="59">
        <f>(1-J15/AD15)*100</f>
        <v>34.818239239744116</v>
      </c>
      <c r="AF15" s="1"/>
      <c r="AP15" s="69"/>
      <c r="AQ15" s="71">
        <f>$AQ$16/100/(1-$X$33)*$X$32*10^6/$X$30</f>
        <v>4411.7647058823532</v>
      </c>
      <c r="AR15" s="71">
        <f>$AR$16/100/(1-$X$33)*$X$32*10^6/$X$30</f>
        <v>4411.7647058823532</v>
      </c>
      <c r="AS15" s="72">
        <f>AR15+AQ15</f>
        <v>8823.5294117647063</v>
      </c>
      <c r="AT15" s="83"/>
      <c r="AU15" s="83"/>
    </row>
    <row r="16" spans="1:55" x14ac:dyDescent="0.25">
      <c r="A16" s="98"/>
      <c r="B16">
        <v>1</v>
      </c>
      <c r="C16" t="s">
        <v>30</v>
      </c>
      <c r="D16">
        <v>1</v>
      </c>
      <c r="E16" t="s">
        <v>40</v>
      </c>
      <c r="F16" s="38" t="s">
        <v>41</v>
      </c>
      <c r="G16" s="38">
        <f>80+G17</f>
        <v>240</v>
      </c>
      <c r="H16" s="38">
        <v>2.8500000000000001E-2</v>
      </c>
      <c r="I16" s="38" t="s">
        <v>33</v>
      </c>
      <c r="J16">
        <f>H16*$U$16</f>
        <v>1.7099999999999999E-3</v>
      </c>
      <c r="K16">
        <f t="shared" ref="K16:K20" si="27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ref="Q16:Q20" si="28">J16*$AC16</f>
        <v>2.7359999999999999E-2</v>
      </c>
      <c r="R16">
        <f>X16</f>
        <v>1127.3176271832149</v>
      </c>
      <c r="S16">
        <v>0</v>
      </c>
      <c r="T16">
        <v>0</v>
      </c>
      <c r="U16" s="13">
        <v>0.06</v>
      </c>
      <c r="V16" s="13">
        <v>1.8</v>
      </c>
      <c r="W16" s="13">
        <f t="shared" si="25"/>
        <v>112.73176271832151</v>
      </c>
      <c r="X16" s="13">
        <f>$W16/$X$23</f>
        <v>1127.3176271832149</v>
      </c>
      <c r="Y16" s="16">
        <v>5.0000000000000001E-3</v>
      </c>
      <c r="Z16" s="16">
        <v>1</v>
      </c>
      <c r="AA16" s="76">
        <f t="shared" si="26"/>
        <v>0</v>
      </c>
      <c r="AB16" s="45">
        <f>$AB$17/100/(1-$X$33)*$X$32*10^6/$X$30</f>
        <v>4411.7647058823532</v>
      </c>
      <c r="AC16" s="13">
        <f t="shared" ref="AC16:AC20" si="29">ROUND(X16/$AT$6*120,0)</f>
        <v>16</v>
      </c>
      <c r="AD16" s="13">
        <f t="shared" ref="AD16:AD20" si="30">J16+L16*$F$31+M16*$J$31+O16*$E$31</f>
        <v>2.1242656885690431E-3</v>
      </c>
      <c r="AE16" s="59">
        <f t="shared" ref="AE16:AE20" si="31">(1-J16/AD16)*100</f>
        <v>19.501594871030591</v>
      </c>
      <c r="AF16" s="1"/>
      <c r="AP16" s="70" t="s">
        <v>136</v>
      </c>
      <c r="AQ16" s="73">
        <v>10</v>
      </c>
      <c r="AR16" s="73">
        <v>10</v>
      </c>
      <c r="AS16" s="74">
        <f>AR16+AQ16</f>
        <v>20</v>
      </c>
      <c r="AT16" s="84"/>
      <c r="AU16" s="84"/>
    </row>
    <row r="17" spans="1:50" x14ac:dyDescent="0.25">
      <c r="A17" s="98"/>
      <c r="B17">
        <v>1</v>
      </c>
      <c r="C17" t="s">
        <v>30</v>
      </c>
      <c r="D17">
        <v>2</v>
      </c>
      <c r="E17" t="s">
        <v>38</v>
      </c>
      <c r="F17" s="38" t="s">
        <v>39</v>
      </c>
      <c r="G17" s="38">
        <f>G19</f>
        <v>160</v>
      </c>
      <c r="H17" s="38">
        <v>9.1999999999999998E-2</v>
      </c>
      <c r="I17" s="38" t="s">
        <v>33</v>
      </c>
      <c r="J17">
        <f>P17*$U$17</f>
        <v>5.0624699999999995E-3</v>
      </c>
      <c r="K17">
        <f t="shared" si="27"/>
        <v>2.5312349999999998E-5</v>
      </c>
      <c r="L17">
        <f t="shared" ref="L17:L20" si="32">J17*$W17</f>
        <v>2.3758024102824513</v>
      </c>
      <c r="M17">
        <f t="shared" si="22"/>
        <v>23.758024102824514</v>
      </c>
      <c r="N17">
        <f t="shared" si="23"/>
        <v>0</v>
      </c>
      <c r="O17" s="1">
        <f t="shared" si="24"/>
        <v>22.334426470588234</v>
      </c>
      <c r="P17">
        <v>2.4106999999999999E-4</v>
      </c>
      <c r="Q17" s="1">
        <f>J17*$AC17</f>
        <v>0.34424795999999996</v>
      </c>
      <c r="R17">
        <v>4250</v>
      </c>
      <c r="S17">
        <v>0</v>
      </c>
      <c r="T17">
        <v>0</v>
      </c>
      <c r="U17" s="13">
        <v>21</v>
      </c>
      <c r="V17" s="13">
        <v>4.8</v>
      </c>
      <c r="W17" s="13">
        <f t="shared" si="25"/>
        <v>469.29708428542818</v>
      </c>
      <c r="X17" s="13">
        <f t="shared" ref="X17:X20" si="33">$W17/$X$23</f>
        <v>4692.9708428542817</v>
      </c>
      <c r="Z17" s="24"/>
      <c r="AA17" s="76">
        <f t="shared" si="26"/>
        <v>0</v>
      </c>
      <c r="AB17" s="42">
        <v>10</v>
      </c>
      <c r="AC17" s="13">
        <f t="shared" si="29"/>
        <v>68</v>
      </c>
      <c r="AD17" s="13">
        <f t="shared" si="30"/>
        <v>8.1497066913228666E-3</v>
      </c>
      <c r="AE17" s="59">
        <f t="shared" si="31"/>
        <v>37.88156811348685</v>
      </c>
      <c r="AF17" s="1"/>
      <c r="AG17" s="1"/>
    </row>
    <row r="18" spans="1:50" x14ac:dyDescent="0.25">
      <c r="A18" s="98"/>
      <c r="B18">
        <v>1</v>
      </c>
      <c r="C18" t="s">
        <v>30</v>
      </c>
      <c r="D18">
        <v>2</v>
      </c>
      <c r="E18" t="s">
        <v>40</v>
      </c>
      <c r="F18" s="38" t="s">
        <v>42</v>
      </c>
      <c r="G18" s="38">
        <f>G19</f>
        <v>160</v>
      </c>
      <c r="H18" s="38">
        <v>2.8500000000000001E-2</v>
      </c>
      <c r="I18" s="38" t="s">
        <v>33</v>
      </c>
      <c r="J18">
        <f>H18*$U$18</f>
        <v>2.2800000000000003E-3</v>
      </c>
      <c r="K18">
        <f t="shared" si="27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8"/>
        <v>5.2440000000000007E-2</v>
      </c>
      <c r="R18">
        <f>X18</f>
        <v>1604.0455673709137</v>
      </c>
      <c r="S18">
        <v>0</v>
      </c>
      <c r="T18">
        <v>0</v>
      </c>
      <c r="U18" s="13">
        <v>0.08</v>
      </c>
      <c r="V18" s="13">
        <v>2.2999999999999998</v>
      </c>
      <c r="W18" s="13">
        <f t="shared" si="25"/>
        <v>160.40455673709138</v>
      </c>
      <c r="X18" s="13">
        <f t="shared" si="33"/>
        <v>1604.0455673709137</v>
      </c>
      <c r="AA18" s="76">
        <f>IF(F18="HiddenElement",$AA$22/100/(1-$X$33)*$X$32*10^6/$X$30,0)</f>
        <v>1323.5294117647056</v>
      </c>
      <c r="AB18" s="43" t="s">
        <v>120</v>
      </c>
      <c r="AC18" s="13">
        <f t="shared" si="29"/>
        <v>23</v>
      </c>
      <c r="AD18" s="13">
        <f t="shared" si="30"/>
        <v>2.9444020852838065E-3</v>
      </c>
      <c r="AE18" s="59">
        <f t="shared" si="31"/>
        <v>22.564923744773314</v>
      </c>
      <c r="AF18" s="1"/>
      <c r="AG18" s="1"/>
    </row>
    <row r="19" spans="1:50" x14ac:dyDescent="0.25">
      <c r="A19" s="98"/>
      <c r="B19">
        <v>1</v>
      </c>
      <c r="C19" t="s">
        <v>30</v>
      </c>
      <c r="D19">
        <v>2</v>
      </c>
      <c r="E19" t="s">
        <v>40</v>
      </c>
      <c r="F19" s="38" t="s">
        <v>41</v>
      </c>
      <c r="G19" s="38">
        <f>80+G20</f>
        <v>160</v>
      </c>
      <c r="H19" s="38">
        <v>5.0000000000000001E-4</v>
      </c>
      <c r="I19" s="38" t="s">
        <v>33</v>
      </c>
      <c r="J19">
        <f>H19*$U$19</f>
        <v>4.0000000000000003E-5</v>
      </c>
      <c r="K19">
        <f t="shared" si="27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8"/>
        <v>9.2000000000000003E-4</v>
      </c>
      <c r="R19">
        <f>X19</f>
        <v>1604.0455673709137</v>
      </c>
      <c r="S19">
        <v>0</v>
      </c>
      <c r="T19">
        <v>0</v>
      </c>
      <c r="U19" s="13">
        <v>0.08</v>
      </c>
      <c r="V19" s="13">
        <v>2.2999999999999998</v>
      </c>
      <c r="W19" s="13">
        <f t="shared" si="25"/>
        <v>160.40455673709138</v>
      </c>
      <c r="X19" s="13">
        <f t="shared" si="33"/>
        <v>1604.0455673709137</v>
      </c>
      <c r="AA19" s="76">
        <f t="shared" si="26"/>
        <v>0</v>
      </c>
      <c r="AB19" s="1"/>
      <c r="AC19" s="13">
        <f t="shared" si="29"/>
        <v>23</v>
      </c>
      <c r="AD19" s="13">
        <f t="shared" si="30"/>
        <v>5.1656176934803615E-5</v>
      </c>
      <c r="AE19" s="59">
        <f t="shared" si="31"/>
        <v>22.564923744773303</v>
      </c>
      <c r="AV19" s="66" t="s">
        <v>57</v>
      </c>
      <c r="AW19" s="7" t="s">
        <v>47</v>
      </c>
      <c r="AX19" s="8">
        <v>0</v>
      </c>
    </row>
    <row r="20" spans="1:50" x14ac:dyDescent="0.25">
      <c r="A20" s="98"/>
      <c r="B20">
        <v>1</v>
      </c>
      <c r="C20" t="s">
        <v>30</v>
      </c>
      <c r="D20">
        <v>3</v>
      </c>
      <c r="E20" t="s">
        <v>38</v>
      </c>
      <c r="F20" s="38" t="s">
        <v>39</v>
      </c>
      <c r="G20" s="36">
        <v>80</v>
      </c>
      <c r="H20" s="38">
        <v>6.0421565000000003E-2</v>
      </c>
      <c r="I20" s="38" t="s">
        <v>31</v>
      </c>
      <c r="J20">
        <f>P20*$U$20</f>
        <v>4.0322099999999996E-3</v>
      </c>
      <c r="K20">
        <f t="shared" si="27"/>
        <v>2.0161049999999999E-5</v>
      </c>
      <c r="L20">
        <f t="shared" si="32"/>
        <v>2.0843008232103681</v>
      </c>
      <c r="M20">
        <f t="shared" si="22"/>
        <v>20.843008232103678</v>
      </c>
      <c r="N20">
        <f t="shared" si="23"/>
        <v>0</v>
      </c>
      <c r="O20" s="1">
        <f t="shared" si="24"/>
        <v>17.789161764705881</v>
      </c>
      <c r="P20">
        <v>1.9201E-4</v>
      </c>
      <c r="Q20" s="1">
        <f t="shared" si="28"/>
        <v>0.30241574999999998</v>
      </c>
      <c r="R20">
        <v>0</v>
      </c>
      <c r="S20">
        <v>0</v>
      </c>
      <c r="T20">
        <v>0</v>
      </c>
      <c r="U20" s="14">
        <v>21</v>
      </c>
      <c r="V20" s="14">
        <v>5.0999999999999996</v>
      </c>
      <c r="W20" s="14">
        <f t="shared" si="25"/>
        <v>516.91276575633913</v>
      </c>
      <c r="X20" s="14">
        <f t="shared" si="33"/>
        <v>5169.127657563391</v>
      </c>
      <c r="AA20" s="77">
        <f t="shared" si="26"/>
        <v>0</v>
      </c>
      <c r="AC20" s="14">
        <f t="shared" si="29"/>
        <v>75</v>
      </c>
      <c r="AD20" s="14">
        <f t="shared" si="30"/>
        <v>6.689085819105817E-3</v>
      </c>
      <c r="AE20" s="60">
        <f t="shared" si="31"/>
        <v>39.719565437732463</v>
      </c>
      <c r="AV20" s="66"/>
      <c r="AW20" s="7" t="s">
        <v>48</v>
      </c>
      <c r="AX20" s="7">
        <v>0.106</v>
      </c>
    </row>
    <row r="21" spans="1:50" x14ac:dyDescent="0.25">
      <c r="A21" s="2"/>
      <c r="V21" s="79"/>
      <c r="W21" s="15"/>
      <c r="X21" s="48"/>
      <c r="Z21" s="1"/>
      <c r="AN21" s="66"/>
      <c r="AO21" s="95"/>
      <c r="AP21" s="66"/>
      <c r="AQ21" s="66"/>
      <c r="AR21" s="66"/>
      <c r="AS21" s="66"/>
      <c r="AT21" s="82"/>
      <c r="AU21" s="82"/>
      <c r="AV21" s="7" t="s">
        <v>49</v>
      </c>
      <c r="AW21" s="7">
        <v>1.28</v>
      </c>
    </row>
    <row r="22" spans="1:50" x14ac:dyDescent="0.25">
      <c r="A22" s="2"/>
      <c r="V22" s="29"/>
      <c r="W22" s="80"/>
      <c r="X22" s="17" t="s">
        <v>80</v>
      </c>
      <c r="Y22" s="35" t="s">
        <v>81</v>
      </c>
      <c r="AA22" s="42">
        <v>3</v>
      </c>
      <c r="AN22" s="66"/>
      <c r="AO22" s="95"/>
      <c r="AP22" s="66"/>
      <c r="AQ22" s="66"/>
      <c r="AR22" s="66"/>
      <c r="AS22" s="66"/>
      <c r="AT22" s="82"/>
      <c r="AU22" s="82"/>
      <c r="AV22" s="7" t="s">
        <v>50</v>
      </c>
      <c r="AW22" s="7">
        <v>0.8</v>
      </c>
    </row>
    <row r="23" spans="1:50" x14ac:dyDescent="0.25">
      <c r="A23" s="2"/>
      <c r="X23" s="14">
        <v>0.1</v>
      </c>
      <c r="Y23" s="62">
        <f>(SUMPRODUCT(V15:V20,AD15:AD20)+SUMPRODUCT(AR5:AR12,AP5:AP12))/SUM(AD15:AD20,AP5:AP12)</f>
        <v>4.4062624334800216</v>
      </c>
      <c r="AA23" s="43" t="s">
        <v>120</v>
      </c>
      <c r="AN23" s="66"/>
      <c r="AO23" s="95"/>
      <c r="AP23" s="66"/>
      <c r="AQ23" s="66"/>
      <c r="AR23" s="66"/>
      <c r="AS23" s="66"/>
      <c r="AT23" s="82"/>
      <c r="AU23" s="82"/>
      <c r="AV23" s="7" t="s">
        <v>60</v>
      </c>
      <c r="AW23" s="7">
        <f>210*3600*24/12</f>
        <v>1512000</v>
      </c>
    </row>
    <row r="24" spans="1:50" x14ac:dyDescent="0.25">
      <c r="A24" s="2"/>
      <c r="F24" s="1"/>
      <c r="G24" s="1"/>
      <c r="AN24" s="7"/>
      <c r="AO24" s="7"/>
      <c r="AP24" s="7"/>
      <c r="AQ24" s="7"/>
      <c r="AR24" s="7"/>
      <c r="AS24" s="7"/>
      <c r="AT24" s="7"/>
      <c r="AU24" s="7"/>
      <c r="AV24" s="7" t="s">
        <v>58</v>
      </c>
      <c r="AW24" s="7">
        <v>5</v>
      </c>
    </row>
    <row r="25" spans="1:50" x14ac:dyDescent="0.25">
      <c r="A25" s="98" t="s">
        <v>72</v>
      </c>
      <c r="B25" s="5" t="s">
        <v>0</v>
      </c>
      <c r="C25" s="5" t="s">
        <v>1</v>
      </c>
      <c r="D25" s="5" t="s">
        <v>34</v>
      </c>
      <c r="E25" s="5" t="s">
        <v>21</v>
      </c>
      <c r="F25" s="5" t="s">
        <v>22</v>
      </c>
      <c r="G25" s="5" t="s">
        <v>64</v>
      </c>
      <c r="H25" s="5" t="s">
        <v>65</v>
      </c>
      <c r="I25" s="5" t="s">
        <v>66</v>
      </c>
      <c r="J25" s="5" t="s">
        <v>24</v>
      </c>
      <c r="K25" s="5" t="s">
        <v>27</v>
      </c>
      <c r="L25" s="5" t="s">
        <v>43</v>
      </c>
      <c r="M25" s="5" t="s">
        <v>45</v>
      </c>
      <c r="AM25" s="9"/>
      <c r="AN25" s="9"/>
      <c r="AO25" s="9"/>
      <c r="AP25" s="9"/>
      <c r="AQ25" s="9"/>
      <c r="AR25" s="9"/>
      <c r="AS25" s="7" t="s">
        <v>59</v>
      </c>
      <c r="AT25" s="7"/>
      <c r="AU25" s="7"/>
      <c r="AV25" s="7">
        <f>1/59</f>
        <v>1.6949152542372881E-2</v>
      </c>
    </row>
    <row r="26" spans="1:50" x14ac:dyDescent="0.25">
      <c r="A26" s="98"/>
      <c r="B26">
        <v>1</v>
      </c>
      <c r="C26" t="s">
        <v>30</v>
      </c>
      <c r="D26" t="s">
        <v>67</v>
      </c>
      <c r="E26" s="24">
        <v>0</v>
      </c>
      <c r="F26" s="24">
        <v>0</v>
      </c>
      <c r="G26" s="24" t="s">
        <v>32</v>
      </c>
      <c r="H26" s="24" t="s">
        <v>32</v>
      </c>
      <c r="I26" s="24" t="s">
        <v>32</v>
      </c>
      <c r="J26" s="24" t="s">
        <v>32</v>
      </c>
      <c r="K26" s="24" t="s">
        <v>32</v>
      </c>
      <c r="L26" s="24" t="s">
        <v>32</v>
      </c>
      <c r="M26" s="24" t="s">
        <v>32</v>
      </c>
      <c r="AM26" s="10"/>
      <c r="AN26" s="10"/>
      <c r="AO26" s="10"/>
      <c r="AP26" s="10"/>
      <c r="AQ26" s="10"/>
      <c r="AR26" s="10"/>
      <c r="AS26" s="7"/>
      <c r="AT26" s="7"/>
      <c r="AU26" s="7"/>
      <c r="AV26" s="7"/>
    </row>
    <row r="27" spans="1:50" x14ac:dyDescent="0.25">
      <c r="A27" s="98"/>
      <c r="B27">
        <v>1</v>
      </c>
      <c r="C27" t="s">
        <v>30</v>
      </c>
      <c r="D27" t="s">
        <v>68</v>
      </c>
      <c r="E27" s="24">
        <f>E28*$K$27</f>
        <v>149.41039050391444</v>
      </c>
      <c r="F27" s="24">
        <f>F28*$K$27</f>
        <v>2.0336320090629028</v>
      </c>
      <c r="G27" s="24">
        <f>G28*$K$27</f>
        <v>20.336320090629027</v>
      </c>
      <c r="H27" s="24" t="s">
        <v>32</v>
      </c>
      <c r="I27" s="24" t="s">
        <v>32</v>
      </c>
      <c r="J27" s="24" t="s">
        <v>32</v>
      </c>
      <c r="K27" s="1">
        <f>$P$33/$O$28/(1+$E$28*$E$31+$F$28*$F$31+$G$28*$G$31)</f>
        <v>3.3866355180887271E-2</v>
      </c>
      <c r="L27" s="24">
        <f>K27*$Y$16</f>
        <v>1.6933177590443637E-4</v>
      </c>
      <c r="M27" s="24">
        <f>M28*$K$27</f>
        <v>8.4665887952218171</v>
      </c>
      <c r="N27" s="64" t="s">
        <v>130</v>
      </c>
      <c r="O27" s="17" t="s">
        <v>69</v>
      </c>
      <c r="P27" s="17" t="s">
        <v>83</v>
      </c>
      <c r="Q27" s="17" t="s">
        <v>82</v>
      </c>
      <c r="R27" s="99" t="s">
        <v>46</v>
      </c>
      <c r="S27" s="7" t="s">
        <v>47</v>
      </c>
      <c r="T27" s="8">
        <v>2.6499999999999999E-8</v>
      </c>
      <c r="AM27" s="10"/>
      <c r="AN27" s="10"/>
      <c r="AO27" s="10"/>
      <c r="AP27" s="10"/>
      <c r="AQ27" s="10"/>
      <c r="AR27" s="10"/>
      <c r="AS27" s="7"/>
      <c r="AT27" s="7"/>
      <c r="AU27" s="7"/>
      <c r="AV27" s="7"/>
    </row>
    <row r="28" spans="1:50" x14ac:dyDescent="0.25">
      <c r="E28" s="46">
        <f>AB16</f>
        <v>4411.7647058823532</v>
      </c>
      <c r="F28" s="47">
        <f>(($Q$28/100)*(1+$E$28*$E$31)-$Y$16)/((1+1/$P$28)*(14*10^-6-$J$31*$Q$28/100))</f>
        <v>60.04874153716424</v>
      </c>
      <c r="G28" s="47">
        <f>F28/$P$28</f>
        <v>600.48741537164233</v>
      </c>
      <c r="H28" s="18"/>
      <c r="I28" s="18"/>
      <c r="J28" s="18"/>
      <c r="K28" s="18"/>
      <c r="L28" s="18"/>
      <c r="M28" s="19">
        <v>250</v>
      </c>
      <c r="N28" s="65">
        <f>SUM(AK5:AK12,J15:J20)/K27</f>
        <v>0.593562949616396</v>
      </c>
      <c r="O28" s="14">
        <v>0.8</v>
      </c>
      <c r="P28" s="14">
        <v>0.1</v>
      </c>
      <c r="Q28" s="14">
        <v>1.2</v>
      </c>
      <c r="R28" s="99"/>
      <c r="S28" s="7" t="s">
        <v>48</v>
      </c>
      <c r="T28" s="7">
        <v>0.106</v>
      </c>
      <c r="AM28" s="10" t="s">
        <v>73</v>
      </c>
      <c r="AN28" s="10"/>
      <c r="AO28" s="10"/>
      <c r="AP28" s="10"/>
      <c r="AQ28" s="10"/>
      <c r="AR28" s="10"/>
      <c r="AS28" s="7"/>
      <c r="AT28" s="7"/>
      <c r="AU28" s="7"/>
      <c r="AV28" s="7"/>
    </row>
    <row r="29" spans="1:50" x14ac:dyDescent="0.25">
      <c r="F29" s="1"/>
      <c r="R29" s="99"/>
      <c r="S29" s="7" t="s">
        <v>49</v>
      </c>
      <c r="T29" s="7">
        <v>1.28</v>
      </c>
      <c r="W29" s="40" t="s">
        <v>119</v>
      </c>
      <c r="X29" s="41">
        <v>180</v>
      </c>
      <c r="AM29" s="11" t="s">
        <v>74</v>
      </c>
      <c r="AN29" s="11"/>
      <c r="AO29" s="11"/>
      <c r="AP29" s="11"/>
      <c r="AQ29" s="11"/>
      <c r="AR29" s="11"/>
      <c r="AS29" s="7"/>
      <c r="AT29" s="7"/>
      <c r="AU29" s="7"/>
      <c r="AV29" s="7"/>
    </row>
    <row r="30" spans="1:50" x14ac:dyDescent="0.25">
      <c r="D30" s="23" t="s">
        <v>78</v>
      </c>
      <c r="F30" s="1"/>
      <c r="O30" s="30" t="s">
        <v>134</v>
      </c>
      <c r="P30" s="57">
        <f>K27+SUM(J15:J20)+SUM(AK5:AK12)</f>
        <v>5.3968168854811233E-2</v>
      </c>
      <c r="R30" s="99"/>
      <c r="S30" s="7" t="s">
        <v>50</v>
      </c>
      <c r="T30" s="7">
        <v>0.8</v>
      </c>
      <c r="W30" s="40" t="s">
        <v>116</v>
      </c>
      <c r="X30" s="41">
        <v>340</v>
      </c>
      <c r="AM30" s="11"/>
      <c r="AN30" s="11"/>
      <c r="AO30" s="11"/>
      <c r="AP30" s="11"/>
      <c r="AQ30" s="11"/>
      <c r="AR30" s="11"/>
      <c r="AS30" s="7"/>
      <c r="AT30" s="7"/>
      <c r="AU30" s="7"/>
      <c r="AV30" s="7"/>
    </row>
    <row r="31" spans="1:50" x14ac:dyDescent="0.25">
      <c r="D31" s="20" t="s">
        <v>79</v>
      </c>
      <c r="E31" s="20">
        <f xml:space="preserve"> (0.000001*12) / 0.42</f>
        <v>2.8571428571428574E-5</v>
      </c>
      <c r="F31" s="21">
        <f>( 0.000001*14) / 0.135</f>
        <v>1.037037037037037E-4</v>
      </c>
      <c r="G31" s="21">
        <f>62*10^-6</f>
        <v>6.2000000000000003E-5</v>
      </c>
      <c r="J31" s="21">
        <f>( 0.000001*14) / 0.151</f>
        <v>9.2715231788079476E-5</v>
      </c>
      <c r="R31" s="99"/>
      <c r="S31" s="7" t="s">
        <v>51</v>
      </c>
      <c r="T31" s="7">
        <f>271*3600 * 24 /12</f>
        <v>1951200</v>
      </c>
      <c r="W31" s="30" t="s">
        <v>117</v>
      </c>
      <c r="X31" s="32">
        <v>12</v>
      </c>
      <c r="AM31" s="10" t="s">
        <v>75</v>
      </c>
      <c r="AN31" s="10"/>
      <c r="AO31" s="10"/>
      <c r="AP31" s="10"/>
      <c r="AQ31" s="10"/>
      <c r="AR31" s="10"/>
      <c r="AS31" s="7"/>
      <c r="AT31" s="7"/>
      <c r="AU31" s="7"/>
      <c r="AV31" s="7"/>
    </row>
    <row r="32" spans="1:50" x14ac:dyDescent="0.25">
      <c r="D32" s="20" t="s">
        <v>76</v>
      </c>
      <c r="E32" s="20">
        <f>E26*E31</f>
        <v>0</v>
      </c>
      <c r="F32" s="21">
        <f>F26*F31</f>
        <v>0</v>
      </c>
      <c r="G32" s="21"/>
      <c r="O32" s="30" t="s">
        <v>129</v>
      </c>
      <c r="P32" s="57">
        <f>E26*E31+F26*F31</f>
        <v>0</v>
      </c>
      <c r="R32" s="99"/>
      <c r="S32" s="9" t="s">
        <v>52</v>
      </c>
      <c r="T32" s="7">
        <v>1.557936E-2</v>
      </c>
      <c r="W32" s="30" t="s">
        <v>118</v>
      </c>
      <c r="X32" s="32">
        <v>12</v>
      </c>
    </row>
    <row r="33" spans="1:24" x14ac:dyDescent="0.25">
      <c r="O33" s="30" t="s">
        <v>108</v>
      </c>
      <c r="P33" s="57">
        <f t="array" ref="P33">SUM(J15:J20,AK5:AK12)+SUM(AF5:AF12*F31,L15:L20*F31)+SUM(AH5:AH12*J31,M15:M20*J31)+SUM(AE5:AE12*E31,O15:O20*E31)+SUM(N15:N20*E31,AG5:AG12*E31)</f>
        <v>3.1685576398342678E-2</v>
      </c>
      <c r="W33" s="30" t="s">
        <v>121</v>
      </c>
      <c r="X33" s="44">
        <v>0.2</v>
      </c>
    </row>
    <row r="34" spans="1:24" x14ac:dyDescent="0.25">
      <c r="O34" s="30" t="s">
        <v>109</v>
      </c>
      <c r="P34" s="31">
        <f>K27+E27*E31+F27*F31+G27*G31</f>
        <v>3.9606970497928336E-2</v>
      </c>
    </row>
    <row r="35" spans="1:24" ht="15" customHeight="1" x14ac:dyDescent="0.25">
      <c r="A35" s="100" t="s">
        <v>152</v>
      </c>
      <c r="B35" s="5" t="s">
        <v>0</v>
      </c>
      <c r="C35" s="5" t="s">
        <v>1</v>
      </c>
      <c r="D35" s="5" t="s">
        <v>141</v>
      </c>
      <c r="E35" s="5" t="s">
        <v>142</v>
      </c>
      <c r="F35" s="5" t="s">
        <v>143</v>
      </c>
      <c r="G35" s="5" t="s">
        <v>144</v>
      </c>
      <c r="H35" s="5" t="s">
        <v>145</v>
      </c>
      <c r="I35" s="5" t="s">
        <v>146</v>
      </c>
      <c r="J35" s="5" t="s">
        <v>147</v>
      </c>
      <c r="K35" s="5" t="s">
        <v>148</v>
      </c>
      <c r="L35" s="5" t="s">
        <v>149</v>
      </c>
      <c r="M35" s="5" t="s">
        <v>150</v>
      </c>
      <c r="O35" s="30" t="s">
        <v>126</v>
      </c>
      <c r="P35" s="31">
        <f>P34+P33+P32</f>
        <v>7.1292546896271014E-2</v>
      </c>
      <c r="Q35" s="27"/>
    </row>
    <row r="36" spans="1:24" x14ac:dyDescent="0.25">
      <c r="A36" s="100"/>
      <c r="B36">
        <v>1</v>
      </c>
      <c r="C36" t="s">
        <v>30</v>
      </c>
      <c r="D36" t="s">
        <v>151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2"/>
      <c r="P36" s="33"/>
      <c r="Q36" s="1"/>
    </row>
    <row r="37" spans="1:24" x14ac:dyDescent="0.25">
      <c r="O37" s="30" t="s">
        <v>132</v>
      </c>
      <c r="P37" s="34">
        <f>1-SUM($AK$5:$AK$12,$J$15:$J$20)/$P$33</f>
        <v>0.36558472469589065</v>
      </c>
    </row>
    <row r="38" spans="1:24" x14ac:dyDescent="0.25">
      <c r="O38" s="30" t="s">
        <v>133</v>
      </c>
      <c r="P38" s="34">
        <f>1-$K$27/$P$34</f>
        <v>0.14493952061648674</v>
      </c>
    </row>
    <row r="39" spans="1:24" x14ac:dyDescent="0.25">
      <c r="O39" s="30" t="s">
        <v>110</v>
      </c>
      <c r="P39" s="34">
        <f>1-SUM($AK$5:$AK$12,$J$15:$J$20)/($P$33+N28/(1+N28)*P32)</f>
        <v>0.36558472469589065</v>
      </c>
    </row>
    <row r="40" spans="1:24" x14ac:dyDescent="0.25">
      <c r="O40" s="30" t="s">
        <v>111</v>
      </c>
      <c r="P40" s="34">
        <f>1-$K$27/($P$34+1/(1+N28)*P32)</f>
        <v>0.14493952061648674</v>
      </c>
    </row>
    <row r="42" spans="1:24" x14ac:dyDescent="0.25">
      <c r="O42" s="30" t="s">
        <v>128</v>
      </c>
      <c r="P42" s="63" t="e">
        <f>(F26*14*10^-6)/(E26*E31+F26*F31)*100</f>
        <v>#DIV/0!</v>
      </c>
    </row>
    <row r="43" spans="1:24" x14ac:dyDescent="0.25">
      <c r="O43" s="30" t="s">
        <v>127</v>
      </c>
      <c r="P43" s="63" t="e">
        <f>($Y$23*$P$33+$Q$28*$P$34+$P$32*$P$42)/$P$35</f>
        <v>#DIV/0!</v>
      </c>
    </row>
    <row r="44" spans="1:24" x14ac:dyDescent="0.25">
      <c r="O44" s="30" t="s">
        <v>131</v>
      </c>
      <c r="P44" s="63">
        <f>($Y$23*$P$33+$Q$28*$P$34)/($P$33+$P$34)</f>
        <v>2.6250055259911207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C44"/>
  <sheetViews>
    <sheetView topLeftCell="AI1" workbookViewId="0">
      <selection activeCell="AO5" sqref="AO5"/>
    </sheetView>
  </sheetViews>
  <sheetFormatPr baseColWidth="10" defaultRowHeight="15" x14ac:dyDescent="0.25"/>
  <cols>
    <col min="5" max="5" width="16.5703125" bestFit="1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5" max="45" width="12" bestFit="1" customWidth="1"/>
    <col min="46" max="47" width="12" customWidth="1"/>
  </cols>
  <sheetData>
    <row r="1" spans="1:55" x14ac:dyDescent="0.25">
      <c r="A1" s="49" t="s">
        <v>112</v>
      </c>
      <c r="B1" s="50" t="s">
        <v>113</v>
      </c>
      <c r="C1" s="51"/>
      <c r="E1" s="55" t="s">
        <v>138</v>
      </c>
      <c r="W1" s="92" t="s">
        <v>170</v>
      </c>
      <c r="X1" s="93" t="s">
        <v>171</v>
      </c>
    </row>
    <row r="2" spans="1:55" s="29" customFormat="1" ht="15.75" thickBot="1" x14ac:dyDescent="0.3">
      <c r="A2" s="52" t="s">
        <v>112</v>
      </c>
      <c r="B2" s="53" t="s">
        <v>114</v>
      </c>
      <c r="C2" s="54"/>
      <c r="E2" s="56">
        <f xml:space="preserve"> 76.1/12*24*3600</f>
        <v>547920</v>
      </c>
      <c r="W2" s="94">
        <v>9.9999999999999995E-7</v>
      </c>
      <c r="X2" s="94">
        <v>9.9999999999999995E-7</v>
      </c>
    </row>
    <row r="4" spans="1:55" s="2" customFormat="1" ht="15" customHeight="1" x14ac:dyDescent="0.25">
      <c r="A4" s="98" t="s">
        <v>70</v>
      </c>
      <c r="B4" s="5" t="s">
        <v>0</v>
      </c>
      <c r="C4" s="5" t="s">
        <v>1</v>
      </c>
      <c r="D4" s="5" t="s">
        <v>2</v>
      </c>
      <c r="E4" s="5" t="s">
        <v>124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7" t="s">
        <v>8</v>
      </c>
      <c r="L4" s="37" t="s">
        <v>9</v>
      </c>
      <c r="M4" s="37" t="s">
        <v>10</v>
      </c>
      <c r="N4" s="5" t="s">
        <v>90</v>
      </c>
      <c r="O4" s="5" t="s">
        <v>91</v>
      </c>
      <c r="P4" s="5" t="s">
        <v>86</v>
      </c>
      <c r="Q4" s="5" t="s">
        <v>87</v>
      </c>
      <c r="R4" s="5" t="s">
        <v>88</v>
      </c>
      <c r="S4" s="5" t="s">
        <v>89</v>
      </c>
      <c r="T4" s="5" t="s">
        <v>11</v>
      </c>
      <c r="U4" s="5" t="s">
        <v>12</v>
      </c>
      <c r="V4" s="5" t="s">
        <v>13</v>
      </c>
      <c r="W4" s="5" t="s">
        <v>169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96" t="s">
        <v>177</v>
      </c>
      <c r="AP4" s="12" t="s">
        <v>77</v>
      </c>
      <c r="AQ4" s="12" t="s">
        <v>125</v>
      </c>
      <c r="AR4" s="12" t="s">
        <v>107</v>
      </c>
      <c r="AS4" s="12" t="s">
        <v>22</v>
      </c>
      <c r="AT4" s="12" t="s">
        <v>24</v>
      </c>
      <c r="AU4" s="12" t="s">
        <v>159</v>
      </c>
      <c r="AV4" s="85" t="s">
        <v>160</v>
      </c>
      <c r="AW4" s="6" t="s">
        <v>63</v>
      </c>
      <c r="AX4" s="6" t="s">
        <v>53</v>
      </c>
      <c r="AY4" s="6" t="s">
        <v>54</v>
      </c>
      <c r="AZ4" s="6" t="s">
        <v>55</v>
      </c>
      <c r="BA4" s="6" t="s">
        <v>56</v>
      </c>
      <c r="BB4" s="6"/>
      <c r="BC4" s="6" t="s">
        <v>61</v>
      </c>
    </row>
    <row r="5" spans="1:55" x14ac:dyDescent="0.25">
      <c r="A5" s="98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38">
        <f>J5-M5</f>
        <v>2.8899999999999999E-2</v>
      </c>
      <c r="L5" s="38">
        <v>9.2499999999999999E-2</v>
      </c>
      <c r="M5" s="3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AK5*$AQ$15</f>
        <v>9.0399389163552328</v>
      </c>
      <c r="AF5" s="1">
        <f t="shared" ref="AF5:AF12" si="1">AK5*$AS5</f>
        <v>1.0111902874411887</v>
      </c>
      <c r="AG5" s="24">
        <f t="shared" ref="AG5:AG12" si="2">AK5*$AV5</f>
        <v>9.0399389163552328</v>
      </c>
      <c r="AH5" s="28">
        <f t="shared" ref="AH5:AH12" si="3">AK5*$AT5</f>
        <v>10.111902874411886</v>
      </c>
      <c r="AI5" s="1">
        <f>AZ5</f>
        <v>2.0477283347659267E-3</v>
      </c>
      <c r="AJ5" s="1">
        <f>BC5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1">
        <v>1800</v>
      </c>
      <c r="AP5" s="58">
        <f t="shared" ref="AP5:AP12" si="4">AK5+AE5*$E$31+AF5*$F$31+AH5*$J$31</f>
        <v>3.3497283868557494E-3</v>
      </c>
      <c r="AQ5" s="59">
        <f t="shared" ref="AQ5:AQ12" si="5">(1-AK5/AP5)*100</f>
        <v>38.829284515098252</v>
      </c>
      <c r="AR5" s="13">
        <v>4.5999999999999996</v>
      </c>
      <c r="AS5" s="13">
        <f t="shared" ref="AS5:AS12" si="6">(($AR5/100)*(1+($AQ$15+$AV5)*$E$31)-$Y$16)/(((1+1/$X$23)*(14*10^(-6)))-(($J$31/$X$23+$F$31)*$AR5/100))</f>
        <v>493.49156696102204</v>
      </c>
      <c r="AT5" s="13">
        <f t="shared" ref="AT5:AT12" si="7">$AS5/$X$23</f>
        <v>4934.91566961022</v>
      </c>
      <c r="AU5" s="13">
        <v>10</v>
      </c>
      <c r="AV5" s="71">
        <f t="shared" ref="AV5:AV12" si="8">$AU5/100/(1-$X$33)*$X$32*10^6/$X$30</f>
        <v>4411.7647058823532</v>
      </c>
      <c r="AW5" s="7">
        <v>851425</v>
      </c>
      <c r="AX5" s="8">
        <f>$T$27+$T$28*$T$30*(J5)^$T$29</f>
        <v>9.1058115591388438E-4</v>
      </c>
      <c r="AY5" s="7">
        <f t="shared" ref="AY5:AY12" si="9">J5*Z5</f>
        <v>2.6054999999999997E-3</v>
      </c>
      <c r="AZ5" s="8">
        <f>((AY5-AX5)/($T$31-AW5))*(F5-$T$31)+AY5</f>
        <v>2.0477283347659267E-3</v>
      </c>
      <c r="BA5" s="8">
        <f t="shared" ref="BA5:BA12" si="10">$T$27+$T$28*$T$30*(L5)^$T$29</f>
        <v>4.0277279389003447E-3</v>
      </c>
      <c r="BB5" s="7"/>
      <c r="BC5" s="7">
        <f t="shared" ref="BC5:BC12" si="11">$AX$20*$AW$22*$AW$24*(M5)^$AW$21</f>
        <v>1.3244862745926676E-6</v>
      </c>
    </row>
    <row r="6" spans="1:55" x14ac:dyDescent="0.25">
      <c r="A6" s="98"/>
      <c r="B6">
        <v>1</v>
      </c>
      <c r="C6" t="s">
        <v>30</v>
      </c>
      <c r="D6">
        <v>4</v>
      </c>
      <c r="E6">
        <f t="shared" ref="E6:E11" si="12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38">
        <f t="shared" ref="K6:K12" si="13">J6-M6</f>
        <v>2.8930000000000001E-2</v>
      </c>
      <c r="L6" s="38">
        <v>2.5999999999999999E-2</v>
      </c>
      <c r="M6" s="3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4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3.5017162544188412</v>
      </c>
      <c r="AF6" s="1">
        <f t="shared" si="1"/>
        <v>0.65956141271581703</v>
      </c>
      <c r="AG6" s="24">
        <f t="shared" si="2"/>
        <v>1.7508581272094206</v>
      </c>
      <c r="AH6" s="28">
        <f t="shared" si="3"/>
        <v>6.5956141271581705</v>
      </c>
      <c r="AI6" s="1">
        <f>BA6</f>
        <v>7.9355355356128927E-4</v>
      </c>
      <c r="AJ6" s="1">
        <f>BC6</f>
        <v>1.6879744031468265E-7</v>
      </c>
      <c r="AK6">
        <f t="shared" ref="AK6:AK12" si="15">AI6+AJ6</f>
        <v>7.9372235100160394E-4</v>
      </c>
      <c r="AL6">
        <f t="shared" ref="AL6:AM12" si="16">AI6*0.005</f>
        <v>3.9677677678064465E-6</v>
      </c>
      <c r="AM6">
        <f t="shared" si="16"/>
        <v>8.4398720157341326E-10</v>
      </c>
      <c r="AN6">
        <f t="shared" ref="AN6:AN12" si="17">AL6+AM6</f>
        <v>3.9686117550080197E-6</v>
      </c>
      <c r="AO6" s="1">
        <v>1800</v>
      </c>
      <c r="AP6" s="58">
        <f t="shared" si="4"/>
        <v>1.5736842407450208E-3</v>
      </c>
      <c r="AQ6" s="59">
        <f t="shared" si="5"/>
        <v>49.562794717583479</v>
      </c>
      <c r="AR6" s="13">
        <v>6.5</v>
      </c>
      <c r="AS6" s="13">
        <f t="shared" si="6"/>
        <v>830.97245766546928</v>
      </c>
      <c r="AT6" s="13">
        <f t="shared" si="7"/>
        <v>8309.724576654693</v>
      </c>
      <c r="AU6" s="13">
        <v>5</v>
      </c>
      <c r="AV6" s="71">
        <f t="shared" si="8"/>
        <v>2205.8823529411766</v>
      </c>
      <c r="AW6" s="7">
        <v>818263</v>
      </c>
      <c r="AX6" s="8">
        <f>$T$27+$T$28*$T$30*(J6)^$T$29</f>
        <v>9.1017858127080242E-4</v>
      </c>
      <c r="AY6" s="7" t="e">
        <f t="shared" si="9"/>
        <v>#VALUE!</v>
      </c>
      <c r="AZ6" s="8" t="e">
        <f>((AY6-AX6)/($T$31-AW6))*(F6-$T$31)+AY6</f>
        <v>#VALUE!</v>
      </c>
      <c r="BA6" s="8">
        <f t="shared" si="10"/>
        <v>7.9355355356128927E-4</v>
      </c>
      <c r="BB6" s="7"/>
      <c r="BC6" s="7">
        <f t="shared" si="11"/>
        <v>1.6879744031468265E-7</v>
      </c>
    </row>
    <row r="7" spans="1:55" x14ac:dyDescent="0.25">
      <c r="A7" s="98"/>
      <c r="B7">
        <v>1</v>
      </c>
      <c r="C7" t="s">
        <v>30</v>
      </c>
      <c r="D7">
        <v>5</v>
      </c>
      <c r="E7">
        <f t="shared" si="12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38">
        <f t="shared" si="13"/>
        <v>2.894E-2</v>
      </c>
      <c r="L7" s="38">
        <v>2E-3</v>
      </c>
      <c r="M7" s="3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4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4">
        <f t="shared" si="2"/>
        <v>0</v>
      </c>
      <c r="AH7" s="28">
        <f t="shared" si="3"/>
        <v>0.54184269937105289</v>
      </c>
      <c r="AI7" s="1">
        <f>BA7</f>
        <v>2.9792072957780891E-5</v>
      </c>
      <c r="AJ7" s="1">
        <v>0</v>
      </c>
      <c r="AK7">
        <f t="shared" si="15"/>
        <v>2.9792072957780891E-5</v>
      </c>
      <c r="AL7">
        <f t="shared" si="16"/>
        <v>1.4896036478890447E-7</v>
      </c>
      <c r="AM7">
        <f t="shared" si="16"/>
        <v>0</v>
      </c>
      <c r="AN7">
        <f t="shared" si="17"/>
        <v>1.4896036478890447E-7</v>
      </c>
      <c r="AO7" s="1">
        <v>1800</v>
      </c>
      <c r="AP7" s="58">
        <f t="shared" si="4"/>
        <v>8.9403557211611783E-5</v>
      </c>
      <c r="AQ7" s="59">
        <f t="shared" si="5"/>
        <v>66.676859526668281</v>
      </c>
      <c r="AR7" s="13">
        <v>9.5</v>
      </c>
      <c r="AS7" s="13">
        <f t="shared" si="6"/>
        <v>1818.7478935719314</v>
      </c>
      <c r="AT7" s="13">
        <f t="shared" si="7"/>
        <v>18187.478935719311</v>
      </c>
      <c r="AU7" s="13">
        <v>0</v>
      </c>
      <c r="AV7" s="71">
        <f t="shared" si="8"/>
        <v>0</v>
      </c>
      <c r="AW7" s="7"/>
      <c r="AX7" s="8" t="e">
        <f t="shared" ref="AX7:AX12" si="18">$T$27+$T$28*$T$30*(T7*$T$32)^$T$29</f>
        <v>#VALUE!</v>
      </c>
      <c r="AY7" s="7" t="e">
        <f t="shared" si="9"/>
        <v>#VALUE!</v>
      </c>
      <c r="AZ7" s="8" t="e">
        <f t="shared" ref="AZ7:AZ12" si="19">AX7+((AY7-AX7)/$T$31)*F7</f>
        <v>#VALUE!</v>
      </c>
      <c r="BA7" s="8">
        <f t="shared" si="10"/>
        <v>2.9792072957780891E-5</v>
      </c>
      <c r="BB7" s="7"/>
      <c r="BC7" s="7">
        <f t="shared" si="11"/>
        <v>0</v>
      </c>
    </row>
    <row r="8" spans="1:55" x14ac:dyDescent="0.25">
      <c r="A8" s="98"/>
      <c r="B8">
        <v>1</v>
      </c>
      <c r="C8" t="s">
        <v>30</v>
      </c>
      <c r="D8">
        <v>6</v>
      </c>
      <c r="E8">
        <f t="shared" si="12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38">
        <f t="shared" si="13"/>
        <v>2.894E-2</v>
      </c>
      <c r="L8" s="38">
        <v>7.2000000000000005E-4</v>
      </c>
      <c r="M8" s="3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4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4">
        <f t="shared" si="2"/>
        <v>0</v>
      </c>
      <c r="AH8" s="28">
        <f t="shared" si="3"/>
        <v>0.14688630816538931</v>
      </c>
      <c r="AI8" s="1">
        <f t="shared" ref="AI8:AI12" si="21">BA8</f>
        <v>8.076232483046996E-6</v>
      </c>
      <c r="AJ8" s="1">
        <v>0</v>
      </c>
      <c r="AK8">
        <f t="shared" si="15"/>
        <v>8.076232483046996E-6</v>
      </c>
      <c r="AL8">
        <f t="shared" si="16"/>
        <v>4.0381162415234981E-8</v>
      </c>
      <c r="AM8">
        <f t="shared" si="16"/>
        <v>0</v>
      </c>
      <c r="AN8">
        <f t="shared" si="17"/>
        <v>4.0381162415234981E-8</v>
      </c>
      <c r="AO8" t="s">
        <v>32</v>
      </c>
      <c r="AP8" s="58">
        <f t="shared" si="4"/>
        <v>2.4236108506970847E-5</v>
      </c>
      <c r="AQ8" s="59">
        <f t="shared" si="5"/>
        <v>66.676859526668281</v>
      </c>
      <c r="AR8" s="13">
        <v>9.5</v>
      </c>
      <c r="AS8" s="13">
        <f t="shared" si="6"/>
        <v>1818.7478935719314</v>
      </c>
      <c r="AT8" s="13">
        <f t="shared" si="7"/>
        <v>18187.478935719311</v>
      </c>
      <c r="AU8" s="13">
        <v>0</v>
      </c>
      <c r="AV8" s="71">
        <f t="shared" si="8"/>
        <v>0</v>
      </c>
      <c r="AW8" s="7"/>
      <c r="AX8" s="8" t="e">
        <f t="shared" si="18"/>
        <v>#VALUE!</v>
      </c>
      <c r="AY8" s="7" t="e">
        <f t="shared" si="9"/>
        <v>#VALUE!</v>
      </c>
      <c r="AZ8" s="8" t="e">
        <f t="shared" si="19"/>
        <v>#VALUE!</v>
      </c>
      <c r="BA8" s="8">
        <f t="shared" si="10"/>
        <v>8.076232483046996E-6</v>
      </c>
      <c r="BB8" s="7"/>
      <c r="BC8" s="7">
        <f t="shared" si="11"/>
        <v>0</v>
      </c>
    </row>
    <row r="9" spans="1:55" x14ac:dyDescent="0.25">
      <c r="A9" s="98"/>
      <c r="B9">
        <v>1</v>
      </c>
      <c r="C9" t="s">
        <v>30</v>
      </c>
      <c r="D9">
        <v>7</v>
      </c>
      <c r="E9">
        <f t="shared" si="12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38">
        <f t="shared" si="13"/>
        <v>2.894E-2</v>
      </c>
      <c r="L9" s="38">
        <v>3.1E-4</v>
      </c>
      <c r="M9" s="3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4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4">
        <f t="shared" si="2"/>
        <v>0</v>
      </c>
      <c r="AH9" s="28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5"/>
        <v>2.7639035136305163E-6</v>
      </c>
      <c r="AL9">
        <f t="shared" si="16"/>
        <v>1.3819517568152583E-8</v>
      </c>
      <c r="AM9">
        <f t="shared" si="16"/>
        <v>0</v>
      </c>
      <c r="AN9">
        <f t="shared" si="17"/>
        <v>1.3819517568152583E-8</v>
      </c>
      <c r="AO9" t="s">
        <v>32</v>
      </c>
      <c r="AP9" s="58">
        <f t="shared" si="4"/>
        <v>8.294246803786242E-6</v>
      </c>
      <c r="AQ9" s="59">
        <f t="shared" si="5"/>
        <v>66.676859526668281</v>
      </c>
      <c r="AR9" s="13">
        <v>9.5</v>
      </c>
      <c r="AS9" s="13">
        <f t="shared" si="6"/>
        <v>1818.7478935719314</v>
      </c>
      <c r="AT9" s="13">
        <f t="shared" si="7"/>
        <v>18187.478935719311</v>
      </c>
      <c r="AU9" s="13">
        <v>0</v>
      </c>
      <c r="AV9" s="71">
        <f t="shared" si="8"/>
        <v>0</v>
      </c>
      <c r="AW9" s="7"/>
      <c r="AX9" s="8" t="e">
        <f t="shared" si="18"/>
        <v>#VALUE!</v>
      </c>
      <c r="AY9" s="7" t="e">
        <f t="shared" si="9"/>
        <v>#VALUE!</v>
      </c>
      <c r="AZ9" s="8" t="e">
        <f t="shared" si="19"/>
        <v>#VALUE!</v>
      </c>
      <c r="BA9" s="8">
        <f t="shared" si="10"/>
        <v>2.7639035136305163E-6</v>
      </c>
      <c r="BB9" s="7"/>
      <c r="BC9" s="7">
        <f t="shared" si="11"/>
        <v>0</v>
      </c>
    </row>
    <row r="10" spans="1:55" x14ac:dyDescent="0.25">
      <c r="A10" s="98"/>
      <c r="B10">
        <v>1</v>
      </c>
      <c r="C10" t="s">
        <v>30</v>
      </c>
      <c r="D10">
        <v>8</v>
      </c>
      <c r="E10">
        <f t="shared" si="12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38">
        <f t="shared" si="13"/>
        <v>2.894E-2</v>
      </c>
      <c r="L10" s="38">
        <v>1.6000000000000001E-4</v>
      </c>
      <c r="M10" s="3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4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4">
        <f t="shared" si="2"/>
        <v>0</v>
      </c>
      <c r="AH10" s="28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5"/>
        <v>1.2005036038088161E-6</v>
      </c>
      <c r="AL10">
        <f t="shared" si="16"/>
        <v>6.0025180190440811E-9</v>
      </c>
      <c r="AM10">
        <f t="shared" si="16"/>
        <v>0</v>
      </c>
      <c r="AN10">
        <f t="shared" si="17"/>
        <v>6.0025180190440811E-9</v>
      </c>
      <c r="AO10" t="s">
        <v>32</v>
      </c>
      <c r="AP10" s="58">
        <f t="shared" si="4"/>
        <v>3.6026124391534188E-6</v>
      </c>
      <c r="AQ10" s="59">
        <f t="shared" si="5"/>
        <v>66.676859526668281</v>
      </c>
      <c r="AR10" s="13">
        <v>9.5</v>
      </c>
      <c r="AS10" s="13">
        <f t="shared" si="6"/>
        <v>1818.7478935719314</v>
      </c>
      <c r="AT10" s="13">
        <f t="shared" si="7"/>
        <v>18187.478935719311</v>
      </c>
      <c r="AU10" s="13">
        <v>0</v>
      </c>
      <c r="AV10" s="71">
        <f t="shared" si="8"/>
        <v>0</v>
      </c>
      <c r="AW10" s="7"/>
      <c r="AX10" s="8" t="e">
        <f t="shared" si="18"/>
        <v>#VALUE!</v>
      </c>
      <c r="AY10" s="7" t="e">
        <f t="shared" si="9"/>
        <v>#VALUE!</v>
      </c>
      <c r="AZ10" s="8" t="e">
        <f t="shared" si="19"/>
        <v>#VALUE!</v>
      </c>
      <c r="BA10" s="8">
        <f t="shared" si="10"/>
        <v>1.2005036038088161E-6</v>
      </c>
      <c r="BB10" s="7"/>
      <c r="BC10" s="7">
        <f t="shared" si="11"/>
        <v>0</v>
      </c>
    </row>
    <row r="11" spans="1:55" x14ac:dyDescent="0.25">
      <c r="A11" s="98"/>
      <c r="B11">
        <v>1</v>
      </c>
      <c r="C11" t="s">
        <v>30</v>
      </c>
      <c r="D11">
        <v>9</v>
      </c>
      <c r="E11">
        <f t="shared" si="12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38">
        <f t="shared" si="13"/>
        <v>2.894E-2</v>
      </c>
      <c r="L11" s="39">
        <v>6.9999999999999994E-5</v>
      </c>
      <c r="M11" s="3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4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4">
        <f t="shared" si="2"/>
        <v>0</v>
      </c>
      <c r="AH11" s="28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5"/>
        <v>4.3399411725433714E-7</v>
      </c>
      <c r="AL11">
        <f t="shared" si="16"/>
        <v>2.1699705862716857E-9</v>
      </c>
      <c r="AM11">
        <f t="shared" si="16"/>
        <v>0</v>
      </c>
      <c r="AN11">
        <f t="shared" si="17"/>
        <v>2.1699705862716857E-9</v>
      </c>
      <c r="AO11" t="s">
        <v>32</v>
      </c>
      <c r="AP11" s="58">
        <f t="shared" si="4"/>
        <v>1.3023806012571343E-6</v>
      </c>
      <c r="AQ11" s="59">
        <f t="shared" si="5"/>
        <v>66.676859526668281</v>
      </c>
      <c r="AR11" s="13">
        <v>9.5</v>
      </c>
      <c r="AS11" s="13">
        <f t="shared" si="6"/>
        <v>1818.7478935719314</v>
      </c>
      <c r="AT11" s="13">
        <f t="shared" si="7"/>
        <v>18187.478935719311</v>
      </c>
      <c r="AU11" s="13">
        <v>0</v>
      </c>
      <c r="AV11" s="71">
        <f t="shared" si="8"/>
        <v>0</v>
      </c>
      <c r="AW11" s="7"/>
      <c r="AX11" s="8" t="e">
        <f t="shared" si="18"/>
        <v>#VALUE!</v>
      </c>
      <c r="AY11" s="7" t="e">
        <f t="shared" si="9"/>
        <v>#VALUE!</v>
      </c>
      <c r="AZ11" s="8" t="e">
        <f t="shared" si="19"/>
        <v>#VALUE!</v>
      </c>
      <c r="BA11" s="8">
        <f t="shared" si="10"/>
        <v>4.3399411725433714E-7</v>
      </c>
      <c r="BB11" s="7"/>
      <c r="BC11" s="7">
        <f t="shared" si="11"/>
        <v>0</v>
      </c>
    </row>
    <row r="12" spans="1:55" x14ac:dyDescent="0.25">
      <c r="A12" s="98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38">
        <f t="shared" si="13"/>
        <v>2.894E-2</v>
      </c>
      <c r="L12" s="39">
        <v>5.0000000000000002E-5</v>
      </c>
      <c r="M12" s="3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4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4">
        <f t="shared" si="2"/>
        <v>0</v>
      </c>
      <c r="AH12" s="28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5"/>
        <v>2.9139725491853351E-7</v>
      </c>
      <c r="AL12">
        <f t="shared" si="16"/>
        <v>1.4569862745926675E-9</v>
      </c>
      <c r="AM12">
        <f t="shared" si="16"/>
        <v>0</v>
      </c>
      <c r="AN12">
        <f t="shared" si="17"/>
        <v>1.4569862745926675E-9</v>
      </c>
      <c r="AO12" t="s">
        <v>32</v>
      </c>
      <c r="AP12" s="61">
        <f t="shared" si="4"/>
        <v>8.7445916195004701E-7</v>
      </c>
      <c r="AQ12" s="60">
        <f t="shared" si="5"/>
        <v>66.676859526668281</v>
      </c>
      <c r="AR12" s="14">
        <v>9.5</v>
      </c>
      <c r="AS12" s="13">
        <f t="shared" si="6"/>
        <v>1818.7478935719314</v>
      </c>
      <c r="AT12" s="14">
        <f t="shared" si="7"/>
        <v>18187.478935719311</v>
      </c>
      <c r="AU12" s="14">
        <v>0</v>
      </c>
      <c r="AV12" s="71">
        <f t="shared" si="8"/>
        <v>0</v>
      </c>
      <c r="AW12" s="7"/>
      <c r="AX12" s="8" t="e">
        <f t="shared" si="18"/>
        <v>#VALUE!</v>
      </c>
      <c r="AY12" s="7" t="e">
        <f t="shared" si="9"/>
        <v>#VALUE!</v>
      </c>
      <c r="AZ12" s="8" t="e">
        <f t="shared" si="19"/>
        <v>#VALUE!</v>
      </c>
      <c r="BA12" s="8">
        <f t="shared" si="10"/>
        <v>2.9139725491853351E-7</v>
      </c>
      <c r="BB12" s="7"/>
      <c r="BC12" s="7">
        <f t="shared" si="11"/>
        <v>0</v>
      </c>
    </row>
    <row r="13" spans="1:55" x14ac:dyDescent="0.25">
      <c r="A13" s="4"/>
      <c r="X13" s="1"/>
      <c r="Y13" s="1"/>
      <c r="Z13" s="1"/>
      <c r="AA13" s="1"/>
      <c r="AB13" s="1"/>
      <c r="AC13" s="1"/>
      <c r="AD13" s="1"/>
      <c r="AE13" s="1"/>
      <c r="AF13" s="1"/>
    </row>
    <row r="14" spans="1:55" s="2" customFormat="1" x14ac:dyDescent="0.25">
      <c r="A14" s="98" t="s">
        <v>71</v>
      </c>
      <c r="B14" s="5" t="s">
        <v>0</v>
      </c>
      <c r="C14" s="5" t="s">
        <v>1</v>
      </c>
      <c r="D14" s="5" t="s">
        <v>2</v>
      </c>
      <c r="E14" s="5" t="s">
        <v>34</v>
      </c>
      <c r="F14" s="37" t="s">
        <v>35</v>
      </c>
      <c r="G14" s="37" t="s">
        <v>137</v>
      </c>
      <c r="H14" s="37" t="s">
        <v>36</v>
      </c>
      <c r="I14" s="37" t="s">
        <v>37</v>
      </c>
      <c r="J14" s="5" t="s">
        <v>27</v>
      </c>
      <c r="K14" s="5" t="s">
        <v>43</v>
      </c>
      <c r="L14" s="5" t="s">
        <v>22</v>
      </c>
      <c r="M14" s="5" t="s">
        <v>24</v>
      </c>
      <c r="N14" s="5" t="s">
        <v>23</v>
      </c>
      <c r="O14" s="5" t="s">
        <v>21</v>
      </c>
      <c r="P14" s="5" t="s">
        <v>44</v>
      </c>
      <c r="Q14" s="5" t="s">
        <v>45</v>
      </c>
      <c r="R14" s="5" t="s">
        <v>85</v>
      </c>
      <c r="S14" s="5" t="s">
        <v>66</v>
      </c>
      <c r="T14" s="5" t="s">
        <v>64</v>
      </c>
      <c r="U14" s="12" t="s">
        <v>62</v>
      </c>
      <c r="V14" s="12" t="s">
        <v>107</v>
      </c>
      <c r="W14" s="12" t="s">
        <v>22</v>
      </c>
      <c r="X14" s="12" t="s">
        <v>24</v>
      </c>
      <c r="AA14" s="12" t="s">
        <v>23</v>
      </c>
      <c r="AB14" s="3"/>
      <c r="AC14" s="12" t="s">
        <v>45</v>
      </c>
      <c r="AD14" s="12" t="s">
        <v>77</v>
      </c>
      <c r="AE14" s="12" t="s">
        <v>125</v>
      </c>
      <c r="AF14" s="3"/>
      <c r="AG14" s="3"/>
      <c r="AP14" s="22"/>
      <c r="AQ14" s="67" t="s">
        <v>21</v>
      </c>
      <c r="AR14" s="67" t="s">
        <v>135</v>
      </c>
      <c r="AS14" s="68" t="s">
        <v>115</v>
      </c>
      <c r="AT14" s="40"/>
      <c r="AU14" s="40"/>
    </row>
    <row r="15" spans="1:55" x14ac:dyDescent="0.25">
      <c r="A15" s="98"/>
      <c r="B15">
        <v>1</v>
      </c>
      <c r="C15" t="s">
        <v>30</v>
      </c>
      <c r="D15">
        <v>1</v>
      </c>
      <c r="E15" t="s">
        <v>38</v>
      </c>
      <c r="F15" s="38" t="s">
        <v>39</v>
      </c>
      <c r="G15" s="38">
        <f>G16</f>
        <v>240</v>
      </c>
      <c r="H15" s="38">
        <v>8.2000000000000003E-2</v>
      </c>
      <c r="I15" s="38" t="s">
        <v>33</v>
      </c>
      <c r="J15">
        <f>P15*$U$15</f>
        <v>4.1019300000000002E-3</v>
      </c>
      <c r="K15">
        <f>J15*0.005</f>
        <v>2.0509650000000001E-5</v>
      </c>
      <c r="L15">
        <f>J15*$W15</f>
        <v>1.6239747221660625</v>
      </c>
      <c r="M15">
        <f t="shared" ref="M15:M20" si="22">J15*$X15</f>
        <v>16.239747221660625</v>
      </c>
      <c r="N15">
        <f t="shared" ref="N15:N20" si="23">AA15*$J15</f>
        <v>0</v>
      </c>
      <c r="O15" s="1">
        <f t="shared" ref="O15:O20" si="24">J15*$AB$16</f>
        <v>18.09675</v>
      </c>
      <c r="P15">
        <v>1.9532999999999999E-4</v>
      </c>
      <c r="Q15" s="1">
        <f>J15*$AC15</f>
        <v>0.23381001000000001</v>
      </c>
      <c r="R15">
        <v>4250</v>
      </c>
      <c r="S15">
        <v>0</v>
      </c>
      <c r="T15">
        <v>0</v>
      </c>
      <c r="U15" s="13">
        <v>21</v>
      </c>
      <c r="V15" s="13">
        <v>4.3</v>
      </c>
      <c r="W15" s="13">
        <f t="shared" ref="W15:W20" si="25">(($V15/100)*(1+$AB$16*$E$31)-$Y$16)/(((1+1/$X$23)*(14*10^(-6)))-(($J$31/$X$23+$F$31)*$V15/100))</f>
        <v>395.90503059926971</v>
      </c>
      <c r="X15" s="13">
        <f>$W15/$X$23</f>
        <v>3959.0503059926968</v>
      </c>
      <c r="Y15" s="67" t="s">
        <v>43</v>
      </c>
      <c r="Z15" s="67" t="s">
        <v>27</v>
      </c>
      <c r="AA15" s="76">
        <f t="shared" ref="AA15:AA20" si="26">IF(F15="HiddenElement",$AA$22/100/(1-$X$33)*$X$32*10^6/$X$30,0)</f>
        <v>0</v>
      </c>
      <c r="AB15" s="75" t="s">
        <v>21</v>
      </c>
      <c r="AC15" s="13">
        <f>ROUND(X15/$AT$6*120,0)</f>
        <v>57</v>
      </c>
      <c r="AD15" s="13">
        <f>J15+L15*$F$31+M15*$J$31+O15*$E$31</f>
        <v>6.293064121245898E-3</v>
      </c>
      <c r="AE15" s="59">
        <f>(1-J15/AD15)*100</f>
        <v>34.818239239744116</v>
      </c>
      <c r="AF15" s="1"/>
      <c r="AP15" s="69"/>
      <c r="AQ15" s="71">
        <f>$AQ$16/100/(1-$X$33)*$X$32*10^6/$X$30</f>
        <v>4411.7647058823532</v>
      </c>
      <c r="AR15" s="71">
        <f>$AR$16/100/(1-$X$33)*$X$32*10^6/$X$30</f>
        <v>4411.7647058823532</v>
      </c>
      <c r="AS15" s="72">
        <f>AR15+AQ15</f>
        <v>8823.5294117647063</v>
      </c>
      <c r="AT15" s="83"/>
      <c r="AU15" s="83"/>
    </row>
    <row r="16" spans="1:55" x14ac:dyDescent="0.25">
      <c r="A16" s="98"/>
      <c r="B16">
        <v>1</v>
      </c>
      <c r="C16" t="s">
        <v>30</v>
      </c>
      <c r="D16">
        <v>1</v>
      </c>
      <c r="E16" t="s">
        <v>40</v>
      </c>
      <c r="F16" s="38" t="s">
        <v>41</v>
      </c>
      <c r="G16" s="38">
        <f>80+G17</f>
        <v>240</v>
      </c>
      <c r="H16" s="38">
        <v>2.8500000000000001E-2</v>
      </c>
      <c r="I16" s="38" t="s">
        <v>33</v>
      </c>
      <c r="J16">
        <f>H16*$U$16</f>
        <v>1.7099999999999999E-3</v>
      </c>
      <c r="K16">
        <f t="shared" ref="K16:K20" si="27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ref="Q16:Q20" si="28">J16*$AC16</f>
        <v>2.7359999999999999E-2</v>
      </c>
      <c r="R16">
        <f>X16</f>
        <v>1127.3176271832149</v>
      </c>
      <c r="S16">
        <v>0</v>
      </c>
      <c r="T16">
        <v>0</v>
      </c>
      <c r="U16" s="13">
        <v>0.06</v>
      </c>
      <c r="V16" s="13">
        <v>1.8</v>
      </c>
      <c r="W16" s="13">
        <f t="shared" si="25"/>
        <v>112.73176271832151</v>
      </c>
      <c r="X16" s="13">
        <f>$W16/$X$23</f>
        <v>1127.3176271832149</v>
      </c>
      <c r="Y16" s="16">
        <v>5.0000000000000001E-3</v>
      </c>
      <c r="Z16" s="16">
        <v>1</v>
      </c>
      <c r="AA16" s="76">
        <f t="shared" si="26"/>
        <v>0</v>
      </c>
      <c r="AB16" s="45">
        <f>$AB$17/100/(1-$X$33)*$X$32*10^6/$X$30</f>
        <v>4411.7647058823532</v>
      </c>
      <c r="AC16" s="13">
        <f t="shared" ref="AC16:AC20" si="29">ROUND(X16/$AT$6*120,0)</f>
        <v>16</v>
      </c>
      <c r="AD16" s="13">
        <f t="shared" ref="AD16:AD20" si="30">J16+L16*$F$31+M16*$J$31+O16*$E$31</f>
        <v>2.1242656885690431E-3</v>
      </c>
      <c r="AE16" s="59">
        <f t="shared" ref="AE16:AE20" si="31">(1-J16/AD16)*100</f>
        <v>19.501594871030591</v>
      </c>
      <c r="AF16" s="1"/>
      <c r="AP16" s="70" t="s">
        <v>136</v>
      </c>
      <c r="AQ16" s="73">
        <v>10</v>
      </c>
      <c r="AR16" s="73">
        <v>10</v>
      </c>
      <c r="AS16" s="74">
        <f>AR16+AQ16</f>
        <v>20</v>
      </c>
      <c r="AT16" s="84"/>
      <c r="AU16" s="84"/>
    </row>
    <row r="17" spans="1:50" x14ac:dyDescent="0.25">
      <c r="A17" s="98"/>
      <c r="B17">
        <v>1</v>
      </c>
      <c r="C17" t="s">
        <v>30</v>
      </c>
      <c r="D17">
        <v>2</v>
      </c>
      <c r="E17" t="s">
        <v>38</v>
      </c>
      <c r="F17" s="38" t="s">
        <v>39</v>
      </c>
      <c r="G17" s="38">
        <f>G19</f>
        <v>160</v>
      </c>
      <c r="H17" s="38">
        <v>9.1999999999999998E-2</v>
      </c>
      <c r="I17" s="38" t="s">
        <v>33</v>
      </c>
      <c r="J17">
        <f>P17*$U$17</f>
        <v>5.0624699999999995E-3</v>
      </c>
      <c r="K17">
        <f t="shared" si="27"/>
        <v>2.5312349999999998E-5</v>
      </c>
      <c r="L17">
        <f t="shared" ref="L17:L20" si="32">J17*$W17</f>
        <v>2.3758024102824513</v>
      </c>
      <c r="M17">
        <f t="shared" si="22"/>
        <v>23.758024102824514</v>
      </c>
      <c r="N17">
        <f t="shared" si="23"/>
        <v>0</v>
      </c>
      <c r="O17" s="1">
        <f t="shared" si="24"/>
        <v>22.334426470588234</v>
      </c>
      <c r="P17">
        <v>2.4106999999999999E-4</v>
      </c>
      <c r="Q17" s="1">
        <f>J17*$AC17</f>
        <v>0.34424795999999996</v>
      </c>
      <c r="R17">
        <v>4250</v>
      </c>
      <c r="S17">
        <v>0</v>
      </c>
      <c r="T17">
        <v>0</v>
      </c>
      <c r="U17" s="13">
        <v>21</v>
      </c>
      <c r="V17" s="13">
        <v>4.8</v>
      </c>
      <c r="W17" s="13">
        <f t="shared" si="25"/>
        <v>469.29708428542818</v>
      </c>
      <c r="X17" s="13">
        <f t="shared" ref="X17:X20" si="33">$W17/$X$23</f>
        <v>4692.9708428542817</v>
      </c>
      <c r="Z17" s="24"/>
      <c r="AA17" s="76">
        <f t="shared" si="26"/>
        <v>0</v>
      </c>
      <c r="AB17" s="42">
        <v>10</v>
      </c>
      <c r="AC17" s="13">
        <f t="shared" si="29"/>
        <v>68</v>
      </c>
      <c r="AD17" s="13">
        <f t="shared" si="30"/>
        <v>8.1497066913228666E-3</v>
      </c>
      <c r="AE17" s="59">
        <f t="shared" si="31"/>
        <v>37.88156811348685</v>
      </c>
      <c r="AF17" s="1"/>
      <c r="AG17" s="1"/>
    </row>
    <row r="18" spans="1:50" x14ac:dyDescent="0.25">
      <c r="A18" s="98"/>
      <c r="B18">
        <v>1</v>
      </c>
      <c r="C18" t="s">
        <v>30</v>
      </c>
      <c r="D18">
        <v>2</v>
      </c>
      <c r="E18" t="s">
        <v>40</v>
      </c>
      <c r="F18" s="38" t="s">
        <v>42</v>
      </c>
      <c r="G18" s="38">
        <f>G19</f>
        <v>160</v>
      </c>
      <c r="H18" s="38">
        <v>2.8500000000000001E-2</v>
      </c>
      <c r="I18" s="38" t="s">
        <v>33</v>
      </c>
      <c r="J18">
        <f>H18*$U$18</f>
        <v>2.2800000000000003E-3</v>
      </c>
      <c r="K18">
        <f t="shared" si="27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8"/>
        <v>5.2440000000000007E-2</v>
      </c>
      <c r="R18">
        <f>X18</f>
        <v>1604.0455673709137</v>
      </c>
      <c r="S18">
        <v>0</v>
      </c>
      <c r="T18">
        <v>0</v>
      </c>
      <c r="U18" s="13">
        <v>0.08</v>
      </c>
      <c r="V18" s="13">
        <v>2.2999999999999998</v>
      </c>
      <c r="W18" s="13">
        <f t="shared" si="25"/>
        <v>160.40455673709138</v>
      </c>
      <c r="X18" s="13">
        <f t="shared" si="33"/>
        <v>1604.0455673709137</v>
      </c>
      <c r="AA18" s="76">
        <f>IF(F18="HiddenElement",$AA$22/100/(1-$X$33)*$X$32*10^6/$X$30,0)</f>
        <v>1323.5294117647056</v>
      </c>
      <c r="AB18" s="43" t="s">
        <v>120</v>
      </c>
      <c r="AC18" s="13">
        <f t="shared" si="29"/>
        <v>23</v>
      </c>
      <c r="AD18" s="13">
        <f t="shared" si="30"/>
        <v>2.9444020852838065E-3</v>
      </c>
      <c r="AE18" s="59">
        <f t="shared" si="31"/>
        <v>22.564923744773314</v>
      </c>
      <c r="AF18" s="1"/>
      <c r="AG18" s="1"/>
    </row>
    <row r="19" spans="1:50" x14ac:dyDescent="0.25">
      <c r="A19" s="98"/>
      <c r="B19">
        <v>1</v>
      </c>
      <c r="C19" t="s">
        <v>30</v>
      </c>
      <c r="D19">
        <v>2</v>
      </c>
      <c r="E19" t="s">
        <v>40</v>
      </c>
      <c r="F19" s="38" t="s">
        <v>41</v>
      </c>
      <c r="G19" s="38">
        <f>80+G20</f>
        <v>160</v>
      </c>
      <c r="H19" s="38">
        <v>5.0000000000000001E-4</v>
      </c>
      <c r="I19" s="38" t="s">
        <v>33</v>
      </c>
      <c r="J19">
        <f>H19*$U$19</f>
        <v>4.0000000000000003E-5</v>
      </c>
      <c r="K19">
        <f t="shared" si="27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8"/>
        <v>9.2000000000000003E-4</v>
      </c>
      <c r="R19">
        <f>X19</f>
        <v>1604.0455673709137</v>
      </c>
      <c r="S19">
        <v>0</v>
      </c>
      <c r="T19">
        <v>0</v>
      </c>
      <c r="U19" s="13">
        <v>0.08</v>
      </c>
      <c r="V19" s="13">
        <v>2.2999999999999998</v>
      </c>
      <c r="W19" s="13">
        <f t="shared" si="25"/>
        <v>160.40455673709138</v>
      </c>
      <c r="X19" s="13">
        <f t="shared" si="33"/>
        <v>1604.0455673709137</v>
      </c>
      <c r="AA19" s="76">
        <f t="shared" si="26"/>
        <v>0</v>
      </c>
      <c r="AB19" s="1"/>
      <c r="AC19" s="13">
        <f t="shared" si="29"/>
        <v>23</v>
      </c>
      <c r="AD19" s="13">
        <f t="shared" si="30"/>
        <v>5.1656176934803615E-5</v>
      </c>
      <c r="AE19" s="59">
        <f t="shared" si="31"/>
        <v>22.564923744773303</v>
      </c>
      <c r="AV19" s="97" t="s">
        <v>57</v>
      </c>
      <c r="AW19" s="7" t="s">
        <v>47</v>
      </c>
      <c r="AX19" s="8">
        <v>0</v>
      </c>
    </row>
    <row r="20" spans="1:50" x14ac:dyDescent="0.25">
      <c r="A20" s="98"/>
      <c r="B20">
        <v>1</v>
      </c>
      <c r="C20" t="s">
        <v>30</v>
      </c>
      <c r="D20">
        <v>3</v>
      </c>
      <c r="E20" t="s">
        <v>38</v>
      </c>
      <c r="F20" s="38" t="s">
        <v>39</v>
      </c>
      <c r="G20" s="36">
        <v>80</v>
      </c>
      <c r="H20" s="38">
        <v>6.0421565000000003E-2</v>
      </c>
      <c r="I20" s="38" t="s">
        <v>31</v>
      </c>
      <c r="J20">
        <f>P20*$U$20</f>
        <v>4.0322099999999996E-3</v>
      </c>
      <c r="K20">
        <f t="shared" si="27"/>
        <v>2.0161049999999999E-5</v>
      </c>
      <c r="L20">
        <f t="shared" si="32"/>
        <v>2.0843008232103681</v>
      </c>
      <c r="M20">
        <f t="shared" si="22"/>
        <v>20.843008232103678</v>
      </c>
      <c r="N20">
        <f t="shared" si="23"/>
        <v>0</v>
      </c>
      <c r="O20" s="1">
        <f t="shared" si="24"/>
        <v>17.789161764705881</v>
      </c>
      <c r="P20">
        <v>1.9201E-4</v>
      </c>
      <c r="Q20" s="1">
        <f t="shared" si="28"/>
        <v>0.30241574999999998</v>
      </c>
      <c r="R20">
        <v>0</v>
      </c>
      <c r="S20">
        <v>0</v>
      </c>
      <c r="T20">
        <v>0</v>
      </c>
      <c r="U20" s="14">
        <v>21</v>
      </c>
      <c r="V20" s="14">
        <v>5.0999999999999996</v>
      </c>
      <c r="W20" s="14">
        <f t="shared" si="25"/>
        <v>516.91276575633913</v>
      </c>
      <c r="X20" s="14">
        <f t="shared" si="33"/>
        <v>5169.127657563391</v>
      </c>
      <c r="AA20" s="77">
        <f t="shared" si="26"/>
        <v>0</v>
      </c>
      <c r="AC20" s="14">
        <f t="shared" si="29"/>
        <v>75</v>
      </c>
      <c r="AD20" s="14">
        <f t="shared" si="30"/>
        <v>6.689085819105817E-3</v>
      </c>
      <c r="AE20" s="60">
        <f t="shared" si="31"/>
        <v>39.719565437732463</v>
      </c>
      <c r="AV20" s="97"/>
      <c r="AW20" s="7" t="s">
        <v>48</v>
      </c>
      <c r="AX20" s="7">
        <v>0.106</v>
      </c>
    </row>
    <row r="21" spans="1:50" x14ac:dyDescent="0.25">
      <c r="A21" s="2"/>
      <c r="V21" s="79"/>
      <c r="W21" s="15"/>
      <c r="X21" s="48"/>
      <c r="Z21" s="1"/>
      <c r="AN21" s="97"/>
      <c r="AO21" s="97"/>
      <c r="AP21" s="97"/>
      <c r="AQ21" s="97"/>
      <c r="AR21" s="97"/>
      <c r="AS21" s="97"/>
      <c r="AT21" s="97"/>
      <c r="AU21" s="97"/>
      <c r="AV21" s="7" t="s">
        <v>49</v>
      </c>
      <c r="AW21" s="7">
        <v>1.28</v>
      </c>
    </row>
    <row r="22" spans="1:50" x14ac:dyDescent="0.25">
      <c r="A22" s="2"/>
      <c r="V22" s="29"/>
      <c r="W22" s="80"/>
      <c r="X22" s="17" t="s">
        <v>80</v>
      </c>
      <c r="Y22" s="35" t="s">
        <v>81</v>
      </c>
      <c r="AA22" s="42">
        <v>3</v>
      </c>
      <c r="AN22" s="97"/>
      <c r="AO22" s="97"/>
      <c r="AP22" s="97"/>
      <c r="AQ22" s="97"/>
      <c r="AR22" s="97"/>
      <c r="AS22" s="97"/>
      <c r="AT22" s="97"/>
      <c r="AU22" s="97"/>
      <c r="AV22" s="7" t="s">
        <v>50</v>
      </c>
      <c r="AW22" s="7">
        <v>0.8</v>
      </c>
    </row>
    <row r="23" spans="1:50" x14ac:dyDescent="0.25">
      <c r="A23" s="2"/>
      <c r="X23" s="14">
        <v>0.1</v>
      </c>
      <c r="Y23" s="62">
        <f>(SUMPRODUCT(V15:V20,AD15:AD20)+SUMPRODUCT(AR5:AR12,AP5:AP12))/SUM(AD15:AD20,AP5:AP12)</f>
        <v>4.4039658411029281</v>
      </c>
      <c r="AA23" s="43" t="s">
        <v>120</v>
      </c>
      <c r="AN23" s="97"/>
      <c r="AO23" s="97"/>
      <c r="AP23" s="97"/>
      <c r="AQ23" s="97"/>
      <c r="AR23" s="97"/>
      <c r="AS23" s="97"/>
      <c r="AT23" s="97"/>
      <c r="AU23" s="97"/>
      <c r="AV23" s="7" t="s">
        <v>60</v>
      </c>
      <c r="AW23" s="7">
        <f>210*3600*24/12</f>
        <v>1512000</v>
      </c>
    </row>
    <row r="24" spans="1:50" x14ac:dyDescent="0.25">
      <c r="A24" s="2"/>
      <c r="F24" s="1"/>
      <c r="G24" s="1"/>
      <c r="AN24" s="7"/>
      <c r="AO24" s="7"/>
      <c r="AP24" s="7"/>
      <c r="AQ24" s="7"/>
      <c r="AR24" s="7"/>
      <c r="AS24" s="7"/>
      <c r="AT24" s="7"/>
      <c r="AU24" s="7"/>
      <c r="AV24" s="7" t="s">
        <v>58</v>
      </c>
      <c r="AW24" s="7">
        <v>5</v>
      </c>
    </row>
    <row r="25" spans="1:50" x14ac:dyDescent="0.25">
      <c r="A25" s="98" t="s">
        <v>72</v>
      </c>
      <c r="B25" s="5" t="s">
        <v>0</v>
      </c>
      <c r="C25" s="5" t="s">
        <v>1</v>
      </c>
      <c r="D25" s="5" t="s">
        <v>34</v>
      </c>
      <c r="E25" s="5" t="s">
        <v>21</v>
      </c>
      <c r="F25" s="5" t="s">
        <v>22</v>
      </c>
      <c r="G25" s="5" t="s">
        <v>64</v>
      </c>
      <c r="H25" s="5" t="s">
        <v>65</v>
      </c>
      <c r="I25" s="5" t="s">
        <v>66</v>
      </c>
      <c r="J25" s="5" t="s">
        <v>24</v>
      </c>
      <c r="K25" s="5" t="s">
        <v>27</v>
      </c>
      <c r="L25" s="5" t="s">
        <v>43</v>
      </c>
      <c r="M25" s="5" t="s">
        <v>45</v>
      </c>
      <c r="AM25" s="9"/>
      <c r="AN25" s="9"/>
      <c r="AO25" s="9"/>
      <c r="AP25" s="9"/>
      <c r="AQ25" s="9"/>
      <c r="AR25" s="9"/>
      <c r="AS25" s="7" t="s">
        <v>59</v>
      </c>
      <c r="AT25" s="7"/>
      <c r="AU25" s="7"/>
      <c r="AV25" s="7">
        <f>1/59</f>
        <v>1.6949152542372881E-2</v>
      </c>
    </row>
    <row r="26" spans="1:50" x14ac:dyDescent="0.25">
      <c r="A26" s="98"/>
      <c r="B26">
        <v>1</v>
      </c>
      <c r="C26" t="s">
        <v>30</v>
      </c>
      <c r="D26" t="s">
        <v>67</v>
      </c>
      <c r="E26" s="24">
        <v>0</v>
      </c>
      <c r="F26" s="24">
        <v>0</v>
      </c>
      <c r="G26" s="24" t="s">
        <v>32</v>
      </c>
      <c r="H26" s="24" t="s">
        <v>32</v>
      </c>
      <c r="I26" s="24" t="s">
        <v>32</v>
      </c>
      <c r="J26" s="24" t="s">
        <v>32</v>
      </c>
      <c r="K26" s="24" t="s">
        <v>32</v>
      </c>
      <c r="L26" s="24" t="s">
        <v>32</v>
      </c>
      <c r="M26" s="24" t="s">
        <v>32</v>
      </c>
      <c r="AM26" s="10"/>
      <c r="AN26" s="10"/>
      <c r="AO26" s="10"/>
      <c r="AP26" s="10"/>
      <c r="AQ26" s="10"/>
      <c r="AR26" s="10"/>
      <c r="AS26" s="7"/>
      <c r="AT26" s="7"/>
      <c r="AU26" s="7"/>
      <c r="AV26" s="7"/>
    </row>
    <row r="27" spans="1:50" x14ac:dyDescent="0.25">
      <c r="A27" s="98"/>
      <c r="B27">
        <v>1</v>
      </c>
      <c r="C27" t="s">
        <v>30</v>
      </c>
      <c r="D27" t="s">
        <v>68</v>
      </c>
      <c r="E27" s="24">
        <f>E28*$K$27</f>
        <v>149.46818795927152</v>
      </c>
      <c r="F27" s="24">
        <f>F28*$K$27</f>
        <v>2.0344186930067711</v>
      </c>
      <c r="G27" s="24">
        <f>G28*$K$27</f>
        <v>20.344186930067711</v>
      </c>
      <c r="H27" s="24" t="s">
        <v>32</v>
      </c>
      <c r="I27" s="24" t="s">
        <v>32</v>
      </c>
      <c r="J27" s="24" t="s">
        <v>32</v>
      </c>
      <c r="K27" s="1">
        <f>$P$33/$O$28/(1+$E$28*$E$31+$F$28*$F$31+$G$28*$G$31)</f>
        <v>3.3879455937434876E-2</v>
      </c>
      <c r="L27" s="24">
        <f>K27*$Y$16</f>
        <v>1.6939727968717439E-4</v>
      </c>
      <c r="M27" s="24">
        <f>M28*$K$27</f>
        <v>8.4698639843587191</v>
      </c>
      <c r="N27" s="64" t="s">
        <v>130</v>
      </c>
      <c r="O27" s="17" t="s">
        <v>69</v>
      </c>
      <c r="P27" s="17" t="s">
        <v>83</v>
      </c>
      <c r="Q27" s="17" t="s">
        <v>82</v>
      </c>
      <c r="R27" s="99" t="s">
        <v>46</v>
      </c>
      <c r="S27" s="7" t="s">
        <v>47</v>
      </c>
      <c r="T27" s="8">
        <v>2.6499999999999999E-8</v>
      </c>
      <c r="AM27" s="10"/>
      <c r="AN27" s="10"/>
      <c r="AO27" s="10"/>
      <c r="AP27" s="10"/>
      <c r="AQ27" s="10"/>
      <c r="AR27" s="10"/>
      <c r="AS27" s="7"/>
      <c r="AT27" s="7"/>
      <c r="AU27" s="7"/>
      <c r="AV27" s="7"/>
    </row>
    <row r="28" spans="1:50" x14ac:dyDescent="0.25">
      <c r="E28" s="46">
        <f>AB16</f>
        <v>4411.7647058823532</v>
      </c>
      <c r="F28" s="47">
        <f>(($Q$28/100)*(1+$E$28*$E$31)-$Y$16)/((1+1/$P$28)*(14*10^-6-$J$31*$Q$28/100))</f>
        <v>60.04874153716424</v>
      </c>
      <c r="G28" s="47">
        <f>F28/$P$28</f>
        <v>600.48741537164233</v>
      </c>
      <c r="H28" s="18"/>
      <c r="I28" s="18"/>
      <c r="J28" s="18"/>
      <c r="K28" s="18"/>
      <c r="L28" s="18"/>
      <c r="M28" s="19">
        <v>250</v>
      </c>
      <c r="N28" s="65">
        <f>SUM(AK5:AK12,J15:J20)/K27</f>
        <v>0.59363241585441173</v>
      </c>
      <c r="O28" s="14">
        <v>0.8</v>
      </c>
      <c r="P28" s="14">
        <v>0.1</v>
      </c>
      <c r="Q28" s="14">
        <v>1.2</v>
      </c>
      <c r="R28" s="99"/>
      <c r="S28" s="7" t="s">
        <v>48</v>
      </c>
      <c r="T28" s="7">
        <v>0.106</v>
      </c>
      <c r="AM28" s="10" t="s">
        <v>73</v>
      </c>
      <c r="AN28" s="10"/>
      <c r="AO28" s="10"/>
      <c r="AP28" s="10"/>
      <c r="AQ28" s="10"/>
      <c r="AR28" s="10"/>
      <c r="AS28" s="7"/>
      <c r="AT28" s="7"/>
      <c r="AU28" s="7"/>
      <c r="AV28" s="7"/>
    </row>
    <row r="29" spans="1:50" x14ac:dyDescent="0.25">
      <c r="F29" s="1"/>
      <c r="R29" s="99"/>
      <c r="S29" s="7" t="s">
        <v>49</v>
      </c>
      <c r="T29" s="7">
        <v>1.28</v>
      </c>
      <c r="W29" s="40" t="s">
        <v>119</v>
      </c>
      <c r="X29" s="41">
        <v>180</v>
      </c>
      <c r="AM29" s="11" t="s">
        <v>74</v>
      </c>
      <c r="AN29" s="11"/>
      <c r="AO29" s="11"/>
      <c r="AP29" s="11"/>
      <c r="AQ29" s="11"/>
      <c r="AR29" s="11"/>
      <c r="AS29" s="7"/>
      <c r="AT29" s="7"/>
      <c r="AU29" s="7"/>
      <c r="AV29" s="7"/>
    </row>
    <row r="30" spans="1:50" x14ac:dyDescent="0.25">
      <c r="D30" s="23" t="s">
        <v>78</v>
      </c>
      <c r="F30" s="1"/>
      <c r="O30" s="30" t="s">
        <v>134</v>
      </c>
      <c r="P30" s="57">
        <f>K27+SUM(J15:J20)+SUM(AK5:AK12)</f>
        <v>5.3991399213407433E-2</v>
      </c>
      <c r="R30" s="99"/>
      <c r="S30" s="7" t="s">
        <v>50</v>
      </c>
      <c r="T30" s="7">
        <v>0.8</v>
      </c>
      <c r="W30" s="40" t="s">
        <v>116</v>
      </c>
      <c r="X30" s="41">
        <v>340</v>
      </c>
      <c r="AM30" s="11"/>
      <c r="AN30" s="11"/>
      <c r="AO30" s="11"/>
      <c r="AP30" s="11"/>
      <c r="AQ30" s="11"/>
      <c r="AR30" s="11"/>
      <c r="AS30" s="7"/>
      <c r="AT30" s="7"/>
      <c r="AU30" s="7"/>
      <c r="AV30" s="7"/>
    </row>
    <row r="31" spans="1:50" x14ac:dyDescent="0.25">
      <c r="D31" s="20" t="s">
        <v>79</v>
      </c>
      <c r="E31" s="20">
        <f xml:space="preserve"> (0.000001*12) / 0.42</f>
        <v>2.8571428571428574E-5</v>
      </c>
      <c r="F31" s="21">
        <f>( 0.000001*14) / 0.135</f>
        <v>1.037037037037037E-4</v>
      </c>
      <c r="G31" s="21">
        <f>62*10^-6</f>
        <v>6.2000000000000003E-5</v>
      </c>
      <c r="J31" s="21">
        <f>( 0.000001*14) / 0.151</f>
        <v>9.2715231788079476E-5</v>
      </c>
      <c r="R31" s="99"/>
      <c r="S31" s="7" t="s">
        <v>51</v>
      </c>
      <c r="T31" s="7">
        <f>271*3600 * 24 /12</f>
        <v>1951200</v>
      </c>
      <c r="W31" s="30" t="s">
        <v>117</v>
      </c>
      <c r="X31" s="32">
        <v>12</v>
      </c>
      <c r="AM31" s="10" t="s">
        <v>75</v>
      </c>
      <c r="AN31" s="10"/>
      <c r="AO31" s="10"/>
      <c r="AP31" s="10"/>
      <c r="AQ31" s="10"/>
      <c r="AR31" s="10"/>
      <c r="AS31" s="7"/>
      <c r="AT31" s="7"/>
      <c r="AU31" s="7"/>
      <c r="AV31" s="7"/>
    </row>
    <row r="32" spans="1:50" x14ac:dyDescent="0.25">
      <c r="D32" s="20" t="s">
        <v>76</v>
      </c>
      <c r="E32" s="20">
        <f>E26*E31</f>
        <v>0</v>
      </c>
      <c r="F32" s="21">
        <f>F26*F31</f>
        <v>0</v>
      </c>
      <c r="G32" s="21"/>
      <c r="O32" s="30" t="s">
        <v>129</v>
      </c>
      <c r="P32" s="57">
        <f>E26*E31+F26*F31</f>
        <v>0</v>
      </c>
      <c r="R32" s="99"/>
      <c r="S32" s="9" t="s">
        <v>52</v>
      </c>
      <c r="T32" s="7">
        <v>1.557936E-2</v>
      </c>
      <c r="W32" s="30" t="s">
        <v>118</v>
      </c>
      <c r="X32" s="32">
        <v>12</v>
      </c>
    </row>
    <row r="33" spans="1:24" x14ac:dyDescent="0.25">
      <c r="O33" s="30" t="s">
        <v>108</v>
      </c>
      <c r="P33" s="57">
        <f t="array" ref="P33">SUM(J15:J20,AK5:AK12)+SUM(AF5:AF12*F31,L15:L20*F31)+SUM(AH5:AH12*J31,M15:M20*J31)+SUM(AE5:AE12*E31,O15:O20*E31)+SUM(N15:N20*E31,AG5:AG12*E31)</f>
        <v>3.1697833549141685E-2</v>
      </c>
      <c r="W33" s="30" t="s">
        <v>121</v>
      </c>
      <c r="X33" s="44">
        <v>0.2</v>
      </c>
    </row>
    <row r="34" spans="1:24" x14ac:dyDescent="0.25">
      <c r="O34" s="30" t="s">
        <v>109</v>
      </c>
      <c r="P34" s="31">
        <f>K27+E27*E31+F27*F31+G27*G31</f>
        <v>3.9622291936427113E-2</v>
      </c>
    </row>
    <row r="35" spans="1:24" ht="15" customHeight="1" x14ac:dyDescent="0.25">
      <c r="A35" s="100" t="s">
        <v>152</v>
      </c>
      <c r="B35" s="5" t="s">
        <v>0</v>
      </c>
      <c r="C35" s="5" t="s">
        <v>1</v>
      </c>
      <c r="D35" s="5" t="s">
        <v>141</v>
      </c>
      <c r="E35" s="5" t="s">
        <v>142</v>
      </c>
      <c r="F35" s="5" t="s">
        <v>143</v>
      </c>
      <c r="G35" s="5" t="s">
        <v>144</v>
      </c>
      <c r="H35" s="5" t="s">
        <v>145</v>
      </c>
      <c r="I35" s="5" t="s">
        <v>146</v>
      </c>
      <c r="J35" s="5" t="s">
        <v>147</v>
      </c>
      <c r="K35" s="5" t="s">
        <v>148</v>
      </c>
      <c r="L35" s="5" t="s">
        <v>149</v>
      </c>
      <c r="M35" s="5" t="s">
        <v>150</v>
      </c>
      <c r="O35" s="30" t="s">
        <v>126</v>
      </c>
      <c r="P35" s="31">
        <f>P34+P33+P32</f>
        <v>7.1320125485568792E-2</v>
      </c>
      <c r="Q35" s="27"/>
    </row>
    <row r="36" spans="1:24" x14ac:dyDescent="0.25">
      <c r="A36" s="100"/>
      <c r="B36">
        <v>1</v>
      </c>
      <c r="C36" t="s">
        <v>30</v>
      </c>
      <c r="D36" t="s">
        <v>151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2"/>
      <c r="P36" s="33"/>
      <c r="Q36" s="1"/>
    </row>
    <row r="37" spans="1:24" x14ac:dyDescent="0.25">
      <c r="O37" s="30" t="s">
        <v>132</v>
      </c>
      <c r="P37" s="34">
        <f>1-SUM($AK$5:$AK$12,$J$15:$J$20)/$P$33</f>
        <v>0.36551047740241704</v>
      </c>
    </row>
    <row r="38" spans="1:24" x14ac:dyDescent="0.25">
      <c r="O38" s="30" t="s">
        <v>133</v>
      </c>
      <c r="P38" s="34">
        <f>1-$K$27/$P$34</f>
        <v>0.14493952061648685</v>
      </c>
    </row>
    <row r="39" spans="1:24" x14ac:dyDescent="0.25">
      <c r="O39" s="30" t="s">
        <v>110</v>
      </c>
      <c r="P39" s="34">
        <f>1-SUM($AK$5:$AK$12,$J$15:$J$20)/($P$33+N28/(1+N28)*P32)</f>
        <v>0.36551047740241704</v>
      </c>
    </row>
    <row r="40" spans="1:24" x14ac:dyDescent="0.25">
      <c r="O40" s="30" t="s">
        <v>111</v>
      </c>
      <c r="P40" s="34">
        <f>1-$K$27/($P$34+1/(1+N28)*P32)</f>
        <v>0.14493952061648685</v>
      </c>
    </row>
    <row r="42" spans="1:24" x14ac:dyDescent="0.25">
      <c r="O42" s="30" t="s">
        <v>128</v>
      </c>
      <c r="P42" s="63" t="e">
        <f>(F26*14*10^-6)/(E26*E31+F26*F31)*100</f>
        <v>#DIV/0!</v>
      </c>
    </row>
    <row r="43" spans="1:24" x14ac:dyDescent="0.25">
      <c r="O43" s="30" t="s">
        <v>127</v>
      </c>
      <c r="P43" s="63" t="e">
        <f>($Y$23*$P$33+$Q$28*$P$34+$P$32*$P$42)/$P$35</f>
        <v>#DIV/0!</v>
      </c>
    </row>
    <row r="44" spans="1:24" x14ac:dyDescent="0.25">
      <c r="O44" s="30" t="s">
        <v>131</v>
      </c>
      <c r="P44" s="63">
        <f>($Y$23*$P$33+$Q$28*$P$34)/($P$33+$P$34)</f>
        <v>2.6239848182679681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66"/>
  <sheetViews>
    <sheetView topLeftCell="AF4" workbookViewId="0">
      <selection activeCell="AK15" sqref="AK15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  <col min="46" max="48" width="12" customWidth="1"/>
  </cols>
  <sheetData>
    <row r="1" spans="1:56" x14ac:dyDescent="0.25">
      <c r="A1" s="49" t="s">
        <v>112</v>
      </c>
      <c r="B1" s="50" t="s">
        <v>113</v>
      </c>
      <c r="C1" s="51"/>
      <c r="E1" s="55" t="s">
        <v>138</v>
      </c>
      <c r="W1" s="92"/>
      <c r="X1" s="93"/>
    </row>
    <row r="2" spans="1:56" s="29" customFormat="1" ht="15.75" thickBot="1" x14ac:dyDescent="0.3">
      <c r="A2" s="52" t="s">
        <v>112</v>
      </c>
      <c r="B2" s="53" t="s">
        <v>114</v>
      </c>
      <c r="C2" s="54"/>
      <c r="E2" s="56">
        <f xml:space="preserve"> 76.1/12*24*3600</f>
        <v>547920</v>
      </c>
      <c r="W2" s="94"/>
      <c r="X2" s="94"/>
    </row>
    <row r="4" spans="1:56" s="2" customFormat="1" ht="15" customHeight="1" x14ac:dyDescent="0.25">
      <c r="A4" s="98" t="s">
        <v>70</v>
      </c>
      <c r="B4" s="5" t="s">
        <v>0</v>
      </c>
      <c r="C4" s="5" t="s">
        <v>1</v>
      </c>
      <c r="D4" s="5" t="s">
        <v>2</v>
      </c>
      <c r="E4" s="5" t="s">
        <v>124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7" t="s">
        <v>8</v>
      </c>
      <c r="L4" s="37" t="s">
        <v>9</v>
      </c>
      <c r="M4" s="37" t="s">
        <v>10</v>
      </c>
      <c r="N4" s="5" t="s">
        <v>90</v>
      </c>
      <c r="O4" s="5" t="s">
        <v>91</v>
      </c>
      <c r="P4" s="5" t="s">
        <v>86</v>
      </c>
      <c r="Q4" s="5" t="s">
        <v>87</v>
      </c>
      <c r="R4" s="5" t="s">
        <v>88</v>
      </c>
      <c r="S4" s="5" t="s">
        <v>89</v>
      </c>
      <c r="T4" s="5" t="s">
        <v>11</v>
      </c>
      <c r="U4" s="5" t="s">
        <v>12</v>
      </c>
      <c r="V4" s="5" t="s">
        <v>13</v>
      </c>
      <c r="W4" s="5" t="s">
        <v>169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96" t="s">
        <v>177</v>
      </c>
      <c r="AP4" s="12" t="s">
        <v>77</v>
      </c>
      <c r="AQ4" s="12" t="s">
        <v>125</v>
      </c>
      <c r="AR4" s="12" t="s">
        <v>107</v>
      </c>
      <c r="AS4" s="12" t="s">
        <v>22</v>
      </c>
      <c r="AT4" s="12" t="s">
        <v>24</v>
      </c>
      <c r="AU4" s="12" t="s">
        <v>159</v>
      </c>
      <c r="AV4" s="85" t="s">
        <v>160</v>
      </c>
      <c r="AW4" s="85" t="s">
        <v>168</v>
      </c>
      <c r="AX4" s="6" t="s">
        <v>63</v>
      </c>
      <c r="AY4" s="6" t="s">
        <v>53</v>
      </c>
      <c r="AZ4" s="6" t="s">
        <v>54</v>
      </c>
      <c r="BA4" s="6" t="s">
        <v>55</v>
      </c>
      <c r="BB4" s="6" t="s">
        <v>56</v>
      </c>
      <c r="BC4" s="6"/>
      <c r="BD4" s="6" t="s">
        <v>61</v>
      </c>
    </row>
    <row r="5" spans="1:56" x14ac:dyDescent="0.25">
      <c r="A5" s="98"/>
      <c r="B5">
        <v>1</v>
      </c>
      <c r="C5" t="s">
        <v>30</v>
      </c>
      <c r="D5">
        <v>3</v>
      </c>
      <c r="E5">
        <f>(10-D5)*$E$2</f>
        <v>3835440</v>
      </c>
      <c r="F5" s="38">
        <f>INPUTS!F5</f>
        <v>1570000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38">
        <f>J5-M5</f>
        <v>2.8899999999999999E-2</v>
      </c>
      <c r="L5" s="38">
        <f>INPUTS!L5</f>
        <v>9.2499999999999999E-2</v>
      </c>
      <c r="M5" s="3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 t="s">
        <v>32</v>
      </c>
      <c r="X5">
        <v>4.0000000000000001E-3</v>
      </c>
      <c r="Y5">
        <v>21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AK5*$AQ$37</f>
        <v>11.878458219539626</v>
      </c>
      <c r="AF5" s="1">
        <f t="shared" ref="AF5:AF12" si="1">AK5*$AS5</f>
        <v>0.99652622317307915</v>
      </c>
      <c r="AG5" s="1">
        <f t="shared" ref="AG5:AG12" si="2">AK5*$AV5</f>
        <v>5.9392291097698129</v>
      </c>
      <c r="AH5" s="28">
        <f t="shared" ref="AH5:AH12" si="3">AK5*$AT5</f>
        <v>9.9652622317307902</v>
      </c>
      <c r="AI5" s="1">
        <f>BA5</f>
        <v>2.0180134110471437E-3</v>
      </c>
      <c r="AJ5" s="1">
        <f>BD5</f>
        <v>1.3244862745926676E-6</v>
      </c>
      <c r="AK5" s="1">
        <f>AI5+AJ5</f>
        <v>2.0193378973217364E-3</v>
      </c>
      <c r="AL5" s="1">
        <f>AI5*0.005</f>
        <v>1.0090067055235718E-5</v>
      </c>
      <c r="AM5">
        <f>AJ5*0.005</f>
        <v>6.6224313729633385E-9</v>
      </c>
      <c r="AN5">
        <f>AL5+AM5</f>
        <v>1.0096689486608681E-5</v>
      </c>
      <c r="AO5">
        <f>INPUTS!AO5</f>
        <v>1800</v>
      </c>
      <c r="AP5" s="58">
        <f t="shared" ref="AP5:AP34" si="4">AK5+(AE5+AG5)*$E$53+AF5*$F$53+AH5*$J$53</f>
        <v>3.5556897359839751E-3</v>
      </c>
      <c r="AQ5" s="88">
        <f t="shared" ref="AQ5:AQ34" si="5">(1-AK5/AP5)*100</f>
        <v>43.208264858268919</v>
      </c>
      <c r="AR5" s="58">
        <f>INPUTS!AR5</f>
        <v>4.5999999999999996</v>
      </c>
      <c r="AS5" s="58">
        <f t="shared" ref="AS5:AS12" si="6">(($AR5/100)*(1+($AQ$37+$AV5)*$E$53)-$Y$38)/(((1+1/$X$45)*(14*10^(-6)))-(($J$53/$X$45+$F$53)*$AR5/100))</f>
        <v>493.49156696102204</v>
      </c>
      <c r="AT5" s="58">
        <f t="shared" ref="AT5:AT12" si="7">$AS5/$X$45</f>
        <v>4934.91566961022</v>
      </c>
      <c r="AU5" s="13">
        <v>5</v>
      </c>
      <c r="AV5" s="71">
        <f t="shared" ref="AV5:AV34" si="8">$AU5/100/(1-$AW5/100)*$X$54*10^6/$X$52</f>
        <v>2941.1764705882351</v>
      </c>
      <c r="AW5" s="71">
        <v>40</v>
      </c>
      <c r="AX5" s="7">
        <v>851425</v>
      </c>
      <c r="AY5" s="8">
        <f>$T$49+$T$50*$T$52*(J5)^$T$51</f>
        <v>9.1058115591388438E-4</v>
      </c>
      <c r="AZ5" s="7">
        <f t="shared" ref="AZ5:AZ12" si="9">J5*Z5</f>
        <v>2.6054999999999997E-3</v>
      </c>
      <c r="BA5" s="8">
        <f>((AZ5-AY5)/($T$53-AX5))*(F5-$T$53)+AZ5</f>
        <v>2.0180134110471437E-3</v>
      </c>
      <c r="BB5" s="8">
        <f>$T$49+$T$50*0.6*(L5)^$T$51</f>
        <v>3.0208025791752585E-3</v>
      </c>
      <c r="BC5" s="7"/>
      <c r="BD5" s="7">
        <f t="shared" ref="BD5:BD12" si="10">$AY$42*$AX$44*$AX$46*(M5)^$AX$43</f>
        <v>1.3244862745926676E-6</v>
      </c>
    </row>
    <row r="6" spans="1:56" x14ac:dyDescent="0.25">
      <c r="A6" s="98"/>
      <c r="B6">
        <v>1</v>
      </c>
      <c r="C6" t="s">
        <v>30</v>
      </c>
      <c r="D6">
        <v>4</v>
      </c>
      <c r="E6">
        <f t="shared" ref="E6:E11" si="11">(10-D6)*$E$2</f>
        <v>3287520</v>
      </c>
      <c r="F6" s="38">
        <f>INPUTS!F6</f>
        <v>757000</v>
      </c>
      <c r="G6">
        <v>0</v>
      </c>
      <c r="H6" t="s">
        <v>31</v>
      </c>
      <c r="I6" t="s">
        <v>31</v>
      </c>
      <c r="J6">
        <f>J5-M6</f>
        <v>2.894E-2</v>
      </c>
      <c r="K6" s="38">
        <f t="shared" ref="K6:K12" si="12">J6-M6</f>
        <v>2.8930000000000001E-2</v>
      </c>
      <c r="L6" s="38">
        <f>INPUTS!L6</f>
        <v>2.6499999999999999E-2</v>
      </c>
      <c r="M6" s="3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 t="s">
        <v>32</v>
      </c>
      <c r="X6" t="s">
        <v>32</v>
      </c>
      <c r="Y6" t="str">
        <f>INPUTS!Y6</f>
        <v>NA</v>
      </c>
      <c r="Z6" t="str">
        <f>INPUTS!Z6</f>
        <v>NA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2.9905325409410901</v>
      </c>
      <c r="AF6" s="1">
        <f t="shared" si="1"/>
        <v>0.49108809043492513</v>
      </c>
      <c r="AG6" s="1">
        <f t="shared" si="2"/>
        <v>3.5886390491293083</v>
      </c>
      <c r="AH6" s="28">
        <f t="shared" si="3"/>
        <v>4.9108809043492512</v>
      </c>
      <c r="AI6" s="1">
        <f>BB6</f>
        <v>5.0822173451967067E-4</v>
      </c>
      <c r="AJ6" s="1">
        <f>BD6</f>
        <v>1.6879744031468265E-7</v>
      </c>
      <c r="AK6">
        <f t="shared" ref="AK6:AK12" si="13">AI6+AJ6</f>
        <v>5.0839053195998534E-4</v>
      </c>
      <c r="AL6">
        <f t="shared" ref="AL6:AM12" si="14">AI6*0.005</f>
        <v>2.5411086725983532E-6</v>
      </c>
      <c r="AM6">
        <f t="shared" si="14"/>
        <v>8.4398720157341326E-10</v>
      </c>
      <c r="AN6">
        <f t="shared" ref="AN6:AN12" si="15">AL6+AM6</f>
        <v>2.5419526597999268E-6</v>
      </c>
      <c r="AO6">
        <f>INPUTS!AO6</f>
        <v>1800</v>
      </c>
      <c r="AP6" s="58">
        <f t="shared" si="4"/>
        <v>1.2026079782581291E-3</v>
      </c>
      <c r="AQ6" s="88">
        <f t="shared" si="5"/>
        <v>57.725997070438204</v>
      </c>
      <c r="AR6" s="58">
        <f>INPUTS!AR6</f>
        <v>6.5</v>
      </c>
      <c r="AS6" s="58">
        <f t="shared" si="6"/>
        <v>965.96623965762194</v>
      </c>
      <c r="AT6" s="58">
        <f t="shared" si="7"/>
        <v>9659.6623965762192</v>
      </c>
      <c r="AU6" s="13">
        <v>8</v>
      </c>
      <c r="AV6" s="71">
        <f t="shared" si="8"/>
        <v>7058.8235294117649</v>
      </c>
      <c r="AW6" s="71">
        <v>60</v>
      </c>
      <c r="AX6" s="7">
        <v>818263</v>
      </c>
      <c r="AY6" s="8">
        <f>$T$49+$T$50*$T$52*(J6)^$T$51</f>
        <v>9.1017858127080242E-4</v>
      </c>
      <c r="AZ6" s="7" t="e">
        <f t="shared" si="9"/>
        <v>#VALUE!</v>
      </c>
      <c r="BA6" s="8" t="e">
        <f>((AZ6-AY6)/($T$53-AX6))*(F6-$T$53)+AZ6</f>
        <v>#VALUE!</v>
      </c>
      <c r="BB6" s="8">
        <f>$T$49+$T$50*0.5*(L6)^$T$51</f>
        <v>5.0822173451967067E-4</v>
      </c>
      <c r="BC6" s="7"/>
      <c r="BD6" s="7">
        <f t="shared" si="10"/>
        <v>1.6879744031468265E-7</v>
      </c>
    </row>
    <row r="7" spans="1:56" x14ac:dyDescent="0.25">
      <c r="A7" s="98"/>
      <c r="B7">
        <v>1</v>
      </c>
      <c r="C7" t="s">
        <v>30</v>
      </c>
      <c r="D7">
        <v>5</v>
      </c>
      <c r="E7">
        <f t="shared" si="11"/>
        <v>2739600</v>
      </c>
      <c r="F7" s="38">
        <f>INPUTS!F7</f>
        <v>0</v>
      </c>
      <c r="G7">
        <v>0</v>
      </c>
      <c r="H7" t="s">
        <v>31</v>
      </c>
      <c r="I7" t="s">
        <v>33</v>
      </c>
      <c r="J7">
        <f>J6-M7</f>
        <v>2.894E-2</v>
      </c>
      <c r="K7" s="38">
        <f t="shared" si="12"/>
        <v>2.894E-2</v>
      </c>
      <c r="L7" s="38">
        <f>INPUTS!L7</f>
        <v>2E-3</v>
      </c>
      <c r="M7" s="3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v>4.7804505939809229E-3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6.5815234465693123E-2</v>
      </c>
      <c r="AF7" s="1">
        <f t="shared" si="1"/>
        <v>2.1145753411309958E-2</v>
      </c>
      <c r="AG7" s="1">
        <f t="shared" si="2"/>
        <v>0</v>
      </c>
      <c r="AH7" s="28">
        <f t="shared" si="3"/>
        <v>0.21145753411309956</v>
      </c>
      <c r="AI7" s="1">
        <f>BB7</f>
        <v>1.1188589859167832E-5</v>
      </c>
      <c r="AJ7" s="1">
        <v>0</v>
      </c>
      <c r="AK7">
        <f t="shared" si="13"/>
        <v>1.1188589859167832E-5</v>
      </c>
      <c r="AL7">
        <f t="shared" si="14"/>
        <v>5.5942949295839161E-8</v>
      </c>
      <c r="AM7">
        <f t="shared" si="14"/>
        <v>0</v>
      </c>
      <c r="AN7">
        <f t="shared" si="15"/>
        <v>5.5942949295839161E-8</v>
      </c>
      <c r="AO7">
        <f>INPUTS!AO7</f>
        <v>1800</v>
      </c>
      <c r="AP7" s="58">
        <f t="shared" si="4"/>
        <v>3.4867252364606023E-5</v>
      </c>
      <c r="AQ7" s="88">
        <f t="shared" si="5"/>
        <v>67.910893172283792</v>
      </c>
      <c r="AR7" s="58">
        <f>INPUTS!AR7</f>
        <v>9.5</v>
      </c>
      <c r="AS7" s="58">
        <f t="shared" si="6"/>
        <v>1889.9390966577716</v>
      </c>
      <c r="AT7" s="59">
        <f t="shared" si="7"/>
        <v>18899.390966577714</v>
      </c>
      <c r="AU7" s="13">
        <v>0</v>
      </c>
      <c r="AV7" s="71">
        <f t="shared" si="8"/>
        <v>0</v>
      </c>
      <c r="AW7" s="71">
        <v>68</v>
      </c>
      <c r="AX7" s="7"/>
      <c r="AY7" s="8" t="e">
        <f t="shared" ref="AY7:AY12" si="16">$T$49+$T$50*$T$52*(T7*$T$54)^$T$51</f>
        <v>#VALUE!</v>
      </c>
      <c r="AZ7" s="7" t="e">
        <f t="shared" si="9"/>
        <v>#VALUE!</v>
      </c>
      <c r="BA7" s="8" t="e">
        <f t="shared" ref="BA7:BA12" si="17">AY7+((AZ7-AY7)/$T$53)*F7</f>
        <v>#VALUE!</v>
      </c>
      <c r="BB7" s="8">
        <f t="shared" ref="BB7:BB12" si="18">$T$49+$T$50*0.3*(L7)^$T$51</f>
        <v>1.1188589859167832E-5</v>
      </c>
      <c r="BC7" s="7"/>
      <c r="BD7" s="7">
        <f t="shared" si="10"/>
        <v>0</v>
      </c>
    </row>
    <row r="8" spans="1:56" x14ac:dyDescent="0.25">
      <c r="A8" s="98"/>
      <c r="B8">
        <v>1</v>
      </c>
      <c r="C8" t="s">
        <v>30</v>
      </c>
      <c r="D8">
        <v>6</v>
      </c>
      <c r="E8">
        <f t="shared" si="11"/>
        <v>2191680</v>
      </c>
      <c r="F8" s="38">
        <f>INPUTS!F8</f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38">
        <f t="shared" si="12"/>
        <v>2.894E-2</v>
      </c>
      <c r="L8" s="38">
        <f>INPUTS!L8</f>
        <v>7.2000000000000005E-4</v>
      </c>
      <c r="M8" s="3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v>6.4152407049273701E-6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1.7912645183191897E-2</v>
      </c>
      <c r="AF8" s="1">
        <f t="shared" si="1"/>
        <v>5.7551474375663898E-3</v>
      </c>
      <c r="AG8" s="1">
        <f t="shared" si="2"/>
        <v>0</v>
      </c>
      <c r="AH8" s="28">
        <f t="shared" si="3"/>
        <v>5.7551474375663887E-2</v>
      </c>
      <c r="AI8" s="1">
        <f t="shared" ref="AI8:AI12" si="20">BB8</f>
        <v>3.0451496811426225E-6</v>
      </c>
      <c r="AJ8" s="1">
        <v>0</v>
      </c>
      <c r="AK8">
        <f t="shared" si="13"/>
        <v>3.0451496811426225E-6</v>
      </c>
      <c r="AL8">
        <f t="shared" si="14"/>
        <v>1.5225748405713114E-8</v>
      </c>
      <c r="AM8">
        <f t="shared" si="14"/>
        <v>0</v>
      </c>
      <c r="AN8">
        <f t="shared" si="15"/>
        <v>1.5225748405713114E-8</v>
      </c>
      <c r="AO8" t="str">
        <f>INPUTS!AO8</f>
        <v>NA</v>
      </c>
      <c r="AP8" s="58">
        <f t="shared" si="4"/>
        <v>9.4896679346414427E-6</v>
      </c>
      <c r="AQ8" s="88">
        <f t="shared" si="5"/>
        <v>67.910893172283792</v>
      </c>
      <c r="AR8" s="58">
        <f>INPUTS!AR8</f>
        <v>9.5</v>
      </c>
      <c r="AS8" s="58">
        <f t="shared" si="6"/>
        <v>1889.9390966577716</v>
      </c>
      <c r="AT8" s="58">
        <f t="shared" si="7"/>
        <v>18899.390966577714</v>
      </c>
      <c r="AU8" s="58">
        <v>0</v>
      </c>
      <c r="AV8" s="71">
        <f t="shared" si="8"/>
        <v>0</v>
      </c>
      <c r="AW8" s="71">
        <v>68</v>
      </c>
      <c r="AX8" s="7"/>
      <c r="AY8" s="8" t="e">
        <f t="shared" si="16"/>
        <v>#VALUE!</v>
      </c>
      <c r="AZ8" s="7" t="e">
        <f t="shared" si="9"/>
        <v>#VALUE!</v>
      </c>
      <c r="BA8" s="8" t="e">
        <f t="shared" si="17"/>
        <v>#VALUE!</v>
      </c>
      <c r="BB8" s="8">
        <f t="shared" si="18"/>
        <v>3.0451496811426225E-6</v>
      </c>
      <c r="BC8" s="7"/>
      <c r="BD8" s="7">
        <f t="shared" si="10"/>
        <v>0</v>
      </c>
    </row>
    <row r="9" spans="1:56" x14ac:dyDescent="0.25">
      <c r="A9" s="98"/>
      <c r="B9">
        <v>1</v>
      </c>
      <c r="C9" t="s">
        <v>30</v>
      </c>
      <c r="D9">
        <v>7</v>
      </c>
      <c r="E9">
        <f t="shared" si="11"/>
        <v>1643760</v>
      </c>
      <c r="F9" s="38">
        <f>INPUTS!F9</f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38">
        <f t="shared" si="12"/>
        <v>2.894E-2</v>
      </c>
      <c r="L9" s="38">
        <f>INPUTS!L9</f>
        <v>3.1E-4</v>
      </c>
      <c r="M9" s="3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v>2.3349332116543619E-6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6.1942724565379036E-3</v>
      </c>
      <c r="AF9" s="1">
        <f t="shared" si="1"/>
        <v>1.9901556074634315E-3</v>
      </c>
      <c r="AG9" s="1">
        <f t="shared" si="2"/>
        <v>0</v>
      </c>
      <c r="AH9" s="28">
        <f t="shared" si="3"/>
        <v>1.9901556074634313E-2</v>
      </c>
      <c r="AI9" s="1">
        <f t="shared" si="20"/>
        <v>1.0530263176114436E-6</v>
      </c>
      <c r="AJ9" s="1">
        <v>0</v>
      </c>
      <c r="AK9">
        <f t="shared" si="13"/>
        <v>1.0530263176114436E-6</v>
      </c>
      <c r="AL9">
        <f t="shared" si="14"/>
        <v>5.2651315880572185E-9</v>
      </c>
      <c r="AM9">
        <f t="shared" si="14"/>
        <v>0</v>
      </c>
      <c r="AN9">
        <f t="shared" si="15"/>
        <v>5.2651315880572185E-9</v>
      </c>
      <c r="AO9" t="str">
        <f>INPUTS!AO9</f>
        <v>NA</v>
      </c>
      <c r="AP9" s="58">
        <f t="shared" si="4"/>
        <v>3.281569422499217E-6</v>
      </c>
      <c r="AQ9" s="88">
        <f t="shared" si="5"/>
        <v>67.910893172283792</v>
      </c>
      <c r="AR9" s="58">
        <f>INPUTS!AR9</f>
        <v>9.5</v>
      </c>
      <c r="AS9" s="58">
        <f t="shared" si="6"/>
        <v>1889.9390966577716</v>
      </c>
      <c r="AT9" s="58">
        <f t="shared" si="7"/>
        <v>18899.390966577714</v>
      </c>
      <c r="AU9" s="58">
        <v>0</v>
      </c>
      <c r="AV9" s="71">
        <f t="shared" si="8"/>
        <v>0</v>
      </c>
      <c r="AW9" s="71">
        <v>68</v>
      </c>
      <c r="AX9" s="7"/>
      <c r="AY9" s="8" t="e">
        <f t="shared" si="16"/>
        <v>#VALUE!</v>
      </c>
      <c r="AZ9" s="7" t="e">
        <f t="shared" si="9"/>
        <v>#VALUE!</v>
      </c>
      <c r="BA9" s="8" t="e">
        <f t="shared" si="17"/>
        <v>#VALUE!</v>
      </c>
      <c r="BB9" s="8">
        <f t="shared" si="18"/>
        <v>1.0530263176114436E-6</v>
      </c>
      <c r="BC9" s="7"/>
      <c r="BD9" s="7">
        <f t="shared" si="10"/>
        <v>0</v>
      </c>
    </row>
    <row r="10" spans="1:56" x14ac:dyDescent="0.25">
      <c r="A10" s="98"/>
      <c r="B10">
        <v>1</v>
      </c>
      <c r="C10" t="s">
        <v>30</v>
      </c>
      <c r="D10">
        <v>8</v>
      </c>
      <c r="E10">
        <f t="shared" si="11"/>
        <v>1095840</v>
      </c>
      <c r="F10" s="38">
        <f>INPUTS!F10</f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38">
        <f t="shared" si="12"/>
        <v>2.894E-2</v>
      </c>
      <c r="L10" s="38">
        <f>INPUTS!L10</f>
        <v>1.6000000000000001E-4</v>
      </c>
      <c r="M10" s="3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v>9.1658819653476345E-7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2.7455961848723877E-3</v>
      </c>
      <c r="AF10" s="1">
        <f t="shared" si="1"/>
        <v>8.8213162748220658E-4</v>
      </c>
      <c r="AG10" s="1">
        <f t="shared" si="2"/>
        <v>0</v>
      </c>
      <c r="AH10" s="28">
        <f t="shared" si="3"/>
        <v>8.8213162748220653E-3</v>
      </c>
      <c r="AI10" s="1">
        <f t="shared" si="20"/>
        <v>4.6675135142830591E-7</v>
      </c>
      <c r="AJ10" s="1">
        <v>0</v>
      </c>
      <c r="AK10">
        <f t="shared" si="13"/>
        <v>4.6675135142830591E-7</v>
      </c>
      <c r="AL10">
        <f t="shared" si="14"/>
        <v>2.3337567571415298E-9</v>
      </c>
      <c r="AM10">
        <f t="shared" si="14"/>
        <v>0</v>
      </c>
      <c r="AN10">
        <f t="shared" si="15"/>
        <v>2.3337567571415298E-9</v>
      </c>
      <c r="AO10" t="str">
        <f>INPUTS!AO10</f>
        <v>NA</v>
      </c>
      <c r="AP10" s="58">
        <f t="shared" si="4"/>
        <v>1.4545476567305404E-6</v>
      </c>
      <c r="AQ10" s="88">
        <f t="shared" si="5"/>
        <v>67.910893172283792</v>
      </c>
      <c r="AR10" s="58">
        <f>INPUTS!AR10</f>
        <v>9.5</v>
      </c>
      <c r="AS10" s="58">
        <f t="shared" si="6"/>
        <v>1889.9390966577716</v>
      </c>
      <c r="AT10" s="58">
        <f t="shared" si="7"/>
        <v>18899.390966577714</v>
      </c>
      <c r="AU10" s="58">
        <v>0</v>
      </c>
      <c r="AV10" s="71">
        <f t="shared" si="8"/>
        <v>0</v>
      </c>
      <c r="AW10" s="71">
        <v>68</v>
      </c>
      <c r="AX10" s="7"/>
      <c r="AY10" s="8" t="e">
        <f t="shared" si="16"/>
        <v>#VALUE!</v>
      </c>
      <c r="AZ10" s="7" t="e">
        <f t="shared" si="9"/>
        <v>#VALUE!</v>
      </c>
      <c r="BA10" s="8" t="e">
        <f t="shared" si="17"/>
        <v>#VALUE!</v>
      </c>
      <c r="BB10" s="8">
        <f t="shared" si="18"/>
        <v>4.6675135142830591E-7</v>
      </c>
      <c r="BC10" s="7"/>
      <c r="BD10" s="7">
        <f t="shared" si="10"/>
        <v>0</v>
      </c>
    </row>
    <row r="11" spans="1:56" x14ac:dyDescent="0.25">
      <c r="A11" s="98"/>
      <c r="B11">
        <v>1</v>
      </c>
      <c r="C11" t="s">
        <v>30</v>
      </c>
      <c r="D11">
        <v>9</v>
      </c>
      <c r="E11">
        <f t="shared" si="11"/>
        <v>547920</v>
      </c>
      <c r="F11" s="38">
        <f>INPUTS!F11</f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38">
        <f t="shared" si="12"/>
        <v>2.894E-2</v>
      </c>
      <c r="L11" s="38">
        <f>INPUTS!L11</f>
        <v>6.9999999999999994E-5</v>
      </c>
      <c r="M11" s="3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v>3.8709515855680863E-7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1.0547664351198613E-3</v>
      </c>
      <c r="AF11" s="1">
        <f t="shared" si="1"/>
        <v>3.3888553500781266E-4</v>
      </c>
      <c r="AG11" s="1">
        <f t="shared" si="2"/>
        <v>0</v>
      </c>
      <c r="AH11" s="28">
        <f t="shared" si="3"/>
        <v>3.3888553500781263E-3</v>
      </c>
      <c r="AI11" s="1">
        <f t="shared" si="20"/>
        <v>1.7931029397037642E-7</v>
      </c>
      <c r="AJ11" s="1">
        <v>0</v>
      </c>
      <c r="AK11">
        <f t="shared" si="13"/>
        <v>1.7931029397037642E-7</v>
      </c>
      <c r="AL11">
        <f t="shared" si="14"/>
        <v>8.9655146985188215E-10</v>
      </c>
      <c r="AM11">
        <f t="shared" si="14"/>
        <v>0</v>
      </c>
      <c r="AN11">
        <f t="shared" si="15"/>
        <v>8.9655146985188215E-10</v>
      </c>
      <c r="AO11" t="str">
        <f>INPUTS!AO11</f>
        <v>NA</v>
      </c>
      <c r="AP11" s="58">
        <f t="shared" si="4"/>
        <v>5.5878867222163193E-7</v>
      </c>
      <c r="AQ11" s="88">
        <f t="shared" si="5"/>
        <v>67.910893172283792</v>
      </c>
      <c r="AR11" s="58">
        <f>INPUTS!AR11</f>
        <v>9.5</v>
      </c>
      <c r="AS11" s="58">
        <f t="shared" si="6"/>
        <v>1889.9390966577716</v>
      </c>
      <c r="AT11" s="58">
        <f t="shared" si="7"/>
        <v>18899.390966577714</v>
      </c>
      <c r="AU11" s="58">
        <v>0</v>
      </c>
      <c r="AV11" s="71">
        <f t="shared" si="8"/>
        <v>0</v>
      </c>
      <c r="AW11" s="71">
        <v>68</v>
      </c>
      <c r="AX11" s="7"/>
      <c r="AY11" s="8" t="e">
        <f t="shared" si="16"/>
        <v>#VALUE!</v>
      </c>
      <c r="AZ11" s="7" t="e">
        <f t="shared" si="9"/>
        <v>#VALUE!</v>
      </c>
      <c r="BA11" s="8" t="e">
        <f t="shared" si="17"/>
        <v>#VALUE!</v>
      </c>
      <c r="BB11" s="8">
        <f t="shared" si="18"/>
        <v>1.7931029397037642E-7</v>
      </c>
      <c r="BC11" s="7"/>
      <c r="BD11" s="7">
        <f t="shared" si="10"/>
        <v>0</v>
      </c>
    </row>
    <row r="12" spans="1:56" x14ac:dyDescent="0.25">
      <c r="A12" s="98"/>
      <c r="B12">
        <v>1</v>
      </c>
      <c r="C12" t="s">
        <v>30</v>
      </c>
      <c r="D12">
        <v>10</v>
      </c>
      <c r="E12">
        <f>(10-D12)*$E$2</f>
        <v>0</v>
      </c>
      <c r="F12" s="38">
        <f>INPUTS!F12</f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38">
        <f t="shared" si="12"/>
        <v>2.894E-2</v>
      </c>
      <c r="L12" s="38">
        <f>INPUTS!L12</f>
        <v>5.0000000000000002E-5</v>
      </c>
      <c r="M12" s="3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v>1.9999999999999999E-7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7.4021453290852969E-4</v>
      </c>
      <c r="AF12" s="1">
        <f t="shared" si="1"/>
        <v>2.3782326556187717E-4</v>
      </c>
      <c r="AG12" s="1">
        <f t="shared" si="2"/>
        <v>0</v>
      </c>
      <c r="AH12" s="28">
        <f t="shared" si="3"/>
        <v>2.3782326556187716E-3</v>
      </c>
      <c r="AI12" s="1">
        <f t="shared" si="20"/>
        <v>1.2583647059445005E-7</v>
      </c>
      <c r="AJ12" s="1">
        <v>0</v>
      </c>
      <c r="AK12">
        <f t="shared" si="13"/>
        <v>1.2583647059445005E-7</v>
      </c>
      <c r="AL12">
        <f t="shared" si="14"/>
        <v>6.2918235297225031E-10</v>
      </c>
      <c r="AM12">
        <f t="shared" si="14"/>
        <v>0</v>
      </c>
      <c r="AN12">
        <f t="shared" si="15"/>
        <v>6.2918235297225031E-10</v>
      </c>
      <c r="AO12" t="str">
        <f>INPUTS!AO12</f>
        <v>NA</v>
      </c>
      <c r="AP12" s="58">
        <f t="shared" si="4"/>
        <v>3.9214700262632978E-7</v>
      </c>
      <c r="AQ12" s="88">
        <f t="shared" si="5"/>
        <v>67.910893172283792</v>
      </c>
      <c r="AR12" s="58">
        <f>INPUTS!AR12</f>
        <v>9.5</v>
      </c>
      <c r="AS12" s="58">
        <f t="shared" si="6"/>
        <v>1889.9390966577716</v>
      </c>
      <c r="AT12" s="58">
        <f t="shared" si="7"/>
        <v>18899.390966577714</v>
      </c>
      <c r="AU12" s="58">
        <v>0</v>
      </c>
      <c r="AV12" s="71">
        <f t="shared" si="8"/>
        <v>0</v>
      </c>
      <c r="AW12" s="71">
        <v>68</v>
      </c>
      <c r="AX12" s="7"/>
      <c r="AY12" s="8" t="e">
        <f t="shared" si="16"/>
        <v>#VALUE!</v>
      </c>
      <c r="AZ12" s="7" t="e">
        <f t="shared" si="9"/>
        <v>#VALUE!</v>
      </c>
      <c r="BA12" s="8" t="e">
        <f t="shared" si="17"/>
        <v>#VALUE!</v>
      </c>
      <c r="BB12" s="8">
        <f t="shared" si="18"/>
        <v>1.2583647059445005E-7</v>
      </c>
      <c r="BC12" s="7"/>
      <c r="BD12" s="7">
        <f t="shared" si="10"/>
        <v>0</v>
      </c>
    </row>
    <row r="13" spans="1:56" x14ac:dyDescent="0.25">
      <c r="A13" s="98"/>
      <c r="B13">
        <f>B6</f>
        <v>1</v>
      </c>
      <c r="C13" t="s">
        <v>122</v>
      </c>
      <c r="D13">
        <f>D6-3</f>
        <v>1</v>
      </c>
      <c r="E13">
        <f>E6</f>
        <v>3287520</v>
      </c>
      <c r="F13">
        <f t="shared" ref="F13:AN19" si="21">F6</f>
        <v>757000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2.6499999999999999E-2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 s="1" t="str">
        <f t="shared" ref="W13" si="22">W6</f>
        <v>NA</v>
      </c>
      <c r="X13" t="str">
        <f t="shared" si="21"/>
        <v>NA</v>
      </c>
      <c r="Y13" t="str">
        <f t="shared" si="21"/>
        <v>NA</v>
      </c>
      <c r="Z13" t="str">
        <f t="shared" si="21"/>
        <v>NA</v>
      </c>
      <c r="AA13" t="str">
        <f t="shared" si="21"/>
        <v>False</v>
      </c>
      <c r="AB13" t="str">
        <f t="shared" si="21"/>
        <v>NA</v>
      </c>
      <c r="AC13" t="str">
        <f t="shared" si="21"/>
        <v>NA</v>
      </c>
      <c r="AD13" t="str">
        <f t="shared" si="21"/>
        <v>False</v>
      </c>
      <c r="AE13">
        <f t="shared" si="21"/>
        <v>2.9905325409410901</v>
      </c>
      <c r="AF13">
        <f t="shared" si="21"/>
        <v>0.49108809043492513</v>
      </c>
      <c r="AG13">
        <f t="shared" ref="AG13" si="23">AG6</f>
        <v>3.5886390491293083</v>
      </c>
      <c r="AH13">
        <f t="shared" si="21"/>
        <v>4.9108809043492512</v>
      </c>
      <c r="AI13">
        <f t="shared" si="21"/>
        <v>5.0822173451967067E-4</v>
      </c>
      <c r="AJ13">
        <f t="shared" si="21"/>
        <v>1.6879744031468265E-7</v>
      </c>
      <c r="AK13">
        <f t="shared" si="21"/>
        <v>5.0839053195998534E-4</v>
      </c>
      <c r="AL13">
        <f t="shared" si="21"/>
        <v>2.5411086725983532E-6</v>
      </c>
      <c r="AM13">
        <f t="shared" si="21"/>
        <v>8.4398720157341326E-10</v>
      </c>
      <c r="AN13">
        <f t="shared" si="21"/>
        <v>2.5419526597999268E-6</v>
      </c>
      <c r="AO13">
        <f t="shared" ref="AO13:AO34" si="24">AO6</f>
        <v>1800</v>
      </c>
      <c r="AP13" s="58">
        <f t="shared" si="4"/>
        <v>1.2026079782581291E-3</v>
      </c>
      <c r="AQ13" s="88">
        <f t="shared" si="5"/>
        <v>57.725997070438204</v>
      </c>
      <c r="AR13" s="58">
        <f t="shared" ref="AR13" si="25">AR6</f>
        <v>6.5</v>
      </c>
      <c r="AS13" s="58">
        <f t="shared" ref="AS13" si="26">AS6</f>
        <v>965.96623965762194</v>
      </c>
      <c r="AT13" s="58">
        <f>AT6</f>
        <v>9659.6623965762192</v>
      </c>
      <c r="AU13" s="58">
        <v>0</v>
      </c>
      <c r="AV13" s="71">
        <f t="shared" si="8"/>
        <v>0</v>
      </c>
      <c r="AW13" s="71">
        <f>AW6</f>
        <v>60</v>
      </c>
      <c r="AX13" s="7"/>
      <c r="AY13" s="8"/>
      <c r="AZ13" s="7"/>
      <c r="BA13" s="8"/>
      <c r="BB13" s="8"/>
      <c r="BC13" s="7"/>
      <c r="BD13" s="7"/>
    </row>
    <row r="14" spans="1:56" x14ac:dyDescent="0.25">
      <c r="A14" s="98"/>
      <c r="B14">
        <f t="shared" ref="B14:B19" si="27">B7</f>
        <v>1</v>
      </c>
      <c r="C14" t="s">
        <v>122</v>
      </c>
      <c r="D14">
        <f t="shared" ref="D14:D19" si="28">D7-3</f>
        <v>2</v>
      </c>
      <c r="E14">
        <f t="shared" ref="E14:T18" si="29">E7</f>
        <v>2739600</v>
      </c>
      <c r="F14">
        <f t="shared" si="29"/>
        <v>0</v>
      </c>
      <c r="G14">
        <f t="shared" si="29"/>
        <v>0</v>
      </c>
      <c r="H14" t="str">
        <f t="shared" si="29"/>
        <v>True</v>
      </c>
      <c r="I14" t="str">
        <f t="shared" si="29"/>
        <v>False</v>
      </c>
      <c r="J14">
        <f t="shared" si="29"/>
        <v>2.894E-2</v>
      </c>
      <c r="K14">
        <f t="shared" si="29"/>
        <v>2.894E-2</v>
      </c>
      <c r="L14">
        <f t="shared" si="29"/>
        <v>2E-3</v>
      </c>
      <c r="M14">
        <f t="shared" si="29"/>
        <v>0</v>
      </c>
      <c r="N14">
        <f t="shared" si="29"/>
        <v>0</v>
      </c>
      <c r="O14">
        <f t="shared" si="29"/>
        <v>0</v>
      </c>
      <c r="P14">
        <f t="shared" si="29"/>
        <v>0</v>
      </c>
      <c r="Q14">
        <f t="shared" si="29"/>
        <v>0</v>
      </c>
      <c r="R14">
        <f t="shared" si="29"/>
        <v>0</v>
      </c>
      <c r="S14">
        <f t="shared" si="29"/>
        <v>0</v>
      </c>
      <c r="T14" t="str">
        <f t="shared" si="29"/>
        <v>NA</v>
      </c>
      <c r="U14" t="str">
        <f t="shared" si="21"/>
        <v>NA</v>
      </c>
      <c r="V14" t="str">
        <f t="shared" si="21"/>
        <v>NA</v>
      </c>
      <c r="W14" s="1">
        <f t="shared" ref="W14" si="30">W7</f>
        <v>4.7804505939809229E-3</v>
      </c>
      <c r="X14" t="str">
        <f t="shared" si="21"/>
        <v>NA</v>
      </c>
      <c r="Y14" t="str">
        <f t="shared" si="21"/>
        <v>NA</v>
      </c>
      <c r="Z14" t="str">
        <f t="shared" si="21"/>
        <v>NA</v>
      </c>
      <c r="AA14" t="str">
        <f t="shared" si="21"/>
        <v>False</v>
      </c>
      <c r="AB14" t="str">
        <f t="shared" si="21"/>
        <v>NA</v>
      </c>
      <c r="AC14" t="str">
        <f t="shared" si="21"/>
        <v>NA</v>
      </c>
      <c r="AD14" t="str">
        <f t="shared" si="21"/>
        <v>False</v>
      </c>
      <c r="AE14">
        <f t="shared" si="21"/>
        <v>6.5815234465693123E-2</v>
      </c>
      <c r="AF14">
        <f t="shared" si="21"/>
        <v>2.1145753411309958E-2</v>
      </c>
      <c r="AG14">
        <f t="shared" ref="AG14" si="31">AG7</f>
        <v>0</v>
      </c>
      <c r="AH14">
        <f t="shared" si="21"/>
        <v>0.21145753411309956</v>
      </c>
      <c r="AI14">
        <f t="shared" si="21"/>
        <v>1.1188589859167832E-5</v>
      </c>
      <c r="AJ14">
        <f t="shared" si="21"/>
        <v>0</v>
      </c>
      <c r="AK14">
        <f t="shared" si="21"/>
        <v>1.1188589859167832E-5</v>
      </c>
      <c r="AL14">
        <f t="shared" si="21"/>
        <v>5.5942949295839161E-8</v>
      </c>
      <c r="AM14">
        <f t="shared" si="21"/>
        <v>0</v>
      </c>
      <c r="AN14">
        <f t="shared" si="21"/>
        <v>5.5942949295839161E-8</v>
      </c>
      <c r="AO14">
        <f t="shared" si="24"/>
        <v>1800</v>
      </c>
      <c r="AP14" s="58">
        <f t="shared" si="4"/>
        <v>3.4867252364606023E-5</v>
      </c>
      <c r="AQ14" s="88">
        <f t="shared" si="5"/>
        <v>67.910893172283792</v>
      </c>
      <c r="AR14" s="58">
        <f t="shared" ref="AR14:AT14" si="32">AR7</f>
        <v>9.5</v>
      </c>
      <c r="AS14" s="58">
        <f t="shared" ref="AS14" si="33">AS7</f>
        <v>1889.9390966577716</v>
      </c>
      <c r="AT14" s="58">
        <f t="shared" si="32"/>
        <v>18899.390966577714</v>
      </c>
      <c r="AU14" s="58">
        <f t="shared" ref="AU14" si="34">AU7</f>
        <v>0</v>
      </c>
      <c r="AV14" s="71">
        <f t="shared" si="8"/>
        <v>0</v>
      </c>
      <c r="AW14" s="71">
        <f t="shared" ref="AW14:AW19" si="35">AW7</f>
        <v>68</v>
      </c>
      <c r="AX14" s="7"/>
      <c r="AY14" s="8"/>
      <c r="AZ14" s="7"/>
      <c r="BA14" s="8"/>
      <c r="BB14" s="8"/>
      <c r="BC14" s="7"/>
      <c r="BD14" s="7"/>
    </row>
    <row r="15" spans="1:56" x14ac:dyDescent="0.25">
      <c r="A15" s="98"/>
      <c r="B15">
        <f t="shared" si="27"/>
        <v>1</v>
      </c>
      <c r="C15" t="s">
        <v>122</v>
      </c>
      <c r="D15">
        <f t="shared" si="28"/>
        <v>3</v>
      </c>
      <c r="E15">
        <f t="shared" si="29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s="1">
        <f t="shared" ref="W15" si="36">W8</f>
        <v>6.4152407049273701E-6</v>
      </c>
      <c r="X15" t="str">
        <f t="shared" si="21"/>
        <v>NA</v>
      </c>
      <c r="Y15" t="str">
        <f t="shared" si="21"/>
        <v>NA</v>
      </c>
      <c r="Z15" t="str">
        <f t="shared" si="21"/>
        <v>NA</v>
      </c>
      <c r="AA15" t="str">
        <f t="shared" si="21"/>
        <v>False</v>
      </c>
      <c r="AB15" t="str">
        <f t="shared" si="21"/>
        <v>NA</v>
      </c>
      <c r="AC15" t="str">
        <f t="shared" si="21"/>
        <v>NA</v>
      </c>
      <c r="AD15" t="str">
        <f t="shared" si="21"/>
        <v>False</v>
      </c>
      <c r="AE15">
        <f t="shared" si="21"/>
        <v>1.7912645183191897E-2</v>
      </c>
      <c r="AF15">
        <f t="shared" si="21"/>
        <v>5.7551474375663898E-3</v>
      </c>
      <c r="AG15">
        <f t="shared" ref="AG15" si="37">AG8</f>
        <v>0</v>
      </c>
      <c r="AH15">
        <f t="shared" si="21"/>
        <v>5.7551474375663887E-2</v>
      </c>
      <c r="AI15">
        <f t="shared" si="21"/>
        <v>3.0451496811426225E-6</v>
      </c>
      <c r="AJ15">
        <f t="shared" si="21"/>
        <v>0</v>
      </c>
      <c r="AK15">
        <f t="shared" si="21"/>
        <v>3.0451496811426225E-6</v>
      </c>
      <c r="AL15">
        <f t="shared" si="21"/>
        <v>1.5225748405713114E-8</v>
      </c>
      <c r="AM15">
        <f t="shared" si="21"/>
        <v>0</v>
      </c>
      <c r="AN15">
        <f t="shared" si="21"/>
        <v>1.5225748405713114E-8</v>
      </c>
      <c r="AO15" t="str">
        <f t="shared" si="24"/>
        <v>NA</v>
      </c>
      <c r="AP15" s="58">
        <f t="shared" si="4"/>
        <v>9.4896679346414427E-6</v>
      </c>
      <c r="AQ15" s="88">
        <f t="shared" si="5"/>
        <v>67.910893172283792</v>
      </c>
      <c r="AR15" s="58">
        <f t="shared" ref="AR15:AT15" si="38">AR8</f>
        <v>9.5</v>
      </c>
      <c r="AS15" s="58">
        <f t="shared" ref="AS15" si="39">AS8</f>
        <v>1889.9390966577716</v>
      </c>
      <c r="AT15" s="58">
        <f t="shared" si="38"/>
        <v>18899.390966577714</v>
      </c>
      <c r="AU15" s="58">
        <f t="shared" ref="AU15" si="40">AU8</f>
        <v>0</v>
      </c>
      <c r="AV15" s="71">
        <f t="shared" si="8"/>
        <v>0</v>
      </c>
      <c r="AW15" s="71">
        <f t="shared" si="35"/>
        <v>68</v>
      </c>
      <c r="AX15" s="7"/>
      <c r="AY15" s="8"/>
      <c r="AZ15" s="7"/>
      <c r="BA15" s="8"/>
      <c r="BB15" s="8"/>
      <c r="BC15" s="7"/>
      <c r="BD15" s="7"/>
    </row>
    <row r="16" spans="1:56" x14ac:dyDescent="0.25">
      <c r="A16" s="98"/>
      <c r="B16">
        <f t="shared" si="27"/>
        <v>1</v>
      </c>
      <c r="C16" t="s">
        <v>122</v>
      </c>
      <c r="D16">
        <f t="shared" si="28"/>
        <v>4</v>
      </c>
      <c r="E16">
        <f t="shared" si="29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s="1">
        <f t="shared" ref="W16" si="41">W9</f>
        <v>2.3349332116543619E-6</v>
      </c>
      <c r="X16" t="str">
        <f t="shared" si="21"/>
        <v>NA</v>
      </c>
      <c r="Y16" t="str">
        <f t="shared" si="21"/>
        <v>NA</v>
      </c>
      <c r="Z16" t="str">
        <f t="shared" si="21"/>
        <v>NA</v>
      </c>
      <c r="AA16" t="str">
        <f t="shared" si="21"/>
        <v>False</v>
      </c>
      <c r="AB16" t="str">
        <f t="shared" si="21"/>
        <v>NA</v>
      </c>
      <c r="AC16" t="str">
        <f t="shared" si="21"/>
        <v>NA</v>
      </c>
      <c r="AD16" t="str">
        <f t="shared" si="21"/>
        <v>False</v>
      </c>
      <c r="AE16">
        <f t="shared" si="21"/>
        <v>6.1942724565379036E-3</v>
      </c>
      <c r="AF16">
        <f t="shared" si="21"/>
        <v>1.9901556074634315E-3</v>
      </c>
      <c r="AG16">
        <f t="shared" ref="AG16" si="42">AG9</f>
        <v>0</v>
      </c>
      <c r="AH16">
        <f t="shared" si="21"/>
        <v>1.9901556074634313E-2</v>
      </c>
      <c r="AI16">
        <f t="shared" si="21"/>
        <v>1.0530263176114436E-6</v>
      </c>
      <c r="AJ16">
        <f t="shared" si="21"/>
        <v>0</v>
      </c>
      <c r="AK16">
        <f t="shared" si="21"/>
        <v>1.0530263176114436E-6</v>
      </c>
      <c r="AL16">
        <f t="shared" si="21"/>
        <v>5.2651315880572185E-9</v>
      </c>
      <c r="AM16">
        <f t="shared" si="21"/>
        <v>0</v>
      </c>
      <c r="AN16">
        <f t="shared" si="21"/>
        <v>5.2651315880572185E-9</v>
      </c>
      <c r="AO16" t="str">
        <f t="shared" si="24"/>
        <v>NA</v>
      </c>
      <c r="AP16" s="58">
        <f t="shared" si="4"/>
        <v>3.281569422499217E-6</v>
      </c>
      <c r="AQ16" s="88">
        <f t="shared" si="5"/>
        <v>67.910893172283792</v>
      </c>
      <c r="AR16" s="58">
        <f t="shared" ref="AR16:AT16" si="43">AR9</f>
        <v>9.5</v>
      </c>
      <c r="AS16" s="58">
        <f t="shared" ref="AS16" si="44">AS9</f>
        <v>1889.9390966577716</v>
      </c>
      <c r="AT16" s="58">
        <f t="shared" si="43"/>
        <v>18899.390966577714</v>
      </c>
      <c r="AU16" s="58">
        <f t="shared" ref="AU16" si="45">AU9</f>
        <v>0</v>
      </c>
      <c r="AV16" s="71">
        <f t="shared" si="8"/>
        <v>0</v>
      </c>
      <c r="AW16" s="71">
        <f t="shared" si="35"/>
        <v>68</v>
      </c>
      <c r="AX16" s="7"/>
      <c r="AY16" s="8"/>
      <c r="AZ16" s="7"/>
      <c r="BA16" s="8"/>
      <c r="BB16" s="8"/>
      <c r="BC16" s="7"/>
      <c r="BD16" s="7"/>
    </row>
    <row r="17" spans="1:56" x14ac:dyDescent="0.25">
      <c r="A17" s="98"/>
      <c r="B17">
        <f t="shared" si="27"/>
        <v>1</v>
      </c>
      <c r="C17" t="s">
        <v>122</v>
      </c>
      <c r="D17">
        <f t="shared" si="28"/>
        <v>5</v>
      </c>
      <c r="E17">
        <f t="shared" si="29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s="1">
        <f t="shared" ref="W17" si="46">W10</f>
        <v>9.1658819653476345E-7</v>
      </c>
      <c r="X17" t="str">
        <f t="shared" si="21"/>
        <v>NA</v>
      </c>
      <c r="Y17" t="str">
        <f t="shared" si="21"/>
        <v>NA</v>
      </c>
      <c r="Z17" t="str">
        <f t="shared" si="21"/>
        <v>NA</v>
      </c>
      <c r="AA17" t="str">
        <f t="shared" si="21"/>
        <v>False</v>
      </c>
      <c r="AB17" t="str">
        <f t="shared" si="21"/>
        <v>NA</v>
      </c>
      <c r="AC17" t="str">
        <f t="shared" si="21"/>
        <v>NA</v>
      </c>
      <c r="AD17" t="str">
        <f t="shared" si="21"/>
        <v>False</v>
      </c>
      <c r="AE17">
        <f t="shared" si="21"/>
        <v>2.7455961848723877E-3</v>
      </c>
      <c r="AF17">
        <f t="shared" si="21"/>
        <v>8.8213162748220658E-4</v>
      </c>
      <c r="AG17">
        <f t="shared" ref="AG17" si="47">AG10</f>
        <v>0</v>
      </c>
      <c r="AH17">
        <f t="shared" si="21"/>
        <v>8.8213162748220653E-3</v>
      </c>
      <c r="AI17">
        <f t="shared" si="21"/>
        <v>4.6675135142830591E-7</v>
      </c>
      <c r="AJ17">
        <f t="shared" si="21"/>
        <v>0</v>
      </c>
      <c r="AK17">
        <f t="shared" si="21"/>
        <v>4.6675135142830591E-7</v>
      </c>
      <c r="AL17">
        <f t="shared" si="21"/>
        <v>2.3337567571415298E-9</v>
      </c>
      <c r="AM17">
        <f t="shared" si="21"/>
        <v>0</v>
      </c>
      <c r="AN17">
        <f t="shared" si="21"/>
        <v>2.3337567571415298E-9</v>
      </c>
      <c r="AO17" t="str">
        <f t="shared" si="24"/>
        <v>NA</v>
      </c>
      <c r="AP17" s="58">
        <f t="shared" si="4"/>
        <v>1.4545476567305404E-6</v>
      </c>
      <c r="AQ17" s="88">
        <f t="shared" si="5"/>
        <v>67.910893172283792</v>
      </c>
      <c r="AR17" s="58">
        <f t="shared" ref="AR17:AT17" si="48">AR10</f>
        <v>9.5</v>
      </c>
      <c r="AS17" s="58">
        <f t="shared" ref="AS17" si="49">AS10</f>
        <v>1889.9390966577716</v>
      </c>
      <c r="AT17" s="58">
        <f t="shared" si="48"/>
        <v>18899.390966577714</v>
      </c>
      <c r="AU17" s="58">
        <f t="shared" ref="AU17" si="50">AU10</f>
        <v>0</v>
      </c>
      <c r="AV17" s="71">
        <f t="shared" si="8"/>
        <v>0</v>
      </c>
      <c r="AW17" s="71">
        <f t="shared" si="35"/>
        <v>68</v>
      </c>
      <c r="AX17" s="7"/>
      <c r="AY17" s="8"/>
      <c r="AZ17" s="7"/>
      <c r="BA17" s="8"/>
      <c r="BB17" s="8"/>
      <c r="BC17" s="7"/>
      <c r="BD17" s="7"/>
    </row>
    <row r="18" spans="1:56" x14ac:dyDescent="0.25">
      <c r="A18" s="98"/>
      <c r="B18">
        <f t="shared" si="27"/>
        <v>1</v>
      </c>
      <c r="C18" t="s">
        <v>122</v>
      </c>
      <c r="D18">
        <f t="shared" si="28"/>
        <v>6</v>
      </c>
      <c r="E18">
        <f t="shared" si="29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s="1">
        <f t="shared" ref="W18" si="51">W11</f>
        <v>3.8709515855680863E-7</v>
      </c>
      <c r="X18" t="str">
        <f t="shared" si="21"/>
        <v>NA</v>
      </c>
      <c r="Y18" t="str">
        <f t="shared" si="21"/>
        <v>NA</v>
      </c>
      <c r="Z18" t="str">
        <f t="shared" si="21"/>
        <v>NA</v>
      </c>
      <c r="AA18" t="str">
        <f t="shared" si="21"/>
        <v>False</v>
      </c>
      <c r="AB18" t="str">
        <f t="shared" si="21"/>
        <v>NA</v>
      </c>
      <c r="AC18" t="str">
        <f t="shared" si="21"/>
        <v>NA</v>
      </c>
      <c r="AD18" t="str">
        <f t="shared" si="21"/>
        <v>False</v>
      </c>
      <c r="AE18">
        <f t="shared" si="21"/>
        <v>1.0547664351198613E-3</v>
      </c>
      <c r="AF18">
        <f t="shared" si="21"/>
        <v>3.3888553500781266E-4</v>
      </c>
      <c r="AG18">
        <f t="shared" ref="AG18" si="52">AG11</f>
        <v>0</v>
      </c>
      <c r="AH18">
        <f t="shared" si="21"/>
        <v>3.3888553500781263E-3</v>
      </c>
      <c r="AI18">
        <f t="shared" si="21"/>
        <v>1.7931029397037642E-7</v>
      </c>
      <c r="AJ18">
        <f t="shared" si="21"/>
        <v>0</v>
      </c>
      <c r="AK18">
        <f t="shared" si="21"/>
        <v>1.7931029397037642E-7</v>
      </c>
      <c r="AL18">
        <f t="shared" si="21"/>
        <v>8.9655146985188215E-10</v>
      </c>
      <c r="AM18">
        <f t="shared" si="21"/>
        <v>0</v>
      </c>
      <c r="AN18">
        <f t="shared" si="21"/>
        <v>8.9655146985188215E-10</v>
      </c>
      <c r="AO18" t="str">
        <f t="shared" si="24"/>
        <v>NA</v>
      </c>
      <c r="AP18" s="58">
        <f t="shared" si="4"/>
        <v>5.5878867222163193E-7</v>
      </c>
      <c r="AQ18" s="88">
        <f t="shared" si="5"/>
        <v>67.910893172283792</v>
      </c>
      <c r="AR18" s="58">
        <f t="shared" ref="AR18:AT18" si="53">AR11</f>
        <v>9.5</v>
      </c>
      <c r="AS18" s="58">
        <f t="shared" ref="AS18" si="54">AS11</f>
        <v>1889.9390966577716</v>
      </c>
      <c r="AT18" s="58">
        <f t="shared" si="53"/>
        <v>18899.390966577714</v>
      </c>
      <c r="AU18" s="58">
        <f t="shared" ref="AU18" si="55">AU11</f>
        <v>0</v>
      </c>
      <c r="AV18" s="71">
        <f t="shared" si="8"/>
        <v>0</v>
      </c>
      <c r="AW18" s="71">
        <f t="shared" si="35"/>
        <v>68</v>
      </c>
      <c r="AX18" s="7"/>
      <c r="AY18" s="8"/>
      <c r="AZ18" s="7"/>
      <c r="BA18" s="8"/>
      <c r="BB18" s="8"/>
      <c r="BC18" s="7"/>
      <c r="BD18" s="7"/>
    </row>
    <row r="19" spans="1:56" x14ac:dyDescent="0.25">
      <c r="A19" s="98"/>
      <c r="B19">
        <f t="shared" si="27"/>
        <v>1</v>
      </c>
      <c r="C19" t="s">
        <v>122</v>
      </c>
      <c r="D19">
        <f t="shared" si="28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s="1">
        <f t="shared" ref="W19" si="56">W12</f>
        <v>1.9999999999999999E-7</v>
      </c>
      <c r="X19" t="str">
        <f t="shared" si="21"/>
        <v>NA</v>
      </c>
      <c r="Y19" t="str">
        <f t="shared" si="21"/>
        <v>NA</v>
      </c>
      <c r="Z19" t="str">
        <f t="shared" si="21"/>
        <v>NA</v>
      </c>
      <c r="AA19" t="str">
        <f t="shared" si="21"/>
        <v>False</v>
      </c>
      <c r="AB19" t="str">
        <f t="shared" si="21"/>
        <v>NA</v>
      </c>
      <c r="AC19" t="str">
        <f t="shared" si="21"/>
        <v>NA</v>
      </c>
      <c r="AD19" t="str">
        <f t="shared" si="21"/>
        <v>False</v>
      </c>
      <c r="AE19">
        <f t="shared" si="21"/>
        <v>7.4021453290852969E-4</v>
      </c>
      <c r="AF19">
        <f t="shared" si="21"/>
        <v>2.3782326556187717E-4</v>
      </c>
      <c r="AG19">
        <f t="shared" ref="AG19" si="57">AG12</f>
        <v>0</v>
      </c>
      <c r="AH19">
        <f t="shared" si="21"/>
        <v>2.3782326556187716E-3</v>
      </c>
      <c r="AI19">
        <f t="shared" si="21"/>
        <v>1.2583647059445005E-7</v>
      </c>
      <c r="AJ19">
        <f t="shared" si="21"/>
        <v>0</v>
      </c>
      <c r="AK19">
        <f t="shared" si="21"/>
        <v>1.2583647059445005E-7</v>
      </c>
      <c r="AL19">
        <f t="shared" si="21"/>
        <v>6.2918235297225031E-10</v>
      </c>
      <c r="AM19">
        <f t="shared" si="21"/>
        <v>0</v>
      </c>
      <c r="AN19">
        <f t="shared" si="21"/>
        <v>6.2918235297225031E-10</v>
      </c>
      <c r="AO19" t="str">
        <f t="shared" si="24"/>
        <v>NA</v>
      </c>
      <c r="AP19" s="58">
        <f t="shared" si="4"/>
        <v>3.9214700262632978E-7</v>
      </c>
      <c r="AQ19" s="88">
        <f t="shared" si="5"/>
        <v>67.910893172283792</v>
      </c>
      <c r="AR19" s="58">
        <f t="shared" ref="AR19:AT19" si="58">AR12</f>
        <v>9.5</v>
      </c>
      <c r="AS19" s="58">
        <f t="shared" ref="AS19" si="59">AS12</f>
        <v>1889.9390966577716</v>
      </c>
      <c r="AT19" s="58">
        <f t="shared" si="58"/>
        <v>18899.390966577714</v>
      </c>
      <c r="AU19" s="58">
        <f t="shared" ref="AU19" si="60">AU12</f>
        <v>0</v>
      </c>
      <c r="AV19" s="71">
        <f t="shared" si="8"/>
        <v>0</v>
      </c>
      <c r="AW19" s="71">
        <f t="shared" si="35"/>
        <v>68</v>
      </c>
      <c r="AX19" s="7"/>
      <c r="AY19" s="8"/>
      <c r="AZ19" s="7"/>
      <c r="BA19" s="8"/>
      <c r="BB19" s="8"/>
      <c r="BC19" s="7"/>
      <c r="BD19" s="7"/>
    </row>
    <row r="20" spans="1:56" x14ac:dyDescent="0.25">
      <c r="A20" s="98"/>
      <c r="B20">
        <f>B7</f>
        <v>1</v>
      </c>
      <c r="C20" t="s">
        <v>123</v>
      </c>
      <c r="D20">
        <f>D7-4</f>
        <v>1</v>
      </c>
      <c r="E20">
        <f>E7</f>
        <v>2739600</v>
      </c>
      <c r="F20">
        <f t="shared" ref="F20:AN25" si="61">F7</f>
        <v>0</v>
      </c>
      <c r="G20">
        <f t="shared" si="61"/>
        <v>0</v>
      </c>
      <c r="H20" t="str">
        <f t="shared" si="61"/>
        <v>True</v>
      </c>
      <c r="I20" t="str">
        <f t="shared" si="61"/>
        <v>False</v>
      </c>
      <c r="J20">
        <f t="shared" si="61"/>
        <v>2.894E-2</v>
      </c>
      <c r="K20">
        <f t="shared" si="61"/>
        <v>2.894E-2</v>
      </c>
      <c r="L20">
        <f t="shared" si="61"/>
        <v>2E-3</v>
      </c>
      <c r="M20">
        <f t="shared" si="61"/>
        <v>0</v>
      </c>
      <c r="N20">
        <f t="shared" si="61"/>
        <v>0</v>
      </c>
      <c r="O20">
        <f t="shared" si="61"/>
        <v>0</v>
      </c>
      <c r="P20">
        <f t="shared" si="61"/>
        <v>0</v>
      </c>
      <c r="Q20">
        <f t="shared" si="61"/>
        <v>0</v>
      </c>
      <c r="R20">
        <f t="shared" si="61"/>
        <v>0</v>
      </c>
      <c r="S20">
        <f t="shared" si="61"/>
        <v>0</v>
      </c>
      <c r="T20" t="str">
        <f t="shared" si="61"/>
        <v>NA</v>
      </c>
      <c r="U20" t="str">
        <f t="shared" si="61"/>
        <v>NA</v>
      </c>
      <c r="V20" t="str">
        <f t="shared" si="61"/>
        <v>NA</v>
      </c>
      <c r="W20" s="1">
        <f t="shared" ref="W20" si="62">W7</f>
        <v>4.7804505939809229E-3</v>
      </c>
      <c r="X20" t="str">
        <f t="shared" si="61"/>
        <v>NA</v>
      </c>
      <c r="Y20" t="str">
        <f t="shared" si="61"/>
        <v>NA</v>
      </c>
      <c r="Z20" t="str">
        <f t="shared" si="61"/>
        <v>NA</v>
      </c>
      <c r="AA20" t="str">
        <f t="shared" si="61"/>
        <v>False</v>
      </c>
      <c r="AB20" t="str">
        <f t="shared" si="61"/>
        <v>NA</v>
      </c>
      <c r="AC20" t="str">
        <f t="shared" si="61"/>
        <v>NA</v>
      </c>
      <c r="AD20" t="str">
        <f t="shared" si="61"/>
        <v>False</v>
      </c>
      <c r="AE20">
        <f t="shared" si="61"/>
        <v>6.5815234465693123E-2</v>
      </c>
      <c r="AF20">
        <f t="shared" si="61"/>
        <v>2.1145753411309958E-2</v>
      </c>
      <c r="AG20">
        <f t="shared" ref="AG20" si="63">AG7</f>
        <v>0</v>
      </c>
      <c r="AH20">
        <f t="shared" si="61"/>
        <v>0.21145753411309956</v>
      </c>
      <c r="AI20">
        <f t="shared" si="61"/>
        <v>1.1188589859167832E-5</v>
      </c>
      <c r="AJ20">
        <f t="shared" si="61"/>
        <v>0</v>
      </c>
      <c r="AK20">
        <f t="shared" si="61"/>
        <v>1.1188589859167832E-5</v>
      </c>
      <c r="AL20">
        <f t="shared" si="61"/>
        <v>5.5942949295839161E-8</v>
      </c>
      <c r="AM20">
        <f t="shared" si="61"/>
        <v>0</v>
      </c>
      <c r="AN20">
        <f t="shared" si="61"/>
        <v>5.5942949295839161E-8</v>
      </c>
      <c r="AO20">
        <f t="shared" si="24"/>
        <v>1800</v>
      </c>
      <c r="AP20" s="58">
        <f t="shared" si="4"/>
        <v>3.4867252364606023E-5</v>
      </c>
      <c r="AQ20" s="88">
        <f t="shared" si="5"/>
        <v>67.910893172283792</v>
      </c>
      <c r="AR20" s="58">
        <f t="shared" ref="AR20:AT20" si="64">AR7</f>
        <v>9.5</v>
      </c>
      <c r="AS20" s="58">
        <f t="shared" ref="AS20" si="65">AS7</f>
        <v>1889.9390966577716</v>
      </c>
      <c r="AT20" s="58">
        <f t="shared" si="64"/>
        <v>18899.390966577714</v>
      </c>
      <c r="AU20" s="58">
        <f t="shared" ref="AU20" si="66">AU7</f>
        <v>0</v>
      </c>
      <c r="AV20" s="71">
        <f t="shared" si="8"/>
        <v>0</v>
      </c>
      <c r="AW20" s="71">
        <f>AW7</f>
        <v>68</v>
      </c>
      <c r="AX20" s="7"/>
      <c r="AY20" s="8"/>
      <c r="AZ20" s="7"/>
      <c r="BA20" s="8"/>
      <c r="BB20" s="8"/>
      <c r="BC20" s="7"/>
      <c r="BD20" s="7"/>
    </row>
    <row r="21" spans="1:56" x14ac:dyDescent="0.25">
      <c r="A21" s="98"/>
      <c r="B21">
        <f t="shared" ref="B21:B34" si="67">B8</f>
        <v>1</v>
      </c>
      <c r="C21" t="s">
        <v>123</v>
      </c>
      <c r="D21">
        <f t="shared" ref="D21:D25" si="68">D8-4</f>
        <v>2</v>
      </c>
      <c r="E21">
        <f t="shared" ref="E21:T25" si="69">E8</f>
        <v>2191680</v>
      </c>
      <c r="F21">
        <f t="shared" si="69"/>
        <v>0</v>
      </c>
      <c r="G21">
        <f t="shared" si="69"/>
        <v>0</v>
      </c>
      <c r="H21" t="str">
        <f t="shared" si="69"/>
        <v>True</v>
      </c>
      <c r="I21" t="str">
        <f t="shared" si="69"/>
        <v>False</v>
      </c>
      <c r="J21">
        <f t="shared" si="69"/>
        <v>2.894E-2</v>
      </c>
      <c r="K21">
        <f t="shared" si="69"/>
        <v>2.894E-2</v>
      </c>
      <c r="L21">
        <f t="shared" si="69"/>
        <v>7.2000000000000005E-4</v>
      </c>
      <c r="M21">
        <f t="shared" si="69"/>
        <v>0</v>
      </c>
      <c r="N21">
        <f t="shared" si="69"/>
        <v>0</v>
      </c>
      <c r="O21">
        <f t="shared" si="69"/>
        <v>0</v>
      </c>
      <c r="P21">
        <f t="shared" si="69"/>
        <v>0</v>
      </c>
      <c r="Q21">
        <f t="shared" si="69"/>
        <v>0</v>
      </c>
      <c r="R21">
        <f t="shared" si="69"/>
        <v>0</v>
      </c>
      <c r="S21">
        <f t="shared" si="69"/>
        <v>0</v>
      </c>
      <c r="T21" t="str">
        <f t="shared" si="69"/>
        <v>NA</v>
      </c>
      <c r="U21" t="str">
        <f t="shared" si="61"/>
        <v>NA</v>
      </c>
      <c r="V21" t="str">
        <f t="shared" si="61"/>
        <v>NA</v>
      </c>
      <c r="W21" s="1">
        <f t="shared" ref="W21" si="70">W8</f>
        <v>6.4152407049273701E-6</v>
      </c>
      <c r="X21" t="str">
        <f t="shared" si="61"/>
        <v>NA</v>
      </c>
      <c r="Y21" t="str">
        <f t="shared" si="61"/>
        <v>NA</v>
      </c>
      <c r="Z21" t="str">
        <f t="shared" si="61"/>
        <v>NA</v>
      </c>
      <c r="AA21" t="str">
        <f t="shared" si="61"/>
        <v>False</v>
      </c>
      <c r="AB21" t="str">
        <f t="shared" si="61"/>
        <v>NA</v>
      </c>
      <c r="AC21" t="str">
        <f t="shared" si="61"/>
        <v>NA</v>
      </c>
      <c r="AD21" t="str">
        <f t="shared" si="61"/>
        <v>False</v>
      </c>
      <c r="AE21">
        <f t="shared" si="61"/>
        <v>1.7912645183191897E-2</v>
      </c>
      <c r="AF21">
        <f t="shared" si="61"/>
        <v>5.7551474375663898E-3</v>
      </c>
      <c r="AG21">
        <f t="shared" ref="AG21" si="71">AG8</f>
        <v>0</v>
      </c>
      <c r="AH21">
        <f t="shared" si="61"/>
        <v>5.7551474375663887E-2</v>
      </c>
      <c r="AI21">
        <f t="shared" si="61"/>
        <v>3.0451496811426225E-6</v>
      </c>
      <c r="AJ21">
        <f t="shared" si="61"/>
        <v>0</v>
      </c>
      <c r="AK21">
        <f t="shared" si="61"/>
        <v>3.0451496811426225E-6</v>
      </c>
      <c r="AL21">
        <f t="shared" si="61"/>
        <v>1.5225748405713114E-8</v>
      </c>
      <c r="AM21">
        <f t="shared" si="61"/>
        <v>0</v>
      </c>
      <c r="AN21">
        <f t="shared" si="61"/>
        <v>1.5225748405713114E-8</v>
      </c>
      <c r="AO21">
        <f t="shared" si="24"/>
        <v>1800</v>
      </c>
      <c r="AP21" s="58">
        <f t="shared" si="4"/>
        <v>9.4896679346414427E-6</v>
      </c>
      <c r="AQ21" s="88">
        <f t="shared" si="5"/>
        <v>67.910893172283792</v>
      </c>
      <c r="AR21" s="58">
        <f t="shared" ref="AR21:AT21" si="72">AR8</f>
        <v>9.5</v>
      </c>
      <c r="AS21" s="58">
        <f t="shared" ref="AS21" si="73">AS8</f>
        <v>1889.9390966577716</v>
      </c>
      <c r="AT21" s="58">
        <f t="shared" si="72"/>
        <v>18899.390966577714</v>
      </c>
      <c r="AU21" s="58">
        <f t="shared" ref="AU21" si="74">AU8</f>
        <v>0</v>
      </c>
      <c r="AV21" s="71">
        <f t="shared" si="8"/>
        <v>0</v>
      </c>
      <c r="AW21" s="71">
        <f t="shared" ref="AW21:AW25" si="75">AW8</f>
        <v>68</v>
      </c>
      <c r="AX21" s="7"/>
      <c r="AY21" s="8"/>
      <c r="AZ21" s="7"/>
      <c r="BA21" s="8"/>
      <c r="BB21" s="8"/>
      <c r="BC21" s="7"/>
      <c r="BD21" s="7"/>
    </row>
    <row r="22" spans="1:56" x14ac:dyDescent="0.25">
      <c r="A22" s="98"/>
      <c r="B22">
        <f t="shared" si="67"/>
        <v>1</v>
      </c>
      <c r="C22" t="s">
        <v>123</v>
      </c>
      <c r="D22">
        <f t="shared" si="68"/>
        <v>3</v>
      </c>
      <c r="E22">
        <f t="shared" si="69"/>
        <v>1643760</v>
      </c>
      <c r="F22">
        <f t="shared" si="61"/>
        <v>0</v>
      </c>
      <c r="G22">
        <f t="shared" si="61"/>
        <v>0</v>
      </c>
      <c r="H22" t="str">
        <f t="shared" si="61"/>
        <v>True</v>
      </c>
      <c r="I22" t="str">
        <f t="shared" si="61"/>
        <v>False</v>
      </c>
      <c r="J22">
        <f t="shared" si="61"/>
        <v>2.894E-2</v>
      </c>
      <c r="K22">
        <f t="shared" si="61"/>
        <v>2.894E-2</v>
      </c>
      <c r="L22">
        <f t="shared" si="61"/>
        <v>3.1E-4</v>
      </c>
      <c r="M22">
        <f t="shared" si="61"/>
        <v>0</v>
      </c>
      <c r="N22">
        <f t="shared" si="61"/>
        <v>0</v>
      </c>
      <c r="O22">
        <f t="shared" si="61"/>
        <v>0</v>
      </c>
      <c r="P22">
        <f t="shared" si="61"/>
        <v>0</v>
      </c>
      <c r="Q22">
        <f t="shared" si="61"/>
        <v>0</v>
      </c>
      <c r="R22">
        <f t="shared" si="61"/>
        <v>0</v>
      </c>
      <c r="S22">
        <f t="shared" si="61"/>
        <v>0</v>
      </c>
      <c r="T22" t="str">
        <f t="shared" si="61"/>
        <v>NA</v>
      </c>
      <c r="U22" t="str">
        <f t="shared" si="61"/>
        <v>NA</v>
      </c>
      <c r="V22" t="str">
        <f t="shared" si="61"/>
        <v>NA</v>
      </c>
      <c r="W22" s="1">
        <f t="shared" ref="W22" si="76">W9</f>
        <v>2.3349332116543619E-6</v>
      </c>
      <c r="X22" t="str">
        <f t="shared" si="61"/>
        <v>NA</v>
      </c>
      <c r="Y22" t="str">
        <f t="shared" si="61"/>
        <v>NA</v>
      </c>
      <c r="Z22" t="str">
        <f t="shared" si="61"/>
        <v>NA</v>
      </c>
      <c r="AA22" t="str">
        <f t="shared" si="61"/>
        <v>False</v>
      </c>
      <c r="AB22" t="str">
        <f t="shared" si="61"/>
        <v>NA</v>
      </c>
      <c r="AC22" t="str">
        <f t="shared" si="61"/>
        <v>NA</v>
      </c>
      <c r="AD22" t="str">
        <f t="shared" si="61"/>
        <v>False</v>
      </c>
      <c r="AE22">
        <f t="shared" si="61"/>
        <v>6.1942724565379036E-3</v>
      </c>
      <c r="AF22">
        <f t="shared" si="61"/>
        <v>1.9901556074634315E-3</v>
      </c>
      <c r="AG22">
        <f t="shared" ref="AG22" si="77">AG9</f>
        <v>0</v>
      </c>
      <c r="AH22">
        <f t="shared" si="61"/>
        <v>1.9901556074634313E-2</v>
      </c>
      <c r="AI22">
        <f t="shared" si="61"/>
        <v>1.0530263176114436E-6</v>
      </c>
      <c r="AJ22">
        <f t="shared" si="61"/>
        <v>0</v>
      </c>
      <c r="AK22">
        <f t="shared" si="61"/>
        <v>1.0530263176114436E-6</v>
      </c>
      <c r="AL22">
        <f t="shared" si="61"/>
        <v>5.2651315880572185E-9</v>
      </c>
      <c r="AM22">
        <f t="shared" si="61"/>
        <v>0</v>
      </c>
      <c r="AN22">
        <f t="shared" si="61"/>
        <v>5.2651315880572185E-9</v>
      </c>
      <c r="AO22" t="str">
        <f t="shared" si="24"/>
        <v>NA</v>
      </c>
      <c r="AP22" s="58">
        <f t="shared" si="4"/>
        <v>3.281569422499217E-6</v>
      </c>
      <c r="AQ22" s="88">
        <f t="shared" si="5"/>
        <v>67.910893172283792</v>
      </c>
      <c r="AR22" s="58">
        <f t="shared" ref="AR22:AT22" si="78">AR9</f>
        <v>9.5</v>
      </c>
      <c r="AS22" s="58">
        <f t="shared" ref="AS22" si="79">AS9</f>
        <v>1889.9390966577716</v>
      </c>
      <c r="AT22" s="58">
        <f t="shared" si="78"/>
        <v>18899.390966577714</v>
      </c>
      <c r="AU22" s="58">
        <f t="shared" ref="AU22" si="80">AU9</f>
        <v>0</v>
      </c>
      <c r="AV22" s="71">
        <f t="shared" si="8"/>
        <v>0</v>
      </c>
      <c r="AW22" s="71">
        <f t="shared" si="75"/>
        <v>68</v>
      </c>
      <c r="AX22" s="7"/>
      <c r="AY22" s="8"/>
      <c r="AZ22" s="7"/>
      <c r="BA22" s="8"/>
      <c r="BB22" s="8"/>
      <c r="BC22" s="7"/>
      <c r="BD22" s="7"/>
    </row>
    <row r="23" spans="1:56" x14ac:dyDescent="0.25">
      <c r="A23" s="98"/>
      <c r="B23">
        <f t="shared" si="67"/>
        <v>1</v>
      </c>
      <c r="C23" t="s">
        <v>123</v>
      </c>
      <c r="D23">
        <f t="shared" si="68"/>
        <v>4</v>
      </c>
      <c r="E23">
        <f t="shared" si="69"/>
        <v>1095840</v>
      </c>
      <c r="F23">
        <f t="shared" si="61"/>
        <v>0</v>
      </c>
      <c r="G23">
        <f t="shared" si="61"/>
        <v>0</v>
      </c>
      <c r="H23" t="str">
        <f t="shared" si="61"/>
        <v>True</v>
      </c>
      <c r="I23" t="str">
        <f t="shared" si="61"/>
        <v>False</v>
      </c>
      <c r="J23">
        <f t="shared" si="61"/>
        <v>2.894E-2</v>
      </c>
      <c r="K23">
        <f t="shared" si="61"/>
        <v>2.894E-2</v>
      </c>
      <c r="L23">
        <f t="shared" si="61"/>
        <v>1.6000000000000001E-4</v>
      </c>
      <c r="M23">
        <f t="shared" si="61"/>
        <v>0</v>
      </c>
      <c r="N23">
        <f t="shared" si="61"/>
        <v>0</v>
      </c>
      <c r="O23">
        <f t="shared" si="61"/>
        <v>0</v>
      </c>
      <c r="P23">
        <f t="shared" si="61"/>
        <v>0</v>
      </c>
      <c r="Q23">
        <f t="shared" si="61"/>
        <v>0</v>
      </c>
      <c r="R23">
        <f t="shared" si="61"/>
        <v>0</v>
      </c>
      <c r="S23">
        <f t="shared" si="61"/>
        <v>0</v>
      </c>
      <c r="T23" t="str">
        <f t="shared" si="61"/>
        <v>NA</v>
      </c>
      <c r="U23" t="str">
        <f t="shared" si="61"/>
        <v>NA</v>
      </c>
      <c r="V23" t="str">
        <f t="shared" si="61"/>
        <v>NA</v>
      </c>
      <c r="W23" s="1">
        <f t="shared" ref="W23" si="81">W10</f>
        <v>9.1658819653476345E-7</v>
      </c>
      <c r="X23" t="str">
        <f t="shared" si="61"/>
        <v>NA</v>
      </c>
      <c r="Y23" t="str">
        <f t="shared" si="61"/>
        <v>NA</v>
      </c>
      <c r="Z23" t="str">
        <f t="shared" si="61"/>
        <v>NA</v>
      </c>
      <c r="AA23" t="str">
        <f t="shared" si="61"/>
        <v>False</v>
      </c>
      <c r="AB23" t="str">
        <f t="shared" si="61"/>
        <v>NA</v>
      </c>
      <c r="AC23" t="str">
        <f t="shared" si="61"/>
        <v>NA</v>
      </c>
      <c r="AD23" t="str">
        <f t="shared" si="61"/>
        <v>False</v>
      </c>
      <c r="AE23">
        <f t="shared" si="61"/>
        <v>2.7455961848723877E-3</v>
      </c>
      <c r="AF23">
        <f t="shared" si="61"/>
        <v>8.8213162748220658E-4</v>
      </c>
      <c r="AG23">
        <f t="shared" ref="AG23" si="82">AG10</f>
        <v>0</v>
      </c>
      <c r="AH23">
        <f t="shared" si="61"/>
        <v>8.8213162748220653E-3</v>
      </c>
      <c r="AI23">
        <f t="shared" si="61"/>
        <v>4.6675135142830591E-7</v>
      </c>
      <c r="AJ23">
        <f t="shared" si="61"/>
        <v>0</v>
      </c>
      <c r="AK23">
        <f t="shared" si="61"/>
        <v>4.6675135142830591E-7</v>
      </c>
      <c r="AL23">
        <f t="shared" si="61"/>
        <v>2.3337567571415298E-9</v>
      </c>
      <c r="AM23">
        <f t="shared" si="61"/>
        <v>0</v>
      </c>
      <c r="AN23">
        <f t="shared" si="61"/>
        <v>2.3337567571415298E-9</v>
      </c>
      <c r="AO23" t="str">
        <f t="shared" si="24"/>
        <v>NA</v>
      </c>
      <c r="AP23" s="58">
        <f t="shared" si="4"/>
        <v>1.4545476567305404E-6</v>
      </c>
      <c r="AQ23" s="88">
        <f t="shared" si="5"/>
        <v>67.910893172283792</v>
      </c>
      <c r="AR23" s="58">
        <f t="shared" ref="AR23:AT23" si="83">AR10</f>
        <v>9.5</v>
      </c>
      <c r="AS23" s="58">
        <f t="shared" ref="AS23" si="84">AS10</f>
        <v>1889.9390966577716</v>
      </c>
      <c r="AT23" s="58">
        <f t="shared" si="83"/>
        <v>18899.390966577714</v>
      </c>
      <c r="AU23" s="58">
        <f t="shared" ref="AU23" si="85">AU10</f>
        <v>0</v>
      </c>
      <c r="AV23" s="71">
        <f t="shared" si="8"/>
        <v>0</v>
      </c>
      <c r="AW23" s="71">
        <f t="shared" si="75"/>
        <v>68</v>
      </c>
      <c r="AX23" s="7"/>
      <c r="AY23" s="8"/>
      <c r="AZ23" s="7"/>
      <c r="BA23" s="8"/>
      <c r="BB23" s="8"/>
      <c r="BC23" s="7"/>
      <c r="BD23" s="7"/>
    </row>
    <row r="24" spans="1:56" x14ac:dyDescent="0.25">
      <c r="A24" s="98"/>
      <c r="B24">
        <f t="shared" si="67"/>
        <v>1</v>
      </c>
      <c r="C24" t="s">
        <v>123</v>
      </c>
      <c r="D24">
        <f t="shared" si="68"/>
        <v>5</v>
      </c>
      <c r="E24">
        <f t="shared" si="69"/>
        <v>547920</v>
      </c>
      <c r="F24">
        <f t="shared" si="61"/>
        <v>0</v>
      </c>
      <c r="G24">
        <f t="shared" si="61"/>
        <v>0</v>
      </c>
      <c r="H24" t="str">
        <f t="shared" si="61"/>
        <v>True</v>
      </c>
      <c r="I24" t="str">
        <f t="shared" si="61"/>
        <v>False</v>
      </c>
      <c r="J24">
        <f t="shared" si="61"/>
        <v>2.894E-2</v>
      </c>
      <c r="K24">
        <f t="shared" si="61"/>
        <v>2.894E-2</v>
      </c>
      <c r="L24">
        <f t="shared" si="61"/>
        <v>6.9999999999999994E-5</v>
      </c>
      <c r="M24">
        <f t="shared" si="61"/>
        <v>0</v>
      </c>
      <c r="N24">
        <f t="shared" si="61"/>
        <v>0</v>
      </c>
      <c r="O24">
        <f t="shared" si="61"/>
        <v>0</v>
      </c>
      <c r="P24">
        <f t="shared" si="61"/>
        <v>0</v>
      </c>
      <c r="Q24">
        <f t="shared" si="61"/>
        <v>0</v>
      </c>
      <c r="R24">
        <f t="shared" si="61"/>
        <v>0</v>
      </c>
      <c r="S24">
        <f t="shared" si="61"/>
        <v>0</v>
      </c>
      <c r="T24" t="str">
        <f t="shared" si="61"/>
        <v>NA</v>
      </c>
      <c r="U24" t="str">
        <f t="shared" si="61"/>
        <v>NA</v>
      </c>
      <c r="V24" t="str">
        <f t="shared" si="61"/>
        <v>NA</v>
      </c>
      <c r="W24" s="1">
        <f t="shared" ref="W24" si="86">W11</f>
        <v>3.8709515855680863E-7</v>
      </c>
      <c r="X24" t="str">
        <f t="shared" si="61"/>
        <v>NA</v>
      </c>
      <c r="Y24" t="str">
        <f t="shared" si="61"/>
        <v>NA</v>
      </c>
      <c r="Z24" t="str">
        <f t="shared" si="61"/>
        <v>NA</v>
      </c>
      <c r="AA24" t="str">
        <f t="shared" si="61"/>
        <v>False</v>
      </c>
      <c r="AB24" t="str">
        <f t="shared" si="61"/>
        <v>NA</v>
      </c>
      <c r="AC24" t="str">
        <f t="shared" si="61"/>
        <v>NA</v>
      </c>
      <c r="AD24" t="str">
        <f t="shared" si="61"/>
        <v>False</v>
      </c>
      <c r="AE24">
        <f t="shared" si="61"/>
        <v>1.0547664351198613E-3</v>
      </c>
      <c r="AF24">
        <f t="shared" si="61"/>
        <v>3.3888553500781266E-4</v>
      </c>
      <c r="AG24">
        <f t="shared" ref="AG24" si="87">AG11</f>
        <v>0</v>
      </c>
      <c r="AH24">
        <f t="shared" si="61"/>
        <v>3.3888553500781263E-3</v>
      </c>
      <c r="AI24">
        <f t="shared" si="61"/>
        <v>1.7931029397037642E-7</v>
      </c>
      <c r="AJ24">
        <f t="shared" si="61"/>
        <v>0</v>
      </c>
      <c r="AK24">
        <f t="shared" si="61"/>
        <v>1.7931029397037642E-7</v>
      </c>
      <c r="AL24">
        <f t="shared" si="61"/>
        <v>8.9655146985188215E-10</v>
      </c>
      <c r="AM24">
        <f t="shared" si="61"/>
        <v>0</v>
      </c>
      <c r="AN24">
        <f t="shared" si="61"/>
        <v>8.9655146985188215E-10</v>
      </c>
      <c r="AO24" t="str">
        <f t="shared" si="24"/>
        <v>NA</v>
      </c>
      <c r="AP24" s="58">
        <f t="shared" si="4"/>
        <v>5.5878867222163193E-7</v>
      </c>
      <c r="AQ24" s="88">
        <f t="shared" si="5"/>
        <v>67.910893172283792</v>
      </c>
      <c r="AR24" s="58">
        <f t="shared" ref="AR24:AT24" si="88">AR11</f>
        <v>9.5</v>
      </c>
      <c r="AS24" s="58">
        <f t="shared" ref="AS24" si="89">AS11</f>
        <v>1889.9390966577716</v>
      </c>
      <c r="AT24" s="58">
        <f t="shared" si="88"/>
        <v>18899.390966577714</v>
      </c>
      <c r="AU24" s="58">
        <f t="shared" ref="AU24" si="90">AU11</f>
        <v>0</v>
      </c>
      <c r="AV24" s="71">
        <f t="shared" si="8"/>
        <v>0</v>
      </c>
      <c r="AW24" s="71">
        <f t="shared" si="75"/>
        <v>68</v>
      </c>
      <c r="AX24" s="7"/>
      <c r="AY24" s="8"/>
      <c r="AZ24" s="7"/>
      <c r="BA24" s="8"/>
      <c r="BB24" s="8"/>
      <c r="BC24" s="7"/>
      <c r="BD24" s="7"/>
    </row>
    <row r="25" spans="1:56" x14ac:dyDescent="0.25">
      <c r="A25" s="98"/>
      <c r="B25">
        <f t="shared" si="67"/>
        <v>1</v>
      </c>
      <c r="C25" t="s">
        <v>123</v>
      </c>
      <c r="D25">
        <f t="shared" si="68"/>
        <v>6</v>
      </c>
      <c r="E25">
        <f t="shared" si="69"/>
        <v>0</v>
      </c>
      <c r="F25">
        <f t="shared" si="61"/>
        <v>0</v>
      </c>
      <c r="G25">
        <f t="shared" si="61"/>
        <v>0</v>
      </c>
      <c r="H25" t="str">
        <f t="shared" si="61"/>
        <v>True</v>
      </c>
      <c r="I25" t="str">
        <f t="shared" si="61"/>
        <v>False</v>
      </c>
      <c r="J25">
        <f t="shared" si="61"/>
        <v>2.894E-2</v>
      </c>
      <c r="K25">
        <f t="shared" si="61"/>
        <v>2.894E-2</v>
      </c>
      <c r="L25">
        <f t="shared" si="61"/>
        <v>5.0000000000000002E-5</v>
      </c>
      <c r="M25">
        <f t="shared" si="61"/>
        <v>0</v>
      </c>
      <c r="N25">
        <f t="shared" si="61"/>
        <v>0</v>
      </c>
      <c r="O25">
        <f t="shared" si="61"/>
        <v>0</v>
      </c>
      <c r="P25">
        <f t="shared" si="61"/>
        <v>0</v>
      </c>
      <c r="Q25">
        <f t="shared" si="61"/>
        <v>0</v>
      </c>
      <c r="R25">
        <f t="shared" si="61"/>
        <v>0</v>
      </c>
      <c r="S25">
        <f t="shared" si="61"/>
        <v>0</v>
      </c>
      <c r="T25" t="str">
        <f t="shared" si="61"/>
        <v>NA</v>
      </c>
      <c r="U25" t="str">
        <f t="shared" si="61"/>
        <v>NA</v>
      </c>
      <c r="V25" t="str">
        <f t="shared" si="61"/>
        <v>NA</v>
      </c>
      <c r="W25" s="1">
        <f t="shared" ref="W25" si="91">W12</f>
        <v>1.9999999999999999E-7</v>
      </c>
      <c r="X25" t="str">
        <f t="shared" si="61"/>
        <v>NA</v>
      </c>
      <c r="Y25" t="str">
        <f t="shared" si="61"/>
        <v>NA</v>
      </c>
      <c r="Z25" t="str">
        <f t="shared" si="61"/>
        <v>NA</v>
      </c>
      <c r="AA25" t="str">
        <f t="shared" si="61"/>
        <v>False</v>
      </c>
      <c r="AB25" t="str">
        <f t="shared" si="61"/>
        <v>NA</v>
      </c>
      <c r="AC25" t="str">
        <f t="shared" si="61"/>
        <v>NA</v>
      </c>
      <c r="AD25" t="str">
        <f t="shared" si="61"/>
        <v>False</v>
      </c>
      <c r="AE25">
        <f t="shared" si="61"/>
        <v>7.4021453290852969E-4</v>
      </c>
      <c r="AF25">
        <f t="shared" si="61"/>
        <v>2.3782326556187717E-4</v>
      </c>
      <c r="AG25">
        <f t="shared" ref="AG25" si="92">AG12</f>
        <v>0</v>
      </c>
      <c r="AH25">
        <f t="shared" si="61"/>
        <v>2.3782326556187716E-3</v>
      </c>
      <c r="AI25">
        <f t="shared" si="61"/>
        <v>1.2583647059445005E-7</v>
      </c>
      <c r="AJ25">
        <f t="shared" si="61"/>
        <v>0</v>
      </c>
      <c r="AK25">
        <f t="shared" si="61"/>
        <v>1.2583647059445005E-7</v>
      </c>
      <c r="AL25">
        <f t="shared" si="61"/>
        <v>6.2918235297225031E-10</v>
      </c>
      <c r="AM25">
        <f t="shared" si="61"/>
        <v>0</v>
      </c>
      <c r="AN25">
        <f t="shared" si="61"/>
        <v>6.2918235297225031E-10</v>
      </c>
      <c r="AO25" t="str">
        <f t="shared" si="24"/>
        <v>NA</v>
      </c>
      <c r="AP25" s="58">
        <f t="shared" si="4"/>
        <v>3.9214700262632978E-7</v>
      </c>
      <c r="AQ25" s="88">
        <f t="shared" si="5"/>
        <v>67.910893172283792</v>
      </c>
      <c r="AR25" s="58">
        <f t="shared" ref="AR25:AT25" si="93">AR12</f>
        <v>9.5</v>
      </c>
      <c r="AS25" s="58">
        <f t="shared" ref="AS25" si="94">AS12</f>
        <v>1889.9390966577716</v>
      </c>
      <c r="AT25" s="58">
        <f t="shared" si="93"/>
        <v>18899.390966577714</v>
      </c>
      <c r="AU25" s="58">
        <f t="shared" ref="AU25" si="95">AU12</f>
        <v>0</v>
      </c>
      <c r="AV25" s="71">
        <f t="shared" si="8"/>
        <v>0</v>
      </c>
      <c r="AW25" s="71">
        <f t="shared" si="75"/>
        <v>68</v>
      </c>
      <c r="AX25" s="7"/>
      <c r="AY25" s="8"/>
      <c r="AZ25" s="7"/>
      <c r="BA25" s="8"/>
      <c r="BB25" s="8"/>
      <c r="BC25" s="7"/>
      <c r="BD25" s="7"/>
    </row>
    <row r="26" spans="1:56" x14ac:dyDescent="0.25">
      <c r="A26" s="98"/>
      <c r="B26">
        <f t="shared" si="67"/>
        <v>1</v>
      </c>
      <c r="C26" t="s">
        <v>139</v>
      </c>
      <c r="D26">
        <f>D8-5</f>
        <v>1</v>
      </c>
      <c r="E26">
        <f>E8</f>
        <v>2191680</v>
      </c>
      <c r="F26">
        <f t="shared" ref="F26:AN30" si="96">F8</f>
        <v>0</v>
      </c>
      <c r="G26">
        <f t="shared" si="96"/>
        <v>0</v>
      </c>
      <c r="H26" t="str">
        <f t="shared" si="96"/>
        <v>True</v>
      </c>
      <c r="I26" t="str">
        <f t="shared" si="96"/>
        <v>False</v>
      </c>
      <c r="J26">
        <f t="shared" si="96"/>
        <v>2.894E-2</v>
      </c>
      <c r="K26">
        <f t="shared" si="96"/>
        <v>2.894E-2</v>
      </c>
      <c r="L26">
        <f t="shared" si="96"/>
        <v>7.2000000000000005E-4</v>
      </c>
      <c r="M26">
        <f t="shared" si="96"/>
        <v>0</v>
      </c>
      <c r="N26">
        <f t="shared" si="96"/>
        <v>0</v>
      </c>
      <c r="O26">
        <f t="shared" si="96"/>
        <v>0</v>
      </c>
      <c r="P26">
        <f t="shared" si="96"/>
        <v>0</v>
      </c>
      <c r="Q26">
        <f t="shared" si="96"/>
        <v>0</v>
      </c>
      <c r="R26">
        <f t="shared" si="96"/>
        <v>0</v>
      </c>
      <c r="S26">
        <f t="shared" si="96"/>
        <v>0</v>
      </c>
      <c r="T26" t="str">
        <f t="shared" si="96"/>
        <v>NA</v>
      </c>
      <c r="U26" t="str">
        <f t="shared" si="96"/>
        <v>NA</v>
      </c>
      <c r="V26" t="str">
        <f t="shared" si="96"/>
        <v>NA</v>
      </c>
      <c r="W26" s="1">
        <f t="shared" ref="W26" si="97">W8</f>
        <v>6.4152407049273701E-6</v>
      </c>
      <c r="X26" t="str">
        <f t="shared" si="96"/>
        <v>NA</v>
      </c>
      <c r="Y26" t="str">
        <f t="shared" si="96"/>
        <v>NA</v>
      </c>
      <c r="Z26" t="str">
        <f t="shared" si="96"/>
        <v>NA</v>
      </c>
      <c r="AA26" t="str">
        <f t="shared" si="96"/>
        <v>False</v>
      </c>
      <c r="AB26" t="str">
        <f t="shared" si="96"/>
        <v>NA</v>
      </c>
      <c r="AC26" t="str">
        <f t="shared" si="96"/>
        <v>NA</v>
      </c>
      <c r="AD26" t="str">
        <f t="shared" si="96"/>
        <v>False</v>
      </c>
      <c r="AE26">
        <f t="shared" si="96"/>
        <v>1.7912645183191897E-2</v>
      </c>
      <c r="AF26">
        <f t="shared" si="96"/>
        <v>5.7551474375663898E-3</v>
      </c>
      <c r="AG26">
        <f t="shared" ref="AG26" si="98">AG8</f>
        <v>0</v>
      </c>
      <c r="AH26">
        <f t="shared" si="96"/>
        <v>5.7551474375663887E-2</v>
      </c>
      <c r="AI26">
        <f t="shared" si="96"/>
        <v>3.0451496811426225E-6</v>
      </c>
      <c r="AJ26">
        <f t="shared" si="96"/>
        <v>0</v>
      </c>
      <c r="AK26">
        <f t="shared" si="96"/>
        <v>3.0451496811426225E-6</v>
      </c>
      <c r="AL26">
        <f t="shared" si="96"/>
        <v>1.5225748405713114E-8</v>
      </c>
      <c r="AM26">
        <f t="shared" si="96"/>
        <v>0</v>
      </c>
      <c r="AN26">
        <f t="shared" si="96"/>
        <v>1.5225748405713114E-8</v>
      </c>
      <c r="AO26" t="str">
        <f t="shared" si="24"/>
        <v>NA</v>
      </c>
      <c r="AP26" s="58">
        <f t="shared" si="4"/>
        <v>9.4896679346414427E-6</v>
      </c>
      <c r="AQ26" s="88">
        <f t="shared" si="5"/>
        <v>67.910893172283792</v>
      </c>
      <c r="AR26" s="58">
        <f t="shared" ref="AR26:AT26" si="99">AR8</f>
        <v>9.5</v>
      </c>
      <c r="AS26" s="58">
        <f t="shared" ref="AS26" si="100">AS8</f>
        <v>1889.9390966577716</v>
      </c>
      <c r="AT26" s="58">
        <f t="shared" si="99"/>
        <v>18899.390966577714</v>
      </c>
      <c r="AU26" s="58">
        <f t="shared" ref="AU26" si="101">AU8</f>
        <v>0</v>
      </c>
      <c r="AV26" s="71">
        <f t="shared" si="8"/>
        <v>0</v>
      </c>
      <c r="AW26" s="71">
        <f>AW8</f>
        <v>68</v>
      </c>
      <c r="AX26" s="7"/>
      <c r="AY26" s="8"/>
      <c r="AZ26" s="7"/>
      <c r="BA26" s="8"/>
      <c r="BB26" s="8"/>
      <c r="BC26" s="7"/>
      <c r="BD26" s="7"/>
    </row>
    <row r="27" spans="1:56" x14ac:dyDescent="0.25">
      <c r="A27" s="98"/>
      <c r="B27">
        <f t="shared" si="67"/>
        <v>1</v>
      </c>
      <c r="C27" t="s">
        <v>139</v>
      </c>
      <c r="D27">
        <f t="shared" ref="D27:D30" si="102">D9-5</f>
        <v>2</v>
      </c>
      <c r="E27">
        <f t="shared" ref="E27:T30" si="103">E9</f>
        <v>1643760</v>
      </c>
      <c r="F27">
        <f t="shared" si="103"/>
        <v>0</v>
      </c>
      <c r="G27">
        <f t="shared" si="103"/>
        <v>0</v>
      </c>
      <c r="H27" t="str">
        <f t="shared" si="103"/>
        <v>True</v>
      </c>
      <c r="I27" t="str">
        <f t="shared" si="103"/>
        <v>False</v>
      </c>
      <c r="J27">
        <f t="shared" si="103"/>
        <v>2.894E-2</v>
      </c>
      <c r="K27">
        <f t="shared" si="103"/>
        <v>2.894E-2</v>
      </c>
      <c r="L27">
        <f t="shared" si="103"/>
        <v>3.1E-4</v>
      </c>
      <c r="M27">
        <f t="shared" si="103"/>
        <v>0</v>
      </c>
      <c r="N27">
        <f t="shared" si="103"/>
        <v>0</v>
      </c>
      <c r="O27">
        <f t="shared" si="103"/>
        <v>0</v>
      </c>
      <c r="P27">
        <f t="shared" si="103"/>
        <v>0</v>
      </c>
      <c r="Q27">
        <f t="shared" si="103"/>
        <v>0</v>
      </c>
      <c r="R27">
        <f t="shared" si="103"/>
        <v>0</v>
      </c>
      <c r="S27">
        <f t="shared" si="103"/>
        <v>0</v>
      </c>
      <c r="T27" t="str">
        <f t="shared" si="103"/>
        <v>NA</v>
      </c>
      <c r="U27" t="str">
        <f t="shared" si="96"/>
        <v>NA</v>
      </c>
      <c r="V27" t="str">
        <f t="shared" si="96"/>
        <v>NA</v>
      </c>
      <c r="W27" s="1">
        <f t="shared" ref="W27" si="104">W9</f>
        <v>2.3349332116543619E-6</v>
      </c>
      <c r="X27" t="str">
        <f t="shared" si="96"/>
        <v>NA</v>
      </c>
      <c r="Y27" t="str">
        <f t="shared" si="96"/>
        <v>NA</v>
      </c>
      <c r="Z27" t="str">
        <f t="shared" si="96"/>
        <v>NA</v>
      </c>
      <c r="AA27" t="str">
        <f t="shared" si="96"/>
        <v>False</v>
      </c>
      <c r="AB27" t="str">
        <f t="shared" si="96"/>
        <v>NA</v>
      </c>
      <c r="AC27" t="str">
        <f t="shared" si="96"/>
        <v>NA</v>
      </c>
      <c r="AD27" t="str">
        <f t="shared" si="96"/>
        <v>False</v>
      </c>
      <c r="AE27">
        <f t="shared" si="96"/>
        <v>6.1942724565379036E-3</v>
      </c>
      <c r="AF27">
        <f t="shared" si="96"/>
        <v>1.9901556074634315E-3</v>
      </c>
      <c r="AG27">
        <f t="shared" ref="AG27" si="105">AG9</f>
        <v>0</v>
      </c>
      <c r="AH27">
        <f t="shared" si="96"/>
        <v>1.9901556074634313E-2</v>
      </c>
      <c r="AI27">
        <f t="shared" si="96"/>
        <v>1.0530263176114436E-6</v>
      </c>
      <c r="AJ27">
        <f t="shared" si="96"/>
        <v>0</v>
      </c>
      <c r="AK27">
        <f t="shared" si="96"/>
        <v>1.0530263176114436E-6</v>
      </c>
      <c r="AL27">
        <f t="shared" si="96"/>
        <v>5.2651315880572185E-9</v>
      </c>
      <c r="AM27">
        <f t="shared" si="96"/>
        <v>0</v>
      </c>
      <c r="AN27">
        <f t="shared" si="96"/>
        <v>5.2651315880572185E-9</v>
      </c>
      <c r="AO27">
        <f t="shared" si="24"/>
        <v>1800</v>
      </c>
      <c r="AP27" s="58">
        <f t="shared" si="4"/>
        <v>3.281569422499217E-6</v>
      </c>
      <c r="AQ27" s="88">
        <f t="shared" si="5"/>
        <v>67.910893172283792</v>
      </c>
      <c r="AR27" s="58">
        <f t="shared" ref="AR27:AT27" si="106">AR9</f>
        <v>9.5</v>
      </c>
      <c r="AS27" s="58">
        <f t="shared" ref="AS27" si="107">AS9</f>
        <v>1889.9390966577716</v>
      </c>
      <c r="AT27" s="58">
        <f t="shared" si="106"/>
        <v>18899.390966577714</v>
      </c>
      <c r="AU27" s="58">
        <f t="shared" ref="AU27" si="108">AU9</f>
        <v>0</v>
      </c>
      <c r="AV27" s="71">
        <f t="shared" si="8"/>
        <v>0</v>
      </c>
      <c r="AW27" s="71">
        <f t="shared" ref="AW27:AW30" si="109">AW9</f>
        <v>68</v>
      </c>
      <c r="AX27" s="7"/>
      <c r="AY27" s="8"/>
      <c r="AZ27" s="7"/>
      <c r="BA27" s="8"/>
      <c r="BB27" s="8"/>
      <c r="BC27" s="7"/>
      <c r="BD27" s="7"/>
    </row>
    <row r="28" spans="1:56" x14ac:dyDescent="0.25">
      <c r="A28" s="98"/>
      <c r="B28">
        <f t="shared" si="67"/>
        <v>1</v>
      </c>
      <c r="C28" t="s">
        <v>139</v>
      </c>
      <c r="D28">
        <f t="shared" si="102"/>
        <v>3</v>
      </c>
      <c r="E28">
        <f t="shared" si="103"/>
        <v>1095840</v>
      </c>
      <c r="F28">
        <f t="shared" si="96"/>
        <v>0</v>
      </c>
      <c r="G28">
        <f t="shared" si="96"/>
        <v>0</v>
      </c>
      <c r="H28" t="str">
        <f t="shared" si="96"/>
        <v>True</v>
      </c>
      <c r="I28" t="str">
        <f t="shared" si="96"/>
        <v>False</v>
      </c>
      <c r="J28">
        <f t="shared" si="96"/>
        <v>2.894E-2</v>
      </c>
      <c r="K28">
        <f t="shared" si="96"/>
        <v>2.894E-2</v>
      </c>
      <c r="L28">
        <f t="shared" si="96"/>
        <v>1.6000000000000001E-4</v>
      </c>
      <c r="M28">
        <f t="shared" si="96"/>
        <v>0</v>
      </c>
      <c r="N28">
        <f t="shared" si="96"/>
        <v>0</v>
      </c>
      <c r="O28">
        <f t="shared" si="96"/>
        <v>0</v>
      </c>
      <c r="P28">
        <f t="shared" si="96"/>
        <v>0</v>
      </c>
      <c r="Q28">
        <f t="shared" si="96"/>
        <v>0</v>
      </c>
      <c r="R28">
        <f t="shared" si="96"/>
        <v>0</v>
      </c>
      <c r="S28">
        <f t="shared" si="96"/>
        <v>0</v>
      </c>
      <c r="T28" t="str">
        <f t="shared" si="96"/>
        <v>NA</v>
      </c>
      <c r="U28" t="str">
        <f t="shared" si="96"/>
        <v>NA</v>
      </c>
      <c r="V28" t="str">
        <f t="shared" si="96"/>
        <v>NA</v>
      </c>
      <c r="W28" s="1">
        <f t="shared" ref="W28" si="110">W10</f>
        <v>9.1658819653476345E-7</v>
      </c>
      <c r="X28" t="str">
        <f t="shared" si="96"/>
        <v>NA</v>
      </c>
      <c r="Y28" t="str">
        <f t="shared" si="96"/>
        <v>NA</v>
      </c>
      <c r="Z28" t="str">
        <f t="shared" si="96"/>
        <v>NA</v>
      </c>
      <c r="AA28" t="str">
        <f t="shared" si="96"/>
        <v>False</v>
      </c>
      <c r="AB28" t="str">
        <f t="shared" si="96"/>
        <v>NA</v>
      </c>
      <c r="AC28" t="str">
        <f t="shared" si="96"/>
        <v>NA</v>
      </c>
      <c r="AD28" t="str">
        <f t="shared" si="96"/>
        <v>False</v>
      </c>
      <c r="AE28">
        <f t="shared" si="96"/>
        <v>2.7455961848723877E-3</v>
      </c>
      <c r="AF28">
        <f t="shared" si="96"/>
        <v>8.8213162748220658E-4</v>
      </c>
      <c r="AG28">
        <f t="shared" ref="AG28" si="111">AG10</f>
        <v>0</v>
      </c>
      <c r="AH28">
        <f t="shared" si="96"/>
        <v>8.8213162748220653E-3</v>
      </c>
      <c r="AI28">
        <f t="shared" si="96"/>
        <v>4.6675135142830591E-7</v>
      </c>
      <c r="AJ28">
        <f t="shared" si="96"/>
        <v>0</v>
      </c>
      <c r="AK28">
        <f t="shared" si="96"/>
        <v>4.6675135142830591E-7</v>
      </c>
      <c r="AL28">
        <f t="shared" si="96"/>
        <v>2.3337567571415298E-9</v>
      </c>
      <c r="AM28">
        <f t="shared" si="96"/>
        <v>0</v>
      </c>
      <c r="AN28">
        <f t="shared" si="96"/>
        <v>2.3337567571415298E-9</v>
      </c>
      <c r="AO28">
        <f t="shared" si="24"/>
        <v>1800</v>
      </c>
      <c r="AP28" s="58">
        <f t="shared" si="4"/>
        <v>1.4545476567305404E-6</v>
      </c>
      <c r="AQ28" s="88">
        <f t="shared" si="5"/>
        <v>67.910893172283792</v>
      </c>
      <c r="AR28" s="58">
        <f t="shared" ref="AR28:AT28" si="112">AR10</f>
        <v>9.5</v>
      </c>
      <c r="AS28" s="58">
        <f t="shared" ref="AS28" si="113">AS10</f>
        <v>1889.9390966577716</v>
      </c>
      <c r="AT28" s="58">
        <f t="shared" si="112"/>
        <v>18899.390966577714</v>
      </c>
      <c r="AU28" s="58">
        <f t="shared" ref="AU28" si="114">AU10</f>
        <v>0</v>
      </c>
      <c r="AV28" s="71">
        <f t="shared" si="8"/>
        <v>0</v>
      </c>
      <c r="AW28" s="71">
        <f t="shared" si="109"/>
        <v>68</v>
      </c>
      <c r="AX28" s="7"/>
      <c r="AY28" s="8"/>
      <c r="AZ28" s="7"/>
      <c r="BA28" s="8"/>
      <c r="BB28" s="8"/>
      <c r="BC28" s="7"/>
      <c r="BD28" s="7"/>
    </row>
    <row r="29" spans="1:56" x14ac:dyDescent="0.25">
      <c r="A29" s="98"/>
      <c r="B29">
        <f t="shared" si="67"/>
        <v>1</v>
      </c>
      <c r="C29" t="s">
        <v>139</v>
      </c>
      <c r="D29">
        <f t="shared" si="102"/>
        <v>4</v>
      </c>
      <c r="E29">
        <f t="shared" si="103"/>
        <v>547920</v>
      </c>
      <c r="F29">
        <f t="shared" si="96"/>
        <v>0</v>
      </c>
      <c r="G29">
        <f t="shared" si="96"/>
        <v>0</v>
      </c>
      <c r="H29" t="str">
        <f t="shared" si="96"/>
        <v>True</v>
      </c>
      <c r="I29" t="str">
        <f t="shared" si="96"/>
        <v>False</v>
      </c>
      <c r="J29">
        <f t="shared" si="96"/>
        <v>2.894E-2</v>
      </c>
      <c r="K29">
        <f t="shared" si="96"/>
        <v>2.894E-2</v>
      </c>
      <c r="L29">
        <f t="shared" si="96"/>
        <v>6.9999999999999994E-5</v>
      </c>
      <c r="M29">
        <f t="shared" si="96"/>
        <v>0</v>
      </c>
      <c r="N29">
        <f t="shared" si="96"/>
        <v>0</v>
      </c>
      <c r="O29">
        <f t="shared" si="96"/>
        <v>0</v>
      </c>
      <c r="P29">
        <f t="shared" si="96"/>
        <v>0</v>
      </c>
      <c r="Q29">
        <f t="shared" si="96"/>
        <v>0</v>
      </c>
      <c r="R29">
        <f t="shared" si="96"/>
        <v>0</v>
      </c>
      <c r="S29">
        <f t="shared" si="96"/>
        <v>0</v>
      </c>
      <c r="T29" t="str">
        <f t="shared" si="96"/>
        <v>NA</v>
      </c>
      <c r="U29" t="str">
        <f t="shared" si="96"/>
        <v>NA</v>
      </c>
      <c r="V29" t="str">
        <f t="shared" si="96"/>
        <v>NA</v>
      </c>
      <c r="W29" s="1">
        <f t="shared" ref="W29" si="115">W11</f>
        <v>3.8709515855680863E-7</v>
      </c>
      <c r="X29" t="str">
        <f t="shared" si="96"/>
        <v>NA</v>
      </c>
      <c r="Y29" t="str">
        <f t="shared" si="96"/>
        <v>NA</v>
      </c>
      <c r="Z29" t="str">
        <f t="shared" si="96"/>
        <v>NA</v>
      </c>
      <c r="AA29" t="str">
        <f t="shared" si="96"/>
        <v>False</v>
      </c>
      <c r="AB29" t="str">
        <f t="shared" si="96"/>
        <v>NA</v>
      </c>
      <c r="AC29" t="str">
        <f t="shared" si="96"/>
        <v>NA</v>
      </c>
      <c r="AD29" t="str">
        <f t="shared" si="96"/>
        <v>False</v>
      </c>
      <c r="AE29">
        <f t="shared" si="96"/>
        <v>1.0547664351198613E-3</v>
      </c>
      <c r="AF29">
        <f t="shared" si="96"/>
        <v>3.3888553500781266E-4</v>
      </c>
      <c r="AG29">
        <f t="shared" ref="AG29" si="116">AG11</f>
        <v>0</v>
      </c>
      <c r="AH29">
        <f t="shared" si="96"/>
        <v>3.3888553500781263E-3</v>
      </c>
      <c r="AI29">
        <f t="shared" si="96"/>
        <v>1.7931029397037642E-7</v>
      </c>
      <c r="AJ29">
        <f t="shared" si="96"/>
        <v>0</v>
      </c>
      <c r="AK29">
        <f t="shared" si="96"/>
        <v>1.7931029397037642E-7</v>
      </c>
      <c r="AL29">
        <f t="shared" si="96"/>
        <v>8.9655146985188215E-10</v>
      </c>
      <c r="AM29">
        <f t="shared" si="96"/>
        <v>0</v>
      </c>
      <c r="AN29">
        <f t="shared" si="96"/>
        <v>8.9655146985188215E-10</v>
      </c>
      <c r="AO29" t="str">
        <f t="shared" si="24"/>
        <v>NA</v>
      </c>
      <c r="AP29" s="58">
        <f t="shared" si="4"/>
        <v>5.5878867222163193E-7</v>
      </c>
      <c r="AQ29" s="88">
        <f t="shared" si="5"/>
        <v>67.910893172283792</v>
      </c>
      <c r="AR29" s="58">
        <f t="shared" ref="AR29:AT29" si="117">AR11</f>
        <v>9.5</v>
      </c>
      <c r="AS29" s="58">
        <f t="shared" ref="AS29" si="118">AS11</f>
        <v>1889.9390966577716</v>
      </c>
      <c r="AT29" s="58">
        <f t="shared" si="117"/>
        <v>18899.390966577714</v>
      </c>
      <c r="AU29" s="58">
        <f t="shared" ref="AU29" si="119">AU11</f>
        <v>0</v>
      </c>
      <c r="AV29" s="71">
        <f t="shared" si="8"/>
        <v>0</v>
      </c>
      <c r="AW29" s="71">
        <f t="shared" si="109"/>
        <v>68</v>
      </c>
      <c r="AX29" s="7"/>
      <c r="AY29" s="8"/>
      <c r="AZ29" s="7"/>
      <c r="BA29" s="8"/>
      <c r="BB29" s="8"/>
      <c r="BC29" s="7"/>
      <c r="BD29" s="7"/>
    </row>
    <row r="30" spans="1:56" x14ac:dyDescent="0.25">
      <c r="A30" s="98"/>
      <c r="B30">
        <f t="shared" si="67"/>
        <v>1</v>
      </c>
      <c r="C30" t="s">
        <v>139</v>
      </c>
      <c r="D30">
        <f t="shared" si="102"/>
        <v>5</v>
      </c>
      <c r="E30">
        <f t="shared" si="103"/>
        <v>0</v>
      </c>
      <c r="F30">
        <f t="shared" si="96"/>
        <v>0</v>
      </c>
      <c r="G30">
        <f t="shared" si="96"/>
        <v>0</v>
      </c>
      <c r="H30" t="str">
        <f t="shared" si="96"/>
        <v>True</v>
      </c>
      <c r="I30" t="str">
        <f t="shared" si="96"/>
        <v>False</v>
      </c>
      <c r="J30">
        <f t="shared" si="96"/>
        <v>2.894E-2</v>
      </c>
      <c r="K30">
        <f t="shared" si="96"/>
        <v>2.894E-2</v>
      </c>
      <c r="L30">
        <f t="shared" si="96"/>
        <v>5.0000000000000002E-5</v>
      </c>
      <c r="M30">
        <f t="shared" si="96"/>
        <v>0</v>
      </c>
      <c r="N30">
        <f t="shared" si="96"/>
        <v>0</v>
      </c>
      <c r="O30">
        <f t="shared" si="96"/>
        <v>0</v>
      </c>
      <c r="P30">
        <f t="shared" si="96"/>
        <v>0</v>
      </c>
      <c r="Q30">
        <f t="shared" si="96"/>
        <v>0</v>
      </c>
      <c r="R30">
        <f t="shared" si="96"/>
        <v>0</v>
      </c>
      <c r="S30">
        <f t="shared" si="96"/>
        <v>0</v>
      </c>
      <c r="T30" t="str">
        <f t="shared" si="96"/>
        <v>NA</v>
      </c>
      <c r="U30" t="str">
        <f t="shared" si="96"/>
        <v>NA</v>
      </c>
      <c r="V30" t="str">
        <f t="shared" si="96"/>
        <v>NA</v>
      </c>
      <c r="W30" s="1">
        <f t="shared" ref="W30" si="120">W12</f>
        <v>1.9999999999999999E-7</v>
      </c>
      <c r="X30" t="str">
        <f t="shared" si="96"/>
        <v>NA</v>
      </c>
      <c r="Y30" t="str">
        <f t="shared" si="96"/>
        <v>NA</v>
      </c>
      <c r="Z30" t="str">
        <f t="shared" si="96"/>
        <v>NA</v>
      </c>
      <c r="AA30" t="str">
        <f t="shared" si="96"/>
        <v>False</v>
      </c>
      <c r="AB30" t="str">
        <f t="shared" si="96"/>
        <v>NA</v>
      </c>
      <c r="AC30" t="str">
        <f t="shared" si="96"/>
        <v>NA</v>
      </c>
      <c r="AD30" t="str">
        <f t="shared" si="96"/>
        <v>False</v>
      </c>
      <c r="AE30">
        <f t="shared" si="96"/>
        <v>7.4021453290852969E-4</v>
      </c>
      <c r="AF30">
        <f t="shared" si="96"/>
        <v>2.3782326556187717E-4</v>
      </c>
      <c r="AG30">
        <f t="shared" ref="AG30" si="121">AG12</f>
        <v>0</v>
      </c>
      <c r="AH30">
        <f t="shared" si="96"/>
        <v>2.3782326556187716E-3</v>
      </c>
      <c r="AI30">
        <f t="shared" si="96"/>
        <v>1.2583647059445005E-7</v>
      </c>
      <c r="AJ30">
        <f t="shared" si="96"/>
        <v>0</v>
      </c>
      <c r="AK30">
        <f t="shared" si="96"/>
        <v>1.2583647059445005E-7</v>
      </c>
      <c r="AL30">
        <f t="shared" si="96"/>
        <v>6.2918235297225031E-10</v>
      </c>
      <c r="AM30">
        <f t="shared" si="96"/>
        <v>0</v>
      </c>
      <c r="AN30">
        <f t="shared" si="96"/>
        <v>6.2918235297225031E-10</v>
      </c>
      <c r="AO30" t="str">
        <f t="shared" si="24"/>
        <v>NA</v>
      </c>
      <c r="AP30" s="58">
        <f t="shared" si="4"/>
        <v>3.9214700262632978E-7</v>
      </c>
      <c r="AQ30" s="88">
        <f t="shared" si="5"/>
        <v>67.910893172283792</v>
      </c>
      <c r="AR30" s="58">
        <f t="shared" ref="AR30:AT30" si="122">AR12</f>
        <v>9.5</v>
      </c>
      <c r="AS30" s="58">
        <f t="shared" ref="AS30" si="123">AS12</f>
        <v>1889.9390966577716</v>
      </c>
      <c r="AT30" s="58">
        <f t="shared" si="122"/>
        <v>18899.390966577714</v>
      </c>
      <c r="AU30" s="58">
        <f t="shared" ref="AU30" si="124">AU12</f>
        <v>0</v>
      </c>
      <c r="AV30" s="71">
        <f t="shared" si="8"/>
        <v>0</v>
      </c>
      <c r="AW30" s="71">
        <f t="shared" si="109"/>
        <v>68</v>
      </c>
      <c r="AX30" s="7"/>
      <c r="AY30" s="8"/>
      <c r="AZ30" s="7"/>
      <c r="BA30" s="8"/>
      <c r="BB30" s="8"/>
      <c r="BC30" s="7"/>
      <c r="BD30" s="7"/>
    </row>
    <row r="31" spans="1:56" x14ac:dyDescent="0.25">
      <c r="A31" s="98"/>
      <c r="B31">
        <f t="shared" si="67"/>
        <v>1</v>
      </c>
      <c r="C31" t="s">
        <v>140</v>
      </c>
      <c r="D31">
        <f>D9-6</f>
        <v>1</v>
      </c>
      <c r="E31">
        <f>E9</f>
        <v>1643760</v>
      </c>
      <c r="F31">
        <f t="shared" ref="F31:AN34" si="125">F9</f>
        <v>0</v>
      </c>
      <c r="G31">
        <f t="shared" si="125"/>
        <v>0</v>
      </c>
      <c r="H31" t="str">
        <f t="shared" si="125"/>
        <v>True</v>
      </c>
      <c r="I31" t="str">
        <f t="shared" si="125"/>
        <v>False</v>
      </c>
      <c r="J31">
        <f t="shared" si="125"/>
        <v>2.894E-2</v>
      </c>
      <c r="K31">
        <f t="shared" si="125"/>
        <v>2.894E-2</v>
      </c>
      <c r="L31">
        <f t="shared" si="125"/>
        <v>3.1E-4</v>
      </c>
      <c r="M31">
        <f t="shared" si="125"/>
        <v>0</v>
      </c>
      <c r="N31">
        <f t="shared" si="125"/>
        <v>0</v>
      </c>
      <c r="O31">
        <f t="shared" si="125"/>
        <v>0</v>
      </c>
      <c r="P31">
        <f t="shared" si="125"/>
        <v>0</v>
      </c>
      <c r="Q31">
        <f t="shared" si="125"/>
        <v>0</v>
      </c>
      <c r="R31">
        <f t="shared" si="125"/>
        <v>0</v>
      </c>
      <c r="S31">
        <f t="shared" si="125"/>
        <v>0</v>
      </c>
      <c r="T31" t="str">
        <f t="shared" si="125"/>
        <v>NA</v>
      </c>
      <c r="U31" t="str">
        <f t="shared" si="125"/>
        <v>NA</v>
      </c>
      <c r="V31" t="str">
        <f t="shared" si="125"/>
        <v>NA</v>
      </c>
      <c r="W31" s="1">
        <f t="shared" ref="W31" si="126">W9</f>
        <v>2.3349332116543619E-6</v>
      </c>
      <c r="X31" t="str">
        <f t="shared" si="125"/>
        <v>NA</v>
      </c>
      <c r="Y31" t="str">
        <f t="shared" si="125"/>
        <v>NA</v>
      </c>
      <c r="Z31" t="str">
        <f t="shared" si="125"/>
        <v>NA</v>
      </c>
      <c r="AA31" t="str">
        <f t="shared" si="125"/>
        <v>False</v>
      </c>
      <c r="AB31" t="str">
        <f t="shared" si="125"/>
        <v>NA</v>
      </c>
      <c r="AC31" t="str">
        <f t="shared" si="125"/>
        <v>NA</v>
      </c>
      <c r="AD31" t="str">
        <f t="shared" si="125"/>
        <v>False</v>
      </c>
      <c r="AE31">
        <f t="shared" si="125"/>
        <v>6.1942724565379036E-3</v>
      </c>
      <c r="AF31">
        <f t="shared" si="125"/>
        <v>1.9901556074634315E-3</v>
      </c>
      <c r="AG31">
        <f t="shared" ref="AG31" si="127">AG9</f>
        <v>0</v>
      </c>
      <c r="AH31">
        <f t="shared" si="125"/>
        <v>1.9901556074634313E-2</v>
      </c>
      <c r="AI31">
        <f t="shared" si="125"/>
        <v>1.0530263176114436E-6</v>
      </c>
      <c r="AJ31">
        <f t="shared" si="125"/>
        <v>0</v>
      </c>
      <c r="AK31">
        <f t="shared" si="125"/>
        <v>1.0530263176114436E-6</v>
      </c>
      <c r="AL31">
        <f t="shared" si="125"/>
        <v>5.2651315880572185E-9</v>
      </c>
      <c r="AM31">
        <f t="shared" si="125"/>
        <v>0</v>
      </c>
      <c r="AN31">
        <f t="shared" si="125"/>
        <v>5.2651315880572185E-9</v>
      </c>
      <c r="AO31" t="str">
        <f t="shared" si="24"/>
        <v>NA</v>
      </c>
      <c r="AP31" s="58">
        <f t="shared" si="4"/>
        <v>3.281569422499217E-6</v>
      </c>
      <c r="AQ31" s="88">
        <f t="shared" si="5"/>
        <v>67.910893172283792</v>
      </c>
      <c r="AR31" s="58">
        <f t="shared" ref="AR31:AT31" si="128">AR9</f>
        <v>9.5</v>
      </c>
      <c r="AS31" s="58">
        <f t="shared" ref="AS31" si="129">AS9</f>
        <v>1889.9390966577716</v>
      </c>
      <c r="AT31" s="58">
        <f t="shared" si="128"/>
        <v>18899.390966577714</v>
      </c>
      <c r="AU31" s="58">
        <f t="shared" ref="AU31" si="130">AU9</f>
        <v>0</v>
      </c>
      <c r="AV31" s="71">
        <f t="shared" si="8"/>
        <v>0</v>
      </c>
      <c r="AW31" s="71">
        <f>AW16</f>
        <v>68</v>
      </c>
      <c r="AX31" s="7"/>
      <c r="AY31" s="8"/>
      <c r="AZ31" s="7"/>
      <c r="BA31" s="8"/>
      <c r="BB31" s="8"/>
      <c r="BC31" s="7"/>
      <c r="BD31" s="7"/>
    </row>
    <row r="32" spans="1:56" x14ac:dyDescent="0.25">
      <c r="A32" s="98"/>
      <c r="B32">
        <f t="shared" si="67"/>
        <v>1</v>
      </c>
      <c r="C32" t="s">
        <v>140</v>
      </c>
      <c r="D32">
        <f t="shared" ref="D32:D34" si="131">D10-6</f>
        <v>2</v>
      </c>
      <c r="E32">
        <f t="shared" ref="E32:T34" si="132">E10</f>
        <v>1095840</v>
      </c>
      <c r="F32">
        <f t="shared" si="132"/>
        <v>0</v>
      </c>
      <c r="G32">
        <f t="shared" si="132"/>
        <v>0</v>
      </c>
      <c r="H32" t="str">
        <f t="shared" si="132"/>
        <v>True</v>
      </c>
      <c r="I32" t="str">
        <f t="shared" si="132"/>
        <v>False</v>
      </c>
      <c r="J32">
        <f t="shared" si="132"/>
        <v>2.894E-2</v>
      </c>
      <c r="K32">
        <f t="shared" si="132"/>
        <v>2.894E-2</v>
      </c>
      <c r="L32">
        <f t="shared" si="132"/>
        <v>1.6000000000000001E-4</v>
      </c>
      <c r="M32">
        <f t="shared" si="132"/>
        <v>0</v>
      </c>
      <c r="N32">
        <f t="shared" si="132"/>
        <v>0</v>
      </c>
      <c r="O32">
        <f t="shared" si="132"/>
        <v>0</v>
      </c>
      <c r="P32">
        <f t="shared" si="132"/>
        <v>0</v>
      </c>
      <c r="Q32">
        <f t="shared" si="132"/>
        <v>0</v>
      </c>
      <c r="R32">
        <f t="shared" si="132"/>
        <v>0</v>
      </c>
      <c r="S32">
        <f t="shared" si="132"/>
        <v>0</v>
      </c>
      <c r="T32" t="str">
        <f t="shared" si="132"/>
        <v>NA</v>
      </c>
      <c r="U32" t="str">
        <f t="shared" si="125"/>
        <v>NA</v>
      </c>
      <c r="V32" t="str">
        <f t="shared" si="125"/>
        <v>NA</v>
      </c>
      <c r="W32" s="1">
        <f t="shared" ref="W32" si="133">W10</f>
        <v>9.1658819653476345E-7</v>
      </c>
      <c r="X32" t="str">
        <f t="shared" si="125"/>
        <v>NA</v>
      </c>
      <c r="Y32" t="str">
        <f t="shared" si="125"/>
        <v>NA</v>
      </c>
      <c r="Z32" t="str">
        <f t="shared" si="125"/>
        <v>NA</v>
      </c>
      <c r="AA32" t="str">
        <f t="shared" si="125"/>
        <v>False</v>
      </c>
      <c r="AB32" t="str">
        <f t="shared" si="125"/>
        <v>NA</v>
      </c>
      <c r="AC32" t="str">
        <f t="shared" si="125"/>
        <v>NA</v>
      </c>
      <c r="AD32" t="str">
        <f t="shared" si="125"/>
        <v>False</v>
      </c>
      <c r="AE32">
        <f t="shared" si="125"/>
        <v>2.7455961848723877E-3</v>
      </c>
      <c r="AF32">
        <f t="shared" si="125"/>
        <v>8.8213162748220658E-4</v>
      </c>
      <c r="AG32">
        <f t="shared" ref="AG32" si="134">AG10</f>
        <v>0</v>
      </c>
      <c r="AH32">
        <f t="shared" si="125"/>
        <v>8.8213162748220653E-3</v>
      </c>
      <c r="AI32">
        <f t="shared" si="125"/>
        <v>4.6675135142830591E-7</v>
      </c>
      <c r="AJ32">
        <f t="shared" si="125"/>
        <v>0</v>
      </c>
      <c r="AK32">
        <f t="shared" si="125"/>
        <v>4.6675135142830591E-7</v>
      </c>
      <c r="AL32">
        <f t="shared" si="125"/>
        <v>2.3337567571415298E-9</v>
      </c>
      <c r="AM32">
        <f t="shared" si="125"/>
        <v>0</v>
      </c>
      <c r="AN32">
        <f t="shared" si="125"/>
        <v>2.3337567571415298E-9</v>
      </c>
      <c r="AO32" t="str">
        <f t="shared" si="24"/>
        <v>NA</v>
      </c>
      <c r="AP32" s="58">
        <f t="shared" si="4"/>
        <v>1.4545476567305404E-6</v>
      </c>
      <c r="AQ32" s="88">
        <f t="shared" si="5"/>
        <v>67.910893172283792</v>
      </c>
      <c r="AR32" s="58">
        <f t="shared" ref="AR32:AT32" si="135">AR10</f>
        <v>9.5</v>
      </c>
      <c r="AS32" s="58">
        <f t="shared" ref="AS32" si="136">AS10</f>
        <v>1889.9390966577716</v>
      </c>
      <c r="AT32" s="58">
        <f t="shared" si="135"/>
        <v>18899.390966577714</v>
      </c>
      <c r="AU32" s="58">
        <f t="shared" ref="AU32" si="137">AU10</f>
        <v>0</v>
      </c>
      <c r="AV32" s="71">
        <f t="shared" si="8"/>
        <v>0</v>
      </c>
      <c r="AW32" s="71">
        <f t="shared" ref="AW32:AW34" si="138">AW17</f>
        <v>68</v>
      </c>
      <c r="AX32" s="7"/>
      <c r="AY32" s="8"/>
      <c r="AZ32" s="7"/>
      <c r="BA32" s="8"/>
      <c r="BB32" s="8"/>
      <c r="BC32" s="7"/>
      <c r="BD32" s="7"/>
    </row>
    <row r="33" spans="1:56" x14ac:dyDescent="0.25">
      <c r="A33" s="98"/>
      <c r="B33">
        <f t="shared" si="67"/>
        <v>1</v>
      </c>
      <c r="C33" t="s">
        <v>140</v>
      </c>
      <c r="D33">
        <f t="shared" si="131"/>
        <v>3</v>
      </c>
      <c r="E33">
        <f t="shared" si="132"/>
        <v>547920</v>
      </c>
      <c r="F33">
        <f t="shared" si="125"/>
        <v>0</v>
      </c>
      <c r="G33">
        <f t="shared" si="125"/>
        <v>0</v>
      </c>
      <c r="H33" t="str">
        <f t="shared" si="125"/>
        <v>True</v>
      </c>
      <c r="I33" t="str">
        <f t="shared" si="125"/>
        <v>False</v>
      </c>
      <c r="J33">
        <f t="shared" si="125"/>
        <v>2.894E-2</v>
      </c>
      <c r="K33">
        <f t="shared" si="125"/>
        <v>2.894E-2</v>
      </c>
      <c r="L33">
        <f t="shared" si="125"/>
        <v>6.9999999999999994E-5</v>
      </c>
      <c r="M33">
        <f t="shared" si="125"/>
        <v>0</v>
      </c>
      <c r="N33">
        <f t="shared" si="125"/>
        <v>0</v>
      </c>
      <c r="O33">
        <f t="shared" si="125"/>
        <v>0</v>
      </c>
      <c r="P33">
        <f t="shared" si="125"/>
        <v>0</v>
      </c>
      <c r="Q33">
        <f t="shared" si="125"/>
        <v>0</v>
      </c>
      <c r="R33">
        <f t="shared" si="125"/>
        <v>0</v>
      </c>
      <c r="S33">
        <f t="shared" si="125"/>
        <v>0</v>
      </c>
      <c r="T33" t="str">
        <f t="shared" si="125"/>
        <v>NA</v>
      </c>
      <c r="U33" t="str">
        <f t="shared" si="125"/>
        <v>NA</v>
      </c>
      <c r="V33" t="str">
        <f t="shared" si="125"/>
        <v>NA</v>
      </c>
      <c r="W33" s="1">
        <f t="shared" ref="W33" si="139">W11</f>
        <v>3.8709515855680863E-7</v>
      </c>
      <c r="X33" t="str">
        <f t="shared" si="125"/>
        <v>NA</v>
      </c>
      <c r="Y33" t="str">
        <f t="shared" si="125"/>
        <v>NA</v>
      </c>
      <c r="Z33" t="str">
        <f t="shared" si="125"/>
        <v>NA</v>
      </c>
      <c r="AA33" t="str">
        <f t="shared" si="125"/>
        <v>False</v>
      </c>
      <c r="AB33" t="str">
        <f t="shared" si="125"/>
        <v>NA</v>
      </c>
      <c r="AC33" t="str">
        <f t="shared" si="125"/>
        <v>NA</v>
      </c>
      <c r="AD33" t="str">
        <f t="shared" si="125"/>
        <v>False</v>
      </c>
      <c r="AE33">
        <f t="shared" si="125"/>
        <v>1.0547664351198613E-3</v>
      </c>
      <c r="AF33">
        <f t="shared" si="125"/>
        <v>3.3888553500781266E-4</v>
      </c>
      <c r="AG33">
        <f t="shared" ref="AG33" si="140">AG11</f>
        <v>0</v>
      </c>
      <c r="AH33">
        <f t="shared" si="125"/>
        <v>3.3888553500781263E-3</v>
      </c>
      <c r="AI33">
        <f t="shared" si="125"/>
        <v>1.7931029397037642E-7</v>
      </c>
      <c r="AJ33">
        <f t="shared" si="125"/>
        <v>0</v>
      </c>
      <c r="AK33">
        <f t="shared" si="125"/>
        <v>1.7931029397037642E-7</v>
      </c>
      <c r="AL33">
        <f t="shared" si="125"/>
        <v>8.9655146985188215E-10</v>
      </c>
      <c r="AM33">
        <f t="shared" si="125"/>
        <v>0</v>
      </c>
      <c r="AN33">
        <f t="shared" si="125"/>
        <v>8.9655146985188215E-10</v>
      </c>
      <c r="AO33" t="str">
        <f t="shared" si="24"/>
        <v>NA</v>
      </c>
      <c r="AP33" s="58">
        <f t="shared" si="4"/>
        <v>5.5878867222163193E-7</v>
      </c>
      <c r="AQ33" s="88">
        <f t="shared" si="5"/>
        <v>67.910893172283792</v>
      </c>
      <c r="AR33" s="58">
        <f t="shared" ref="AR33:AT33" si="141">AR11</f>
        <v>9.5</v>
      </c>
      <c r="AS33" s="58">
        <f t="shared" ref="AS33" si="142">AS11</f>
        <v>1889.9390966577716</v>
      </c>
      <c r="AT33" s="58">
        <f t="shared" si="141"/>
        <v>18899.390966577714</v>
      </c>
      <c r="AU33" s="58">
        <f t="shared" ref="AU33" si="143">AU11</f>
        <v>0</v>
      </c>
      <c r="AV33" s="71">
        <f t="shared" si="8"/>
        <v>0</v>
      </c>
      <c r="AW33" s="71">
        <f t="shared" si="138"/>
        <v>68</v>
      </c>
      <c r="AX33" s="7"/>
      <c r="AY33" s="8"/>
      <c r="AZ33" s="7"/>
      <c r="BA33" s="8"/>
      <c r="BB33" s="8"/>
      <c r="BC33" s="7"/>
      <c r="BD33" s="7"/>
    </row>
    <row r="34" spans="1:56" x14ac:dyDescent="0.25">
      <c r="A34" s="98"/>
      <c r="B34">
        <f t="shared" si="67"/>
        <v>1</v>
      </c>
      <c r="C34" t="s">
        <v>140</v>
      </c>
      <c r="D34">
        <f t="shared" si="131"/>
        <v>4</v>
      </c>
      <c r="E34">
        <f t="shared" si="132"/>
        <v>0</v>
      </c>
      <c r="F34">
        <f t="shared" si="125"/>
        <v>0</v>
      </c>
      <c r="G34">
        <f t="shared" si="125"/>
        <v>0</v>
      </c>
      <c r="H34" t="str">
        <f t="shared" si="125"/>
        <v>True</v>
      </c>
      <c r="I34" t="str">
        <f t="shared" si="125"/>
        <v>False</v>
      </c>
      <c r="J34">
        <f t="shared" si="125"/>
        <v>2.894E-2</v>
      </c>
      <c r="K34">
        <f t="shared" si="125"/>
        <v>2.894E-2</v>
      </c>
      <c r="L34">
        <f t="shared" si="125"/>
        <v>5.0000000000000002E-5</v>
      </c>
      <c r="M34">
        <f t="shared" si="125"/>
        <v>0</v>
      </c>
      <c r="N34">
        <f t="shared" si="125"/>
        <v>0</v>
      </c>
      <c r="O34">
        <f t="shared" si="125"/>
        <v>0</v>
      </c>
      <c r="P34">
        <f t="shared" si="125"/>
        <v>0</v>
      </c>
      <c r="Q34">
        <f t="shared" si="125"/>
        <v>0</v>
      </c>
      <c r="R34">
        <f t="shared" si="125"/>
        <v>0</v>
      </c>
      <c r="S34">
        <f t="shared" si="125"/>
        <v>0</v>
      </c>
      <c r="T34" t="str">
        <f t="shared" si="125"/>
        <v>NA</v>
      </c>
      <c r="U34" t="str">
        <f t="shared" si="125"/>
        <v>NA</v>
      </c>
      <c r="V34" t="str">
        <f t="shared" si="125"/>
        <v>NA</v>
      </c>
      <c r="W34" s="1">
        <f t="shared" ref="W34" si="144">W12</f>
        <v>1.9999999999999999E-7</v>
      </c>
      <c r="X34" t="str">
        <f t="shared" si="125"/>
        <v>NA</v>
      </c>
      <c r="Y34" t="str">
        <f t="shared" si="125"/>
        <v>NA</v>
      </c>
      <c r="Z34" t="str">
        <f t="shared" si="125"/>
        <v>NA</v>
      </c>
      <c r="AA34" t="str">
        <f t="shared" si="125"/>
        <v>False</v>
      </c>
      <c r="AB34" t="str">
        <f t="shared" si="125"/>
        <v>NA</v>
      </c>
      <c r="AC34" t="str">
        <f t="shared" si="125"/>
        <v>NA</v>
      </c>
      <c r="AD34" t="str">
        <f t="shared" si="125"/>
        <v>False</v>
      </c>
      <c r="AE34">
        <f t="shared" si="125"/>
        <v>7.4021453290852969E-4</v>
      </c>
      <c r="AF34">
        <f t="shared" si="125"/>
        <v>2.3782326556187717E-4</v>
      </c>
      <c r="AG34">
        <f t="shared" ref="AG34" si="145">AG12</f>
        <v>0</v>
      </c>
      <c r="AH34">
        <f t="shared" si="125"/>
        <v>2.3782326556187716E-3</v>
      </c>
      <c r="AI34">
        <f t="shared" si="125"/>
        <v>1.2583647059445005E-7</v>
      </c>
      <c r="AJ34">
        <f t="shared" si="125"/>
        <v>0</v>
      </c>
      <c r="AK34">
        <f t="shared" si="125"/>
        <v>1.2583647059445005E-7</v>
      </c>
      <c r="AL34">
        <f t="shared" si="125"/>
        <v>6.2918235297225031E-10</v>
      </c>
      <c r="AM34">
        <f t="shared" si="125"/>
        <v>0</v>
      </c>
      <c r="AN34">
        <f t="shared" si="125"/>
        <v>6.2918235297225031E-10</v>
      </c>
      <c r="AO34">
        <f t="shared" si="24"/>
        <v>1800</v>
      </c>
      <c r="AP34" s="61">
        <f t="shared" si="4"/>
        <v>3.9214700262632978E-7</v>
      </c>
      <c r="AQ34" s="89">
        <f t="shared" si="5"/>
        <v>67.910893172283792</v>
      </c>
      <c r="AR34" s="61">
        <f t="shared" ref="AR34:AT34" si="146">AR12</f>
        <v>9.5</v>
      </c>
      <c r="AS34" s="61">
        <f t="shared" ref="AS34" si="147">AS12</f>
        <v>1889.9390966577716</v>
      </c>
      <c r="AT34" s="61">
        <f t="shared" si="146"/>
        <v>18899.390966577714</v>
      </c>
      <c r="AU34" s="61">
        <f t="shared" ref="AU34" si="148">AU12</f>
        <v>0</v>
      </c>
      <c r="AV34" s="71">
        <f t="shared" si="8"/>
        <v>0</v>
      </c>
      <c r="AW34" s="71">
        <f t="shared" si="138"/>
        <v>68</v>
      </c>
      <c r="AX34" s="7"/>
      <c r="AY34" s="8"/>
      <c r="AZ34" s="7"/>
      <c r="BA34" s="8"/>
      <c r="BB34" s="8"/>
      <c r="BC34" s="7"/>
      <c r="BD34" s="7"/>
    </row>
    <row r="35" spans="1:56" x14ac:dyDescent="0.25">
      <c r="A35" s="4"/>
      <c r="X35" s="1"/>
      <c r="Y35" s="1"/>
      <c r="Z35" s="1"/>
      <c r="AA35" s="1"/>
      <c r="AB35" s="1"/>
      <c r="AC35" s="1"/>
      <c r="AD35" s="1"/>
      <c r="AE35" s="1"/>
      <c r="AF35" s="1"/>
    </row>
    <row r="36" spans="1:56" s="2" customFormat="1" x14ac:dyDescent="0.25">
      <c r="A36" s="98" t="s">
        <v>71</v>
      </c>
      <c r="B36" s="5" t="s">
        <v>0</v>
      </c>
      <c r="C36" s="5" t="s">
        <v>1</v>
      </c>
      <c r="D36" s="5" t="s">
        <v>2</v>
      </c>
      <c r="E36" s="5" t="s">
        <v>34</v>
      </c>
      <c r="F36" s="37" t="s">
        <v>35</v>
      </c>
      <c r="G36" s="37" t="s">
        <v>137</v>
      </c>
      <c r="H36" s="37" t="s">
        <v>36</v>
      </c>
      <c r="I36" s="37" t="s">
        <v>37</v>
      </c>
      <c r="J36" s="5" t="s">
        <v>27</v>
      </c>
      <c r="K36" s="5" t="s">
        <v>43</v>
      </c>
      <c r="L36" s="5" t="s">
        <v>22</v>
      </c>
      <c r="M36" s="5" t="s">
        <v>24</v>
      </c>
      <c r="N36" s="5" t="s">
        <v>23</v>
      </c>
      <c r="O36" s="5" t="s">
        <v>21</v>
      </c>
      <c r="P36" s="5" t="s">
        <v>44</v>
      </c>
      <c r="Q36" s="5" t="s">
        <v>45</v>
      </c>
      <c r="R36" s="5" t="s">
        <v>85</v>
      </c>
      <c r="S36" s="5" t="s">
        <v>66</v>
      </c>
      <c r="T36" s="5" t="s">
        <v>64</v>
      </c>
      <c r="U36" s="12" t="s">
        <v>62</v>
      </c>
      <c r="V36" s="12" t="s">
        <v>107</v>
      </c>
      <c r="W36" s="12" t="s">
        <v>22</v>
      </c>
      <c r="X36" s="12" t="s">
        <v>24</v>
      </c>
      <c r="AA36" s="12" t="s">
        <v>23</v>
      </c>
      <c r="AB36" s="3"/>
      <c r="AC36" s="12" t="s">
        <v>45</v>
      </c>
      <c r="AD36" s="12" t="s">
        <v>77</v>
      </c>
      <c r="AE36" s="12" t="s">
        <v>125</v>
      </c>
      <c r="AF36" s="3"/>
      <c r="AG36" s="3"/>
      <c r="AP36" s="22"/>
      <c r="AQ36" s="67" t="s">
        <v>21</v>
      </c>
      <c r="AR36" s="67" t="s">
        <v>135</v>
      </c>
      <c r="AS36" s="68" t="s">
        <v>115</v>
      </c>
      <c r="AT36" s="40"/>
      <c r="AU36" s="40"/>
      <c r="AV36" s="40"/>
    </row>
    <row r="37" spans="1:56" x14ac:dyDescent="0.25">
      <c r="A37" s="98"/>
      <c r="B37">
        <v>1</v>
      </c>
      <c r="C37" t="s">
        <v>30</v>
      </c>
      <c r="D37">
        <v>1</v>
      </c>
      <c r="E37" t="s">
        <v>38</v>
      </c>
      <c r="F37" s="38" t="s">
        <v>39</v>
      </c>
      <c r="G37" s="38">
        <f>INPUTS!G15</f>
        <v>240</v>
      </c>
      <c r="H37" s="38">
        <v>8.2000000000000003E-2</v>
      </c>
      <c r="I37" s="38" t="s">
        <v>33</v>
      </c>
      <c r="J37">
        <f>P37*$U$37</f>
        <v>4.1067678351431759E-3</v>
      </c>
      <c r="K37">
        <f>J37*0.005</f>
        <v>2.053383917571588E-5</v>
      </c>
      <c r="L37">
        <f>J37*$W37</f>
        <v>1.6935436858020134</v>
      </c>
      <c r="M37">
        <f t="shared" ref="M37:M42" si="149">J37*$X37</f>
        <v>16.935436858020136</v>
      </c>
      <c r="N37">
        <f t="shared" ref="N37:N42" si="150">AA37*$J37</f>
        <v>0</v>
      </c>
      <c r="O37" s="1">
        <f t="shared" ref="O37:O42" si="151">J37*$AB$38</f>
        <v>24.157457853783384</v>
      </c>
      <c r="P37">
        <v>1.9556037310205601E-4</v>
      </c>
      <c r="Q37" s="1">
        <f t="shared" ref="Q37:Q42" si="152">J37*$AC37</f>
        <v>0.34907526598716992</v>
      </c>
      <c r="R37">
        <v>4400</v>
      </c>
      <c r="S37">
        <v>0</v>
      </c>
      <c r="T37">
        <v>0</v>
      </c>
      <c r="U37" s="13">
        <f>INPUTS!U15</f>
        <v>21</v>
      </c>
      <c r="V37" s="13">
        <f>INPUTS!V15</f>
        <v>4.3</v>
      </c>
      <c r="W37" s="13">
        <f t="shared" ref="W37:W42" si="153">(($V37/100)*(1+$AB$38*$E$53)-$Y$38)/(((1+1/$X$45)*(14*10^(-6)))-(($J$53/$X$45+$F$53)*$V37/100))</f>
        <v>412.37872550518085</v>
      </c>
      <c r="X37" s="13">
        <f>$W37/$X$45</f>
        <v>4123.7872550518086</v>
      </c>
      <c r="Y37" s="67" t="s">
        <v>43</v>
      </c>
      <c r="Z37" s="67" t="s">
        <v>27</v>
      </c>
      <c r="AA37" s="76">
        <f t="shared" ref="AA37:AA42" si="154">IF(F37="HiddenElement",$AA$44/100/(1-$X$55)*$X$54*10^6/$X$52,0)</f>
        <v>0</v>
      </c>
      <c r="AB37" s="75" t="s">
        <v>21</v>
      </c>
      <c r="AC37" s="13">
        <f t="shared" ref="AC37:AC42" si="155">ROUND(X37/$AT$6*$AC$45,0)</f>
        <v>85</v>
      </c>
      <c r="AD37" s="13">
        <f>J37+L37*$F$53+M37*$J$53+O37*$E$53</f>
        <v>6.5427806230052557E-3</v>
      </c>
      <c r="AE37" s="59">
        <f>(1-J37/AD37)*100</f>
        <v>37.232071931263391</v>
      </c>
      <c r="AF37" s="1"/>
      <c r="AP37" s="69"/>
      <c r="AQ37" s="71">
        <f>$AQ$38/100/(1-$X$55)*$X$54*10^6/$X$52</f>
        <v>5882.3529411764703</v>
      </c>
      <c r="AR37" s="71">
        <f>$AR$38/100/(1-$X$55)*$X$54*10^6/$X$52</f>
        <v>5882.3529411764703</v>
      </c>
      <c r="AS37" s="72">
        <f>AR37+AQ37</f>
        <v>11764.705882352941</v>
      </c>
      <c r="AT37" s="83"/>
      <c r="AU37" s="83"/>
      <c r="AV37" s="83"/>
    </row>
    <row r="38" spans="1:56" x14ac:dyDescent="0.25">
      <c r="A38" s="98"/>
      <c r="B38">
        <v>1</v>
      </c>
      <c r="C38" t="s">
        <v>30</v>
      </c>
      <c r="D38">
        <v>1</v>
      </c>
      <c r="E38" t="s">
        <v>40</v>
      </c>
      <c r="F38" s="38" t="s">
        <v>41</v>
      </c>
      <c r="G38" s="38">
        <f>INPUTS!G16</f>
        <v>240</v>
      </c>
      <c r="H38" s="38">
        <v>2.8500000000000001E-2</v>
      </c>
      <c r="I38" s="38" t="s">
        <v>33</v>
      </c>
      <c r="J38">
        <f>H38*$U$38</f>
        <v>1.7099999999999999E-3</v>
      </c>
      <c r="K38">
        <f t="shared" ref="K38:K42" si="156">J38*0.005</f>
        <v>8.5499999999999995E-6</v>
      </c>
      <c r="L38">
        <f>J38*$W38</f>
        <v>0.20231970075485131</v>
      </c>
      <c r="M38">
        <f t="shared" si="149"/>
        <v>2.0231970075485135</v>
      </c>
      <c r="N38">
        <f t="shared" si="150"/>
        <v>0</v>
      </c>
      <c r="O38" s="1">
        <f t="shared" si="151"/>
        <v>10.058823529411764</v>
      </c>
      <c r="P38">
        <v>2.6899999999999998E-4</v>
      </c>
      <c r="Q38" s="1">
        <f t="shared" si="152"/>
        <v>4.104E-2</v>
      </c>
      <c r="R38">
        <f>INPUTS!R16</f>
        <v>1127.3176271832149</v>
      </c>
      <c r="S38">
        <v>0</v>
      </c>
      <c r="T38">
        <v>0</v>
      </c>
      <c r="U38" s="13">
        <f>INPUTS!U16</f>
        <v>0.06</v>
      </c>
      <c r="V38" s="13">
        <f>INPUTS!V16</f>
        <v>1.8</v>
      </c>
      <c r="W38" s="13">
        <f t="shared" si="153"/>
        <v>118.31561447652125</v>
      </c>
      <c r="X38" s="13">
        <f>$W38/$X$45</f>
        <v>1183.1561447652125</v>
      </c>
      <c r="Y38" s="16">
        <v>5.0000000000000001E-3</v>
      </c>
      <c r="Z38" s="16">
        <v>1</v>
      </c>
      <c r="AA38" s="76">
        <f t="shared" si="154"/>
        <v>0</v>
      </c>
      <c r="AB38" s="45">
        <f>$AB$39/100/(1-$X$55)*$X$54*10^6/$X$52</f>
        <v>5882.3529411764703</v>
      </c>
      <c r="AC38" s="13">
        <f t="shared" si="155"/>
        <v>24</v>
      </c>
      <c r="AD38" s="13">
        <f t="shared" ref="AD38:AD42" si="157">J38+L38*$F$53+M38*$J$53+O38*$E$53</f>
        <v>2.2059574397915059E-3</v>
      </c>
      <c r="AE38" s="59">
        <f t="shared" ref="AE38:AE42" si="158">(1-J38/AD38)*100</f>
        <v>22.482638642311294</v>
      </c>
      <c r="AF38" s="1"/>
      <c r="AP38" s="70" t="s">
        <v>136</v>
      </c>
      <c r="AQ38" s="73">
        <v>10</v>
      </c>
      <c r="AR38" s="73">
        <v>10</v>
      </c>
      <c r="AS38" s="74">
        <f>AR38+AQ38</f>
        <v>20</v>
      </c>
      <c r="AT38" s="84"/>
      <c r="AU38" s="84"/>
      <c r="AV38" s="84"/>
    </row>
    <row r="39" spans="1:56" x14ac:dyDescent="0.25">
      <c r="A39" s="98"/>
      <c r="B39">
        <v>1</v>
      </c>
      <c r="C39" t="s">
        <v>30</v>
      </c>
      <c r="D39">
        <v>2</v>
      </c>
      <c r="E39" t="s">
        <v>38</v>
      </c>
      <c r="F39" s="38" t="s">
        <v>39</v>
      </c>
      <c r="G39" s="38">
        <f>INPUTS!G17</f>
        <v>160</v>
      </c>
      <c r="H39" s="38">
        <v>9.1999999999999998E-2</v>
      </c>
      <c r="I39" s="38" t="s">
        <v>33</v>
      </c>
      <c r="J39">
        <f>P39*$U$39</f>
        <v>4.8376429774363953E-3</v>
      </c>
      <c r="K39">
        <f t="shared" si="156"/>
        <v>2.4188214887181978E-5</v>
      </c>
      <c r="L39">
        <f t="shared" ref="L39:L42" si="159">J39*$W39</f>
        <v>2.3636393573832919</v>
      </c>
      <c r="M39">
        <f t="shared" si="149"/>
        <v>23.636393573832915</v>
      </c>
      <c r="N39">
        <f t="shared" si="150"/>
        <v>0</v>
      </c>
      <c r="O39" s="1">
        <f t="shared" si="151"/>
        <v>28.456723396684676</v>
      </c>
      <c r="P39">
        <v>2.3036395130649501E-4</v>
      </c>
      <c r="Q39" s="1">
        <f t="shared" si="152"/>
        <v>0.48860194072107593</v>
      </c>
      <c r="R39">
        <v>4400</v>
      </c>
      <c r="S39">
        <v>0</v>
      </c>
      <c r="T39">
        <v>0</v>
      </c>
      <c r="U39" s="13">
        <f>INPUTS!U17</f>
        <v>21</v>
      </c>
      <c r="V39" s="13">
        <f>INPUTS!V17</f>
        <v>4.8</v>
      </c>
      <c r="W39" s="13">
        <f t="shared" si="153"/>
        <v>488.59317820841994</v>
      </c>
      <c r="X39" s="13">
        <f t="shared" ref="X39:X42" si="160">$W39/$X$45</f>
        <v>4885.9317820841989</v>
      </c>
      <c r="Z39" s="24"/>
      <c r="AA39" s="76">
        <f t="shared" si="154"/>
        <v>0</v>
      </c>
      <c r="AB39" s="42">
        <v>10</v>
      </c>
      <c r="AC39" s="13">
        <f t="shared" si="155"/>
        <v>101</v>
      </c>
      <c r="AD39" s="13">
        <f t="shared" si="157"/>
        <v>8.0872640817543518E-3</v>
      </c>
      <c r="AE39" s="59">
        <f t="shared" si="158"/>
        <v>40.181958589053814</v>
      </c>
      <c r="AF39" s="1"/>
      <c r="AG39" s="1"/>
    </row>
    <row r="40" spans="1:56" x14ac:dyDescent="0.25">
      <c r="A40" s="98"/>
      <c r="B40">
        <v>1</v>
      </c>
      <c r="C40" t="s">
        <v>30</v>
      </c>
      <c r="D40">
        <v>2</v>
      </c>
      <c r="E40" t="s">
        <v>40</v>
      </c>
      <c r="F40" s="38" t="s">
        <v>42</v>
      </c>
      <c r="G40" s="38">
        <f>INPUTS!G18</f>
        <v>160</v>
      </c>
      <c r="H40" s="38">
        <v>2.8500000000000001E-2</v>
      </c>
      <c r="I40" s="38" t="s">
        <v>33</v>
      </c>
      <c r="J40">
        <f>H40*$U$40</f>
        <v>2.2800000000000003E-3</v>
      </c>
      <c r="K40">
        <f t="shared" si="156"/>
        <v>1.1400000000000003E-5</v>
      </c>
      <c r="L40">
        <f t="shared" si="159"/>
        <v>0.38263355734467192</v>
      </c>
      <c r="M40">
        <f t="shared" si="149"/>
        <v>3.8263355734467188</v>
      </c>
      <c r="N40">
        <f t="shared" si="150"/>
        <v>6.7058823529411775</v>
      </c>
      <c r="O40" s="1">
        <f t="shared" si="151"/>
        <v>13.411764705882355</v>
      </c>
      <c r="P40">
        <v>2.4800000000000001E-4</v>
      </c>
      <c r="Q40" s="1">
        <f t="shared" si="152"/>
        <v>7.980000000000001E-2</v>
      </c>
      <c r="R40">
        <f>INPUTS!R18</f>
        <v>1604.0455673709137</v>
      </c>
      <c r="S40">
        <v>0</v>
      </c>
      <c r="T40">
        <v>0</v>
      </c>
      <c r="U40" s="13">
        <f>INPUTS!U18</f>
        <v>0.08</v>
      </c>
      <c r="V40" s="13">
        <f>INPUTS!V18</f>
        <v>2.2999999999999998</v>
      </c>
      <c r="W40" s="13">
        <f t="shared" si="153"/>
        <v>167.82173567748765</v>
      </c>
      <c r="X40" s="13">
        <f t="shared" si="160"/>
        <v>1678.2173567748764</v>
      </c>
      <c r="AA40" s="76">
        <f>IF(F40="HiddenElement",$AA$44/100/(1-$X$55)*$X$54*10^6/$X$52,0)</f>
        <v>2941.1764705882351</v>
      </c>
      <c r="AB40" s="43" t="s">
        <v>120</v>
      </c>
      <c r="AC40" s="13">
        <f t="shared" si="155"/>
        <v>35</v>
      </c>
      <c r="AD40" s="13">
        <f t="shared" si="157"/>
        <v>3.0576333839599777E-3</v>
      </c>
      <c r="AE40" s="59">
        <f t="shared" si="158"/>
        <v>25.432525300101705</v>
      </c>
      <c r="AF40" s="1"/>
      <c r="AG40" s="1"/>
    </row>
    <row r="41" spans="1:56" x14ac:dyDescent="0.25">
      <c r="A41" s="98"/>
      <c r="B41">
        <v>1</v>
      </c>
      <c r="C41" t="s">
        <v>30</v>
      </c>
      <c r="D41">
        <v>2</v>
      </c>
      <c r="E41" t="s">
        <v>40</v>
      </c>
      <c r="F41" s="38" t="s">
        <v>41</v>
      </c>
      <c r="G41" s="38">
        <f>INPUTS!G19</f>
        <v>160</v>
      </c>
      <c r="H41" s="38">
        <v>5.0000000000000001E-4</v>
      </c>
      <c r="I41" s="38" t="s">
        <v>33</v>
      </c>
      <c r="J41">
        <f>H41*$U$41</f>
        <v>4.0000000000000003E-5</v>
      </c>
      <c r="K41">
        <f t="shared" si="156"/>
        <v>2.0000000000000002E-7</v>
      </c>
      <c r="L41">
        <f t="shared" si="159"/>
        <v>6.7128694270995066E-3</v>
      </c>
      <c r="M41">
        <f t="shared" si="149"/>
        <v>6.7128694270995062E-2</v>
      </c>
      <c r="N41">
        <f t="shared" si="150"/>
        <v>0</v>
      </c>
      <c r="O41" s="1">
        <f t="shared" si="151"/>
        <v>0.23529411764705882</v>
      </c>
      <c r="P41">
        <v>5.0000000000000004E-6</v>
      </c>
      <c r="Q41" s="1">
        <f t="shared" si="152"/>
        <v>1.4000000000000002E-3</v>
      </c>
      <c r="R41">
        <f>INPUTS!R19</f>
        <v>1604.0455673709137</v>
      </c>
      <c r="S41">
        <v>0</v>
      </c>
      <c r="T41">
        <v>0</v>
      </c>
      <c r="U41" s="13">
        <f>INPUTS!U19</f>
        <v>0.08</v>
      </c>
      <c r="V41" s="13">
        <f>INPUTS!V19</f>
        <v>2.2999999999999998</v>
      </c>
      <c r="W41" s="13">
        <f t="shared" si="153"/>
        <v>167.82173567748765</v>
      </c>
      <c r="X41" s="13">
        <f t="shared" si="160"/>
        <v>1678.2173567748764</v>
      </c>
      <c r="AA41" s="76">
        <f t="shared" si="154"/>
        <v>0</v>
      </c>
      <c r="AB41" s="1"/>
      <c r="AC41" s="13">
        <f t="shared" si="155"/>
        <v>35</v>
      </c>
      <c r="AD41" s="13">
        <f t="shared" si="157"/>
        <v>5.3642690946666268E-5</v>
      </c>
      <c r="AE41" s="59">
        <f t="shared" si="158"/>
        <v>25.432525300101705</v>
      </c>
      <c r="AW41" s="78" t="s">
        <v>57</v>
      </c>
      <c r="AX41" s="7" t="s">
        <v>47</v>
      </c>
      <c r="AY41" s="8">
        <v>0</v>
      </c>
    </row>
    <row r="42" spans="1:56" x14ac:dyDescent="0.25">
      <c r="A42" s="98"/>
      <c r="B42">
        <v>1</v>
      </c>
      <c r="C42" t="s">
        <v>30</v>
      </c>
      <c r="D42">
        <v>3</v>
      </c>
      <c r="E42" t="s">
        <v>38</v>
      </c>
      <c r="F42" s="38" t="s">
        <v>39</v>
      </c>
      <c r="G42" s="38">
        <f>INPUTS!G20</f>
        <v>80</v>
      </c>
      <c r="H42" s="38">
        <v>6.0421565000000003E-2</v>
      </c>
      <c r="I42" s="38" t="s">
        <v>31</v>
      </c>
      <c r="J42">
        <f>P42*$U$42</f>
        <v>4.1708099999999996E-3</v>
      </c>
      <c r="K42">
        <f t="shared" si="156"/>
        <v>2.0854049999999997E-5</v>
      </c>
      <c r="L42">
        <f t="shared" si="159"/>
        <v>2.2440625728389185</v>
      </c>
      <c r="M42">
        <f t="shared" si="149"/>
        <v>22.440625728389183</v>
      </c>
      <c r="N42">
        <f t="shared" si="150"/>
        <v>0</v>
      </c>
      <c r="O42" s="1">
        <f t="shared" si="151"/>
        <v>24.534176470588232</v>
      </c>
      <c r="P42">
        <v>1.9861E-4</v>
      </c>
      <c r="Q42" s="1">
        <f t="shared" si="152"/>
        <v>0.46295990999999997</v>
      </c>
      <c r="R42">
        <f>INPUTS!R20</f>
        <v>0</v>
      </c>
      <c r="S42">
        <v>0</v>
      </c>
      <c r="T42">
        <v>0</v>
      </c>
      <c r="U42" s="14">
        <f>INPUTS!U20</f>
        <v>21</v>
      </c>
      <c r="V42" s="14">
        <f>INPUTS!V20</f>
        <v>5.0999999999999996</v>
      </c>
      <c r="W42" s="14">
        <f t="shared" si="153"/>
        <v>538.03999051477263</v>
      </c>
      <c r="X42" s="14">
        <f t="shared" si="160"/>
        <v>5380.3999051477258</v>
      </c>
      <c r="AA42" s="77">
        <f t="shared" si="154"/>
        <v>0</v>
      </c>
      <c r="AC42" s="14">
        <f t="shared" si="155"/>
        <v>111</v>
      </c>
      <c r="AD42" s="14">
        <f t="shared" si="157"/>
        <v>7.1850918866116359E-3</v>
      </c>
      <c r="AE42" s="60">
        <f t="shared" si="158"/>
        <v>41.951890583728066</v>
      </c>
      <c r="AW42" s="78"/>
      <c r="AX42" s="7" t="s">
        <v>48</v>
      </c>
      <c r="AY42" s="7">
        <v>0.106</v>
      </c>
    </row>
    <row r="43" spans="1:56" x14ac:dyDescent="0.25">
      <c r="A43" s="2"/>
      <c r="W43" s="15"/>
      <c r="X43" s="15"/>
      <c r="Z43" s="1"/>
      <c r="AN43" s="78"/>
      <c r="AO43" s="95"/>
      <c r="AP43" s="78"/>
      <c r="AQ43" s="78"/>
      <c r="AR43" s="78"/>
      <c r="AS43" s="78"/>
      <c r="AT43" s="82"/>
      <c r="AU43" s="82"/>
      <c r="AV43" s="91"/>
      <c r="AW43" s="7" t="s">
        <v>49</v>
      </c>
      <c r="AX43" s="7">
        <v>1.28</v>
      </c>
    </row>
    <row r="44" spans="1:56" x14ac:dyDescent="0.25">
      <c r="A44" s="2"/>
      <c r="V44" s="29"/>
      <c r="W44" s="80"/>
      <c r="X44" s="17" t="s">
        <v>80</v>
      </c>
      <c r="Y44" s="35" t="s">
        <v>81</v>
      </c>
      <c r="AA44" s="42">
        <v>5</v>
      </c>
      <c r="AC44" s="86" t="s">
        <v>161</v>
      </c>
      <c r="AN44" s="78"/>
      <c r="AO44" s="95"/>
      <c r="AP44" s="78"/>
      <c r="AQ44" s="78"/>
      <c r="AR44" s="78"/>
      <c r="AS44" s="78"/>
      <c r="AT44" s="82"/>
      <c r="AU44" s="82"/>
      <c r="AV44" s="91"/>
      <c r="AW44" s="7" t="s">
        <v>50</v>
      </c>
      <c r="AX44" s="7">
        <v>0.8</v>
      </c>
    </row>
    <row r="45" spans="1:56" x14ac:dyDescent="0.25">
      <c r="A45" s="2"/>
      <c r="X45" s="14">
        <f>INPUTS!X23</f>
        <v>0.1</v>
      </c>
      <c r="Y45" s="62">
        <f>(SUMPRODUCT(V37:V42,AD37:AD42)+SUMPRODUCT(AR5:AR12,AP5:AP12))/SUM(AD37:AD42,AP5:AP12)</f>
        <v>4.3634592286742917</v>
      </c>
      <c r="AA45" s="43" t="s">
        <v>120</v>
      </c>
      <c r="AC45" s="87">
        <v>200</v>
      </c>
      <c r="AN45" s="78"/>
      <c r="AO45" s="95"/>
      <c r="AP45" s="78"/>
      <c r="AQ45" s="78"/>
      <c r="AR45" s="78"/>
      <c r="AS45" s="78"/>
      <c r="AT45" s="82"/>
      <c r="AU45" s="82"/>
      <c r="AV45" s="91"/>
      <c r="AW45" s="7" t="s">
        <v>60</v>
      </c>
      <c r="AX45" s="7">
        <f>210*3600*24/12</f>
        <v>1512000</v>
      </c>
    </row>
    <row r="46" spans="1:56" x14ac:dyDescent="0.25">
      <c r="A46" s="2"/>
      <c r="F46" s="1"/>
      <c r="G46" s="1"/>
      <c r="AN46" s="7"/>
      <c r="AO46" s="7"/>
      <c r="AP46" s="7"/>
      <c r="AQ46" s="7"/>
      <c r="AR46" s="7"/>
      <c r="AS46" s="7"/>
      <c r="AT46" s="7"/>
      <c r="AU46" s="7"/>
      <c r="AV46" s="7"/>
      <c r="AW46" s="7" t="s">
        <v>58</v>
      </c>
      <c r="AX46" s="7">
        <v>5</v>
      </c>
    </row>
    <row r="47" spans="1:56" x14ac:dyDescent="0.25">
      <c r="A47" s="98" t="s">
        <v>72</v>
      </c>
      <c r="B47" s="5" t="s">
        <v>0</v>
      </c>
      <c r="C47" s="5" t="s">
        <v>1</v>
      </c>
      <c r="D47" s="5" t="s">
        <v>34</v>
      </c>
      <c r="E47" s="5" t="s">
        <v>21</v>
      </c>
      <c r="F47" s="5" t="s">
        <v>22</v>
      </c>
      <c r="G47" s="5" t="s">
        <v>64</v>
      </c>
      <c r="H47" s="5" t="s">
        <v>65</v>
      </c>
      <c r="I47" s="5" t="s">
        <v>66</v>
      </c>
      <c r="J47" s="5" t="s">
        <v>24</v>
      </c>
      <c r="K47" s="5" t="s">
        <v>27</v>
      </c>
      <c r="L47" s="5" t="s">
        <v>43</v>
      </c>
      <c r="M47" s="5" t="s">
        <v>45</v>
      </c>
      <c r="AM47" s="9"/>
      <c r="AN47" s="9"/>
      <c r="AO47" s="9"/>
      <c r="AP47" s="9"/>
      <c r="AQ47" s="9"/>
      <c r="AR47" s="9"/>
      <c r="AS47" s="7" t="s">
        <v>59</v>
      </c>
      <c r="AT47" s="7"/>
      <c r="AU47" s="7"/>
      <c r="AV47" s="7"/>
      <c r="AW47" s="7">
        <f>1/59</f>
        <v>1.6949152542372881E-2</v>
      </c>
    </row>
    <row r="48" spans="1:56" x14ac:dyDescent="0.25">
      <c r="A48" s="98"/>
      <c r="B48">
        <v>1</v>
      </c>
      <c r="C48" t="s">
        <v>30</v>
      </c>
      <c r="D48" t="s">
        <v>67</v>
      </c>
      <c r="E48" s="24">
        <v>0</v>
      </c>
      <c r="F48" s="24">
        <v>0</v>
      </c>
      <c r="G48" s="24" t="s">
        <v>32</v>
      </c>
      <c r="H48" s="24" t="s">
        <v>32</v>
      </c>
      <c r="I48" s="24" t="s">
        <v>32</v>
      </c>
      <c r="J48" s="24" t="s">
        <v>32</v>
      </c>
      <c r="K48" s="24" t="s">
        <v>32</v>
      </c>
      <c r="L48" s="24" t="s">
        <v>32</v>
      </c>
      <c r="M48" s="24" t="s">
        <v>32</v>
      </c>
      <c r="AM48" s="10"/>
      <c r="AN48" s="10"/>
      <c r="AO48" s="10"/>
      <c r="AP48" s="10"/>
      <c r="AQ48" s="10"/>
      <c r="AR48" s="10"/>
      <c r="AS48" s="7"/>
      <c r="AT48" s="7"/>
      <c r="AU48" s="7"/>
      <c r="AV48" s="7"/>
      <c r="AW48" s="7"/>
    </row>
    <row r="49" spans="1:49" x14ac:dyDescent="0.25">
      <c r="A49" s="98"/>
      <c r="B49">
        <v>1</v>
      </c>
      <c r="C49" t="s">
        <v>30</v>
      </c>
      <c r="D49" t="s">
        <v>68</v>
      </c>
      <c r="E49" s="24">
        <f>E50*$K$49</f>
        <v>202.61864050783078</v>
      </c>
      <c r="F49" s="24">
        <f>F50*$K$49</f>
        <v>2.190899747133666</v>
      </c>
      <c r="G49" s="24">
        <f>G50*$K$49</f>
        <v>21.908997471336658</v>
      </c>
      <c r="H49" s="24" t="s">
        <v>32</v>
      </c>
      <c r="I49" s="24" t="s">
        <v>32</v>
      </c>
      <c r="J49" s="24" t="s">
        <v>32</v>
      </c>
      <c r="K49" s="1">
        <f>$P$55/$O$50/(1+$E$50*$E$53+$F$50*$F$53+$G$50*$G$53)</f>
        <v>3.4445168886331236E-2</v>
      </c>
      <c r="L49" s="24">
        <f>K49*$Y$38</f>
        <v>1.7222584443165619E-4</v>
      </c>
      <c r="M49" s="24">
        <f>M50*$K$49</f>
        <v>8.6112922215828096</v>
      </c>
      <c r="N49" s="64" t="s">
        <v>130</v>
      </c>
      <c r="O49" s="17" t="s">
        <v>69</v>
      </c>
      <c r="P49" s="17" t="s">
        <v>83</v>
      </c>
      <c r="Q49" s="17" t="s">
        <v>82</v>
      </c>
      <c r="R49" s="99" t="s">
        <v>46</v>
      </c>
      <c r="S49" s="7" t="s">
        <v>47</v>
      </c>
      <c r="T49" s="8">
        <v>2.6499999999999999E-8</v>
      </c>
      <c r="AM49" s="10"/>
      <c r="AN49" s="10"/>
      <c r="AO49" s="10"/>
      <c r="AP49" s="10"/>
      <c r="AQ49" s="10"/>
      <c r="AR49" s="10"/>
      <c r="AS49" s="7"/>
      <c r="AT49" s="7"/>
      <c r="AU49" s="7"/>
      <c r="AV49" s="7"/>
      <c r="AW49" s="7"/>
    </row>
    <row r="50" spans="1:49" x14ac:dyDescent="0.25">
      <c r="E50" s="46">
        <f>AB38</f>
        <v>5882.3529411764703</v>
      </c>
      <c r="F50" s="47">
        <f>(($Q$50/100)*(1+$E$50*$E$53)-$Y$38)/((1+1/$P$50)*(14*10^-6-$J$53*$Q$50/100))</f>
        <v>63.605429091191759</v>
      </c>
      <c r="G50" s="47">
        <f>F50/$P$50</f>
        <v>636.05429091191752</v>
      </c>
      <c r="H50" s="18"/>
      <c r="I50" s="18"/>
      <c r="J50" s="18"/>
      <c r="K50" s="18"/>
      <c r="L50" s="18"/>
      <c r="M50" s="19">
        <f>INPUTS!M28</f>
        <v>250</v>
      </c>
      <c r="N50" s="65">
        <f>SUM(AK5:AK34,J37:J42)/K49</f>
        <v>0.58749053694788644</v>
      </c>
      <c r="O50" s="14">
        <f>INPUTS!O28</f>
        <v>0.8</v>
      </c>
      <c r="P50" s="14">
        <f>INPUTS!P28</f>
        <v>0.1</v>
      </c>
      <c r="Q50" s="14">
        <f>INPUTS!Q28</f>
        <v>1.2</v>
      </c>
      <c r="R50" s="99"/>
      <c r="S50" s="7" t="s">
        <v>48</v>
      </c>
      <c r="T50" s="7">
        <v>0.106</v>
      </c>
      <c r="AM50" s="10" t="s">
        <v>73</v>
      </c>
      <c r="AN50" s="10"/>
      <c r="AO50" s="10"/>
      <c r="AP50" s="10"/>
      <c r="AQ50" s="10"/>
      <c r="AR50" s="10"/>
      <c r="AS50" s="7"/>
      <c r="AT50" s="7"/>
      <c r="AU50" s="7"/>
      <c r="AV50" s="7"/>
      <c r="AW50" s="7"/>
    </row>
    <row r="51" spans="1:49" x14ac:dyDescent="0.25">
      <c r="F51" s="1"/>
      <c r="R51" s="99"/>
      <c r="S51" s="7" t="s">
        <v>49</v>
      </c>
      <c r="T51" s="7">
        <v>1.28</v>
      </c>
      <c r="W51" s="40" t="s">
        <v>119</v>
      </c>
      <c r="X51" s="41">
        <v>180</v>
      </c>
      <c r="AM51" s="11" t="s">
        <v>74</v>
      </c>
      <c r="AN51" s="11"/>
      <c r="AO51" s="11"/>
      <c r="AP51" s="11"/>
      <c r="AQ51" s="11"/>
      <c r="AR51" s="11"/>
      <c r="AS51" s="7"/>
      <c r="AT51" s="7"/>
      <c r="AU51" s="7"/>
      <c r="AV51" s="7"/>
      <c r="AW51" s="7"/>
    </row>
    <row r="52" spans="1:49" x14ac:dyDescent="0.25">
      <c r="D52" s="23" t="s">
        <v>78</v>
      </c>
      <c r="F52" s="1"/>
      <c r="O52" s="30" t="s">
        <v>134</v>
      </c>
      <c r="P52" s="31">
        <f>K49+SUM(J37:J42)+SUM(AK5:AK34)</f>
        <v>5.4681379650622607E-2</v>
      </c>
      <c r="R52" s="99"/>
      <c r="S52" s="7" t="s">
        <v>50</v>
      </c>
      <c r="T52" s="7">
        <v>0.8</v>
      </c>
      <c r="W52" s="40" t="s">
        <v>116</v>
      </c>
      <c r="X52" s="41">
        <v>340</v>
      </c>
      <c r="AM52" s="11"/>
      <c r="AN52" s="11"/>
      <c r="AO52" s="11"/>
      <c r="AP52" s="11"/>
      <c r="AQ52" s="11"/>
      <c r="AR52" s="11"/>
      <c r="AS52" s="7"/>
      <c r="AT52" s="7"/>
      <c r="AU52" s="7"/>
      <c r="AV52" s="7"/>
      <c r="AW52" s="7"/>
    </row>
    <row r="53" spans="1:49" x14ac:dyDescent="0.25">
      <c r="D53" s="20" t="s">
        <v>79</v>
      </c>
      <c r="E53" s="20">
        <f xml:space="preserve"> (0.000001*12) / 0.42</f>
        <v>2.8571428571428574E-5</v>
      </c>
      <c r="F53" s="21">
        <f>( 0.000001*14) / 0.135</f>
        <v>1.037037037037037E-4</v>
      </c>
      <c r="G53" s="21">
        <f>62*10^-6</f>
        <v>6.2000000000000003E-5</v>
      </c>
      <c r="J53" s="21">
        <f>( 0.000001*14) / 0.151</f>
        <v>9.2715231788079476E-5</v>
      </c>
      <c r="R53" s="99"/>
      <c r="S53" s="7" t="s">
        <v>51</v>
      </c>
      <c r="T53" s="7">
        <f>271*3600 * 24 /12</f>
        <v>1951200</v>
      </c>
      <c r="W53" s="30" t="s">
        <v>117</v>
      </c>
      <c r="X53" s="32">
        <v>12</v>
      </c>
      <c r="AM53" s="10" t="s">
        <v>75</v>
      </c>
      <c r="AN53" s="10"/>
      <c r="AO53" s="10"/>
      <c r="AP53" s="10"/>
      <c r="AQ53" s="10"/>
      <c r="AR53" s="10"/>
      <c r="AS53" s="7"/>
      <c r="AT53" s="7"/>
      <c r="AU53" s="7"/>
      <c r="AV53" s="7"/>
      <c r="AW53" s="7"/>
    </row>
    <row r="54" spans="1:49" x14ac:dyDescent="0.25">
      <c r="D54" s="20" t="s">
        <v>76</v>
      </c>
      <c r="E54" s="20">
        <f>E48*E53</f>
        <v>0</v>
      </c>
      <c r="F54" s="21">
        <f>F48*F53</f>
        <v>0</v>
      </c>
      <c r="G54" s="21"/>
      <c r="O54" s="30" t="s">
        <v>129</v>
      </c>
      <c r="P54" s="57">
        <f>E48*E53+F48*F53</f>
        <v>0</v>
      </c>
      <c r="R54" s="99"/>
      <c r="S54" s="9" t="s">
        <v>52</v>
      </c>
      <c r="T54" s="7">
        <v>1.557936E-2</v>
      </c>
      <c r="W54" s="30" t="s">
        <v>118</v>
      </c>
      <c r="X54" s="32">
        <v>12</v>
      </c>
    </row>
    <row r="55" spans="1:49" x14ac:dyDescent="0.25">
      <c r="O55" s="30" t="s">
        <v>108</v>
      </c>
      <c r="P55" s="31">
        <f t="array" ref="P55">SUM(J37:J42,AK5:AK34)+SUM(AF5:AF34*F53,L37:L42*F53)+SUM(AH5:AH34*J53,M37:M42*J53)+SUM(AE5:AE34*E53,O37:O42*E53)+SUM(N37:N42*E53,AG5:AG34*E53)</f>
        <v>3.345586812982787E-2</v>
      </c>
      <c r="W55" s="30" t="s">
        <v>121</v>
      </c>
      <c r="X55" s="44">
        <v>0.4</v>
      </c>
    </row>
    <row r="56" spans="1:49" x14ac:dyDescent="0.25">
      <c r="O56" s="30" t="s">
        <v>109</v>
      </c>
      <c r="P56" s="31">
        <f>K49+E49*E53+F49*F53+G49*G53</f>
        <v>4.1819835162284831E-2</v>
      </c>
    </row>
    <row r="57" spans="1:49" ht="15" customHeight="1" x14ac:dyDescent="0.25">
      <c r="A57" s="101" t="s">
        <v>152</v>
      </c>
      <c r="B57" s="5" t="s">
        <v>0</v>
      </c>
      <c r="C57" s="5" t="s">
        <v>1</v>
      </c>
      <c r="D57" s="5" t="s">
        <v>141</v>
      </c>
      <c r="E57" s="5" t="s">
        <v>142</v>
      </c>
      <c r="F57" s="5" t="s">
        <v>143</v>
      </c>
      <c r="G57" s="5" t="s">
        <v>144</v>
      </c>
      <c r="H57" s="5" t="s">
        <v>145</v>
      </c>
      <c r="I57" s="5" t="s">
        <v>146</v>
      </c>
      <c r="J57" s="5" t="s">
        <v>147</v>
      </c>
      <c r="K57" s="5" t="s">
        <v>148</v>
      </c>
      <c r="L57" s="5" t="s">
        <v>149</v>
      </c>
      <c r="M57" s="5" t="s">
        <v>150</v>
      </c>
      <c r="O57" s="30" t="s">
        <v>126</v>
      </c>
      <c r="P57" s="31">
        <f>P56+P55+P54</f>
        <v>7.5275703292112695E-2</v>
      </c>
      <c r="Q57" s="27"/>
    </row>
    <row r="58" spans="1:49" x14ac:dyDescent="0.25">
      <c r="A58" s="101"/>
      <c r="B58">
        <v>1</v>
      </c>
      <c r="C58" t="s">
        <v>30</v>
      </c>
      <c r="D58" t="s">
        <v>151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2"/>
      <c r="P58" s="33"/>
      <c r="Q58" s="1"/>
    </row>
    <row r="59" spans="1:49" x14ac:dyDescent="0.25">
      <c r="A59" s="101"/>
      <c r="B59">
        <f>B58</f>
        <v>1</v>
      </c>
      <c r="C59" t="s">
        <v>122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61">G58</f>
        <v>0</v>
      </c>
      <c r="H59">
        <v>4</v>
      </c>
      <c r="I59">
        <f t="shared" si="161"/>
        <v>20</v>
      </c>
      <c r="J59">
        <f t="shared" si="161"/>
        <v>3600</v>
      </c>
      <c r="K59">
        <f t="shared" si="161"/>
        <v>3600</v>
      </c>
      <c r="L59">
        <f t="shared" si="161"/>
        <v>0</v>
      </c>
      <c r="M59">
        <f t="shared" si="161"/>
        <v>0</v>
      </c>
      <c r="O59" s="30" t="s">
        <v>132</v>
      </c>
      <c r="P59" s="34">
        <f>1-SUM($AK$5:$AK$12,$J$37:$J$42)/$P$55</f>
        <v>0.41149313987517477</v>
      </c>
    </row>
    <row r="60" spans="1:49" x14ac:dyDescent="0.25">
      <c r="A60" s="101"/>
      <c r="B60">
        <f>B59</f>
        <v>1</v>
      </c>
      <c r="C60" t="s">
        <v>123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62">G58</f>
        <v>0</v>
      </c>
      <c r="H60">
        <v>5</v>
      </c>
      <c r="I60">
        <f t="shared" si="162"/>
        <v>20</v>
      </c>
      <c r="J60">
        <f t="shared" si="162"/>
        <v>3600</v>
      </c>
      <c r="K60">
        <f t="shared" si="162"/>
        <v>3600</v>
      </c>
      <c r="L60">
        <f t="shared" si="162"/>
        <v>0</v>
      </c>
      <c r="M60">
        <f t="shared" si="162"/>
        <v>0</v>
      </c>
      <c r="O60" s="30" t="s">
        <v>133</v>
      </c>
      <c r="P60" s="34">
        <f>1-$K$49/$P$56</f>
        <v>0.17634374328200197</v>
      </c>
    </row>
    <row r="61" spans="1:49" x14ac:dyDescent="0.25">
      <c r="A61" s="101"/>
      <c r="B61">
        <f>B60</f>
        <v>1</v>
      </c>
      <c r="C61" t="s">
        <v>139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63">G58</f>
        <v>0</v>
      </c>
      <c r="H61">
        <v>6</v>
      </c>
      <c r="I61">
        <f t="shared" si="163"/>
        <v>20</v>
      </c>
      <c r="J61">
        <f t="shared" si="163"/>
        <v>3600</v>
      </c>
      <c r="K61">
        <f t="shared" si="163"/>
        <v>3600</v>
      </c>
      <c r="L61">
        <f t="shared" si="163"/>
        <v>0</v>
      </c>
      <c r="M61">
        <f t="shared" si="163"/>
        <v>0</v>
      </c>
      <c r="O61" s="30" t="s">
        <v>110</v>
      </c>
      <c r="P61" s="34">
        <f>1-SUM($AK$5:$AK$12,$J$37:$J$42)/($P$55+N50/(1+N50)*P54)</f>
        <v>0.41149313987517477</v>
      </c>
    </row>
    <row r="62" spans="1:49" x14ac:dyDescent="0.25">
      <c r="A62" s="101"/>
      <c r="B62">
        <f>B61</f>
        <v>1</v>
      </c>
      <c r="C62" t="s">
        <v>140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64">G58</f>
        <v>0</v>
      </c>
      <c r="H62">
        <v>7</v>
      </c>
      <c r="I62">
        <f t="shared" si="164"/>
        <v>20</v>
      </c>
      <c r="J62">
        <f t="shared" si="164"/>
        <v>3600</v>
      </c>
      <c r="K62">
        <f t="shared" si="164"/>
        <v>3600</v>
      </c>
      <c r="L62">
        <f t="shared" si="164"/>
        <v>0</v>
      </c>
      <c r="M62">
        <f t="shared" si="164"/>
        <v>0</v>
      </c>
      <c r="O62" s="30" t="s">
        <v>111</v>
      </c>
      <c r="P62" s="34">
        <f>1-$K$49/($P$56+1/(1+N50)*P54)</f>
        <v>0.17634374328200197</v>
      </c>
    </row>
    <row r="64" spans="1:49" x14ac:dyDescent="0.25">
      <c r="O64" s="30" t="s">
        <v>128</v>
      </c>
      <c r="P64" s="63" t="e">
        <f>(F48*14*10^-6)/(E48*E53+F48*F53)*100</f>
        <v>#DIV/0!</v>
      </c>
    </row>
    <row r="65" spans="15:16" x14ac:dyDescent="0.25">
      <c r="O65" s="30" t="s">
        <v>127</v>
      </c>
      <c r="P65" s="63" t="e">
        <f>($Y$45*$P$55+$Q$50*$P$56+$P$54*$P$64)/$P$57</f>
        <v>#DIV/0!</v>
      </c>
    </row>
    <row r="66" spans="15:16" x14ac:dyDescent="0.25">
      <c r="O66" s="30" t="s">
        <v>131</v>
      </c>
      <c r="P66" s="63">
        <f>($Y$45*$P$55+$Q$50*$P$56)/($P$55+$P$56)</f>
        <v>2.605981879410797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tabSelected="1" workbookViewId="0">
      <selection activeCell="F13" sqref="F13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90" t="s">
        <v>155</v>
      </c>
      <c r="C1" s="90" t="s">
        <v>179</v>
      </c>
      <c r="D1" s="90" t="s">
        <v>178</v>
      </c>
      <c r="E1" s="90" t="s">
        <v>157</v>
      </c>
      <c r="F1" s="90" t="s">
        <v>158</v>
      </c>
      <c r="I1" t="s">
        <v>163</v>
      </c>
    </row>
    <row r="2" spans="1:9" x14ac:dyDescent="0.25">
      <c r="A2" t="s">
        <v>154</v>
      </c>
      <c r="B2">
        <v>60</v>
      </c>
      <c r="C2">
        <f>B2*10^3/10000</f>
        <v>6</v>
      </c>
      <c r="D2" s="1">
        <f>C2*10^6/14</f>
        <v>428571.42857142858</v>
      </c>
      <c r="E2" s="81">
        <v>36146</v>
      </c>
      <c r="F2">
        <v>0</v>
      </c>
      <c r="I2" t="s">
        <v>164</v>
      </c>
    </row>
    <row r="3" spans="1:9" x14ac:dyDescent="0.25">
      <c r="A3" t="s">
        <v>165</v>
      </c>
      <c r="B3">
        <v>50</v>
      </c>
      <c r="C3">
        <f t="shared" ref="C3:C4" si="0">B3*10^3/10000</f>
        <v>5</v>
      </c>
      <c r="D3" s="1">
        <f t="shared" ref="D3:D4" si="1">C3*10^6/14</f>
        <v>357142.85714285716</v>
      </c>
      <c r="E3" s="81">
        <v>36230</v>
      </c>
      <c r="F3">
        <f>(E3-E2)*24</f>
        <v>2016</v>
      </c>
      <c r="I3" t="s">
        <v>166</v>
      </c>
    </row>
    <row r="4" spans="1:9" x14ac:dyDescent="0.25">
      <c r="A4" t="s">
        <v>156</v>
      </c>
      <c r="B4">
        <v>140</v>
      </c>
      <c r="C4">
        <f t="shared" si="0"/>
        <v>14</v>
      </c>
      <c r="D4" s="1">
        <f t="shared" si="1"/>
        <v>1000000</v>
      </c>
      <c r="E4" s="81">
        <v>36251</v>
      </c>
      <c r="F4">
        <f>(E4-E2)*24</f>
        <v>2520</v>
      </c>
      <c r="I4" t="s">
        <v>167</v>
      </c>
    </row>
    <row r="5" spans="1:9" x14ac:dyDescent="0.25">
      <c r="E5" s="8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6" sqref="D26"/>
    </sheetView>
  </sheetViews>
  <sheetFormatPr baseColWidth="10" defaultRowHeight="15" x14ac:dyDescent="0.25"/>
  <sheetData>
    <row r="1" spans="1:9" x14ac:dyDescent="0.25">
      <c r="A1" s="25" t="s">
        <v>92</v>
      </c>
    </row>
    <row r="3" spans="1:9" x14ac:dyDescent="0.25">
      <c r="C3" s="26" t="s">
        <v>93</v>
      </c>
      <c r="D3" s="26" t="s">
        <v>84</v>
      </c>
      <c r="E3" s="26" t="s">
        <v>84</v>
      </c>
      <c r="F3" s="26" t="s">
        <v>94</v>
      </c>
      <c r="G3" s="26" t="s">
        <v>95</v>
      </c>
      <c r="I3" s="26" t="s">
        <v>96</v>
      </c>
    </row>
    <row r="4" spans="1:9" x14ac:dyDescent="0.25">
      <c r="A4" s="5" t="s">
        <v>97</v>
      </c>
      <c r="B4" s="5" t="s">
        <v>98</v>
      </c>
      <c r="C4" s="5" t="s">
        <v>99</v>
      </c>
      <c r="D4" s="5" t="s">
        <v>27</v>
      </c>
      <c r="E4" s="5" t="s">
        <v>43</v>
      </c>
      <c r="F4" s="5" t="s">
        <v>100</v>
      </c>
      <c r="G4" s="5" t="s">
        <v>101</v>
      </c>
      <c r="I4" s="5" t="s">
        <v>102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4">
        <f>D5/C5*10</f>
        <v>40.462427745664733</v>
      </c>
      <c r="G5">
        <v>15</v>
      </c>
      <c r="I5" s="24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4">
        <f t="shared" ref="F6:F17" si="0">D6/C6*10</f>
        <v>26.470588235294116</v>
      </c>
      <c r="G6">
        <v>8</v>
      </c>
      <c r="I6" s="24">
        <f t="shared" ref="I6:I22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4">
        <f t="shared" si="0"/>
        <v>21.929824561403507</v>
      </c>
      <c r="G7">
        <v>3.5</v>
      </c>
      <c r="I7" s="24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4">
        <f t="shared" si="0"/>
        <v>25</v>
      </c>
      <c r="G8">
        <v>2.5</v>
      </c>
      <c r="I8" s="24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4">
        <f t="shared" si="0"/>
        <v>205</v>
      </c>
      <c r="G9">
        <v>0.5</v>
      </c>
      <c r="I9" s="24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4">
        <f t="shared" si="0"/>
        <v>190</v>
      </c>
      <c r="G10">
        <v>0.2</v>
      </c>
      <c r="I10" s="24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4">
        <f t="shared" si="0"/>
        <v>182.5</v>
      </c>
      <c r="G11">
        <v>0.15</v>
      </c>
      <c r="I11" s="24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4">
        <f t="shared" si="0"/>
        <v>290</v>
      </c>
      <c r="G12">
        <v>1.5</v>
      </c>
      <c r="I12" s="24">
        <f t="shared" si="1"/>
        <v>25.862068965517242</v>
      </c>
    </row>
    <row r="13" spans="1:9" x14ac:dyDescent="0.25">
      <c r="A13">
        <v>11</v>
      </c>
      <c r="B13" t="s">
        <v>103</v>
      </c>
      <c r="C13">
        <v>0.8</v>
      </c>
      <c r="D13">
        <v>32</v>
      </c>
      <c r="E13">
        <v>0.09</v>
      </c>
      <c r="F13" s="24">
        <f t="shared" si="0"/>
        <v>400</v>
      </c>
      <c r="G13">
        <v>0.5</v>
      </c>
      <c r="I13" s="24">
        <f t="shared" si="1"/>
        <v>15.625</v>
      </c>
    </row>
    <row r="14" spans="1:9" x14ac:dyDescent="0.25">
      <c r="A14">
        <v>11</v>
      </c>
      <c r="B14" t="s">
        <v>104</v>
      </c>
      <c r="C14">
        <v>4</v>
      </c>
      <c r="D14">
        <v>160</v>
      </c>
      <c r="E14">
        <v>0.43</v>
      </c>
      <c r="F14" s="24">
        <f t="shared" si="0"/>
        <v>400</v>
      </c>
      <c r="G14">
        <v>0.5</v>
      </c>
      <c r="I14" s="24">
        <f t="shared" si="1"/>
        <v>3.125</v>
      </c>
    </row>
    <row r="15" spans="1:9" x14ac:dyDescent="0.25">
      <c r="A15">
        <v>10</v>
      </c>
      <c r="B15" t="s">
        <v>105</v>
      </c>
      <c r="C15">
        <v>4</v>
      </c>
      <c r="D15">
        <v>152</v>
      </c>
      <c r="E15">
        <v>0.32</v>
      </c>
      <c r="F15" s="24">
        <f t="shared" si="0"/>
        <v>380</v>
      </c>
      <c r="G15">
        <v>0.15</v>
      </c>
      <c r="I15" s="24">
        <f t="shared" si="1"/>
        <v>0.98684210526315796</v>
      </c>
    </row>
    <row r="16" spans="1:9" x14ac:dyDescent="0.25">
      <c r="A16">
        <v>9</v>
      </c>
      <c r="B16" t="s">
        <v>105</v>
      </c>
      <c r="C16">
        <v>2.5</v>
      </c>
      <c r="D16">
        <v>109</v>
      </c>
      <c r="E16">
        <v>0.26</v>
      </c>
      <c r="F16" s="24">
        <f t="shared" si="0"/>
        <v>436</v>
      </c>
      <c r="G16">
        <v>0.1</v>
      </c>
      <c r="I16" s="24">
        <f t="shared" si="1"/>
        <v>0.91743119266055051</v>
      </c>
    </row>
    <row r="17" spans="1:9" x14ac:dyDescent="0.25">
      <c r="A17">
        <v>8</v>
      </c>
      <c r="B17" t="s">
        <v>105</v>
      </c>
      <c r="C17">
        <v>1</v>
      </c>
      <c r="D17">
        <v>74</v>
      </c>
      <c r="E17">
        <v>0.31</v>
      </c>
      <c r="F17" s="24">
        <f t="shared" si="0"/>
        <v>740</v>
      </c>
      <c r="G17">
        <v>0.1</v>
      </c>
      <c r="I17" s="24">
        <f t="shared" si="1"/>
        <v>1.3513513513513513</v>
      </c>
    </row>
    <row r="18" spans="1:9" x14ac:dyDescent="0.25">
      <c r="B18" t="s">
        <v>173</v>
      </c>
      <c r="D18">
        <v>58</v>
      </c>
      <c r="F18" s="24"/>
      <c r="I18" s="24"/>
    </row>
    <row r="19" spans="1:9" x14ac:dyDescent="0.25">
      <c r="B19" t="s">
        <v>174</v>
      </c>
      <c r="D19">
        <v>106</v>
      </c>
    </row>
    <row r="20" spans="1:9" x14ac:dyDescent="0.25">
      <c r="B20" t="s">
        <v>153</v>
      </c>
      <c r="C20">
        <v>15</v>
      </c>
      <c r="D20">
        <v>210</v>
      </c>
      <c r="E20">
        <v>1.01</v>
      </c>
      <c r="G20">
        <v>15</v>
      </c>
      <c r="I20" s="24">
        <f t="shared" si="1"/>
        <v>71.428571428571431</v>
      </c>
    </row>
    <row r="21" spans="1:9" x14ac:dyDescent="0.25">
      <c r="B21" t="s">
        <v>172</v>
      </c>
      <c r="D21">
        <v>75</v>
      </c>
      <c r="I21" s="24"/>
    </row>
    <row r="22" spans="1:9" x14ac:dyDescent="0.25">
      <c r="B22" t="s">
        <v>106</v>
      </c>
      <c r="D22">
        <f>0.5*1000</f>
        <v>500</v>
      </c>
      <c r="E22">
        <f>0.01*1000</f>
        <v>10</v>
      </c>
      <c r="G22">
        <v>2.5</v>
      </c>
      <c r="I22" s="24">
        <f t="shared" si="1"/>
        <v>5</v>
      </c>
    </row>
    <row r="25" spans="1:9" x14ac:dyDescent="0.25">
      <c r="D25" t="s">
        <v>130</v>
      </c>
      <c r="E25">
        <f>SUM(D5:D21)/D22</f>
        <v>3.29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175</v>
      </c>
      <c r="C1" t="s">
        <v>162</v>
      </c>
      <c r="D1">
        <f>1/0.15</f>
        <v>6.666666666666667</v>
      </c>
    </row>
    <row r="2" spans="1:4" x14ac:dyDescent="0.25">
      <c r="A2" s="2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INPUTS</vt:lpstr>
      <vt:lpstr>INPUTS_save</vt:lpstr>
      <vt:lpstr>INPUTS_tillering</vt:lpstr>
      <vt:lpstr>Soil</vt:lpstr>
      <vt:lpstr>Barillot2016b_inputs</vt:lpstr>
      <vt:lpstr>Bertheloot2011b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2020-03-01T19:47:15Z</dcterms:modified>
</cp:coreProperties>
</file>