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gauthier\Documents\Marion_These\Modeles\fspm-wheat\trunk\fspmwheat\inputs\elongwheat\"/>
    </mc:Choice>
  </mc:AlternateContent>
  <bookViews>
    <workbookView xWindow="0" yWindow="0" windowWidth="28800" windowHeight="14100"/>
  </bookViews>
  <sheets>
    <sheet name="Feuil1" sheetId="1" r:id="rId1"/>
    <sheet name="N content" sheetId="2" r:id="rId2"/>
    <sheet name="Concentra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2" l="1"/>
  <c r="J19" i="2"/>
  <c r="J20" i="2" s="1"/>
  <c r="E43" i="1" l="1"/>
  <c r="E42" i="1"/>
  <c r="F43" i="1" l="1"/>
  <c r="K39" i="1"/>
  <c r="F42" i="1"/>
  <c r="F39" i="1" l="1"/>
  <c r="E39" i="1"/>
  <c r="I27" i="1"/>
  <c r="AN17" i="1" l="1"/>
  <c r="AB17" i="1" s="1"/>
  <c r="AL17" i="1" l="1"/>
  <c r="I32" i="1" l="1"/>
  <c r="I31" i="1"/>
  <c r="I30" i="1"/>
  <c r="I29" i="1"/>
  <c r="I28" i="1"/>
  <c r="AL18" i="1" l="1"/>
  <c r="AA18" i="1" s="1"/>
  <c r="AL19" i="1"/>
  <c r="AA19" i="1" s="1"/>
  <c r="AL20" i="1"/>
  <c r="AL21" i="1"/>
  <c r="AL22" i="1"/>
  <c r="AL23" i="1"/>
  <c r="AL24" i="1"/>
  <c r="J17" i="1" l="1"/>
  <c r="I17" i="1"/>
  <c r="I18" i="1" s="1"/>
  <c r="AN18" i="1"/>
  <c r="AB18" i="1" s="1"/>
  <c r="AN19" i="1"/>
  <c r="AN20" i="1"/>
  <c r="AN21" i="1"/>
  <c r="AN22" i="1"/>
  <c r="AN23" i="1"/>
  <c r="AN24" i="1"/>
  <c r="AO35" i="1"/>
  <c r="AO37" i="1"/>
  <c r="AA20" i="1"/>
  <c r="AA21" i="1"/>
  <c r="AA22" i="1"/>
  <c r="AA23" i="1"/>
  <c r="AA24" i="1"/>
  <c r="AI19" i="1"/>
  <c r="AI20" i="1"/>
  <c r="AI21" i="1"/>
  <c r="AI22" i="1"/>
  <c r="AI23" i="1"/>
  <c r="AI24" i="1"/>
  <c r="T35" i="1"/>
  <c r="AI18" i="1" l="1"/>
  <c r="J18" i="1"/>
  <c r="I19" i="1"/>
  <c r="AJ18" i="1"/>
  <c r="AK18" i="1" s="1"/>
  <c r="AJ17" i="1"/>
  <c r="AI17" i="1"/>
  <c r="AE17" i="1"/>
  <c r="AE18" i="1"/>
  <c r="AE19" i="1"/>
  <c r="AE20" i="1"/>
  <c r="AE21" i="1"/>
  <c r="AE22" i="1"/>
  <c r="AE23" i="1"/>
  <c r="AE24" i="1"/>
  <c r="AD18" i="1"/>
  <c r="AD19" i="1"/>
  <c r="AD20" i="1"/>
  <c r="AD21" i="1"/>
  <c r="AD22" i="1"/>
  <c r="AD23" i="1"/>
  <c r="AD24" i="1"/>
  <c r="AC18" i="1"/>
  <c r="X18" i="1" s="1"/>
  <c r="AC19" i="1"/>
  <c r="X19" i="1" s="1"/>
  <c r="AC20" i="1"/>
  <c r="W20" i="1" s="1"/>
  <c r="AC21" i="1"/>
  <c r="Z21" i="1" s="1"/>
  <c r="AC22" i="1"/>
  <c r="X22" i="1" s="1"/>
  <c r="AC23" i="1"/>
  <c r="W23" i="1" s="1"/>
  <c r="AC24" i="1"/>
  <c r="W24" i="1" s="1"/>
  <c r="P29" i="1"/>
  <c r="N27" i="1"/>
  <c r="K28" i="1"/>
  <c r="K29" i="1"/>
  <c r="J32" i="1"/>
  <c r="L29" i="1"/>
  <c r="J27" i="1"/>
  <c r="J29" i="1"/>
  <c r="J31" i="1"/>
  <c r="L30" i="1"/>
  <c r="J28" i="1"/>
  <c r="AK17" i="1" l="1"/>
  <c r="AA17" i="1" s="1"/>
  <c r="AJ19" i="1"/>
  <c r="AK19" i="1" s="1"/>
  <c r="I20" i="1"/>
  <c r="J19" i="1"/>
  <c r="N31" i="1"/>
  <c r="N30" i="1"/>
  <c r="J30" i="1"/>
  <c r="P30" i="1"/>
  <c r="K30" i="1"/>
  <c r="X21" i="1"/>
  <c r="Z20" i="1"/>
  <c r="X20" i="1"/>
  <c r="AF18" i="1"/>
  <c r="AF22" i="1"/>
  <c r="P28" i="1"/>
  <c r="L27" i="1"/>
  <c r="L31" i="1"/>
  <c r="N28" i="1"/>
  <c r="X23" i="1"/>
  <c r="N29" i="1"/>
  <c r="K27" i="1"/>
  <c r="P27" i="1"/>
  <c r="K32" i="1"/>
  <c r="P32" i="1"/>
  <c r="AF19" i="1"/>
  <c r="X24" i="1"/>
  <c r="K31" i="1"/>
  <c r="L28" i="1"/>
  <c r="P31" i="1"/>
  <c r="Z19" i="1"/>
  <c r="AF24" i="1"/>
  <c r="AF23" i="1"/>
  <c r="Z18" i="1"/>
  <c r="AF21" i="1"/>
  <c r="Z23" i="1"/>
  <c r="AF20" i="1"/>
  <c r="Z24" i="1"/>
  <c r="W19" i="1"/>
  <c r="W18" i="1"/>
  <c r="W22" i="1"/>
  <c r="Z22" i="1"/>
  <c r="W21" i="1"/>
  <c r="N32" i="1"/>
  <c r="L32" i="1"/>
  <c r="I21" i="1" l="1"/>
  <c r="J20" i="1"/>
  <c r="AJ20" i="1"/>
  <c r="AK20" i="1" s="1"/>
  <c r="AD17" i="1"/>
  <c r="AF17" i="1" s="1"/>
  <c r="AC17" i="1"/>
  <c r="Z17" i="1" l="1"/>
  <c r="X17" i="1"/>
  <c r="W17" i="1"/>
  <c r="J21" i="1"/>
  <c r="I22" i="1"/>
  <c r="AJ21" i="1"/>
  <c r="AK21" i="1" s="1"/>
  <c r="J22" i="1" l="1"/>
  <c r="AJ22" i="1"/>
  <c r="AK22" i="1" s="1"/>
  <c r="I23" i="1"/>
  <c r="M39" i="1"/>
  <c r="G39" i="1"/>
  <c r="L39" i="1"/>
  <c r="J23" i="1" l="1"/>
  <c r="I24" i="1"/>
  <c r="AJ23" i="1"/>
  <c r="AK23" i="1" s="1"/>
  <c r="AJ24" i="1" l="1"/>
  <c r="AK24" i="1" s="1"/>
  <c r="J24" i="1"/>
</calcChain>
</file>

<file path=xl/sharedStrings.xml><?xml version="1.0" encoding="utf-8"?>
<sst xmlns="http://schemas.openxmlformats.org/spreadsheetml/2006/main" count="582" uniqueCount="135">
  <si>
    <t>plant</t>
  </si>
  <si>
    <t>axis</t>
  </si>
  <si>
    <t>metamer</t>
  </si>
  <si>
    <t>leaf_pseudo_age</t>
  </si>
  <si>
    <t>internode_pseudo_age</t>
  </si>
  <si>
    <t>leaf_is_growing</t>
  </si>
  <si>
    <t>internode_is_growing</t>
  </si>
  <si>
    <t>leaf_pseudostem_length</t>
  </si>
  <si>
    <t>internode_distance_to_emerge</t>
  </si>
  <si>
    <t>leaf_L</t>
  </si>
  <si>
    <t>internode_L</t>
  </si>
  <si>
    <t>leaf_Lmax</t>
  </si>
  <si>
    <t>lamina_Lmax</t>
  </si>
  <si>
    <t>sheath_Lmax</t>
  </si>
  <si>
    <t>leaf_Wmax</t>
  </si>
  <si>
    <t>SSLW</t>
  </si>
  <si>
    <t>LSSW</t>
  </si>
  <si>
    <t>leaf_is_emerged</t>
  </si>
  <si>
    <t>internode_Lmax</t>
  </si>
  <si>
    <t>LSIW</t>
  </si>
  <si>
    <t>internode_is_visible</t>
  </si>
  <si>
    <t>sucrose</t>
  </si>
  <si>
    <t>amino_acids</t>
  </si>
  <si>
    <t>fructan</t>
  </si>
  <si>
    <t>proteins</t>
  </si>
  <si>
    <t>leaf_enclosed_mstruct</t>
  </si>
  <si>
    <t>internode_enclosed_mstruct</t>
  </si>
  <si>
    <t>mstruct</t>
  </si>
  <si>
    <t>leaf_enclosed_Nstruct</t>
  </si>
  <si>
    <t>internode_enclosed_Nstruct</t>
  </si>
  <si>
    <t>MS</t>
  </si>
  <si>
    <t>True</t>
  </si>
  <si>
    <t>NA</t>
  </si>
  <si>
    <t>False</t>
  </si>
  <si>
    <t>INPUTS PMA S1</t>
  </si>
  <si>
    <t>leaf_psdo_age</t>
  </si>
  <si>
    <t>internode_psdo_age</t>
  </si>
  <si>
    <t>leaf_dist_to_emerge</t>
  </si>
  <si>
    <t>internode_dist_to_emerge</t>
  </si>
  <si>
    <t>SSSW</t>
  </si>
  <si>
    <t>SSINW</t>
  </si>
  <si>
    <t>internode_mstruct</t>
  </si>
  <si>
    <t>internode_Nstruct</t>
  </si>
  <si>
    <t>NOUVEAUX INPUTS</t>
  </si>
  <si>
    <t>organ</t>
  </si>
  <si>
    <t>element</t>
  </si>
  <si>
    <t>length</t>
  </si>
  <si>
    <t>is_growing</t>
  </si>
  <si>
    <t>blade</t>
  </si>
  <si>
    <t>LeafElement1</t>
  </si>
  <si>
    <t>sheath</t>
  </si>
  <si>
    <t>StemElement</t>
  </si>
  <si>
    <t>HiddenElement</t>
  </si>
  <si>
    <t>Nstruct</t>
  </si>
  <si>
    <t>green_area</t>
  </si>
  <si>
    <t>cytokinins</t>
  </si>
  <si>
    <t>leaf</t>
  </si>
  <si>
    <t>mstruct init</t>
  </si>
  <si>
    <t>alpha</t>
  </si>
  <si>
    <t>beta</t>
  </si>
  <si>
    <t>ratio mstruct dm</t>
  </si>
  <si>
    <t>te</t>
  </si>
  <si>
    <t>FITTED_L0</t>
  </si>
  <si>
    <t>enclosed_mstruct0</t>
  </si>
  <si>
    <t>enclosed_mstruct_max</t>
  </si>
  <si>
    <t>leaf_enclosed_mstruct_postE</t>
  </si>
  <si>
    <t>leaf_enclosed_mstruct_prE</t>
  </si>
  <si>
    <t>internodes</t>
  </si>
  <si>
    <t>RATIO_ENCLOSED_LEAF_INTERNODE</t>
  </si>
  <si>
    <t>fitted_L0_IN</t>
  </si>
  <si>
    <t>te_IN</t>
  </si>
  <si>
    <t>enclosed_IN_mstruct0</t>
  </si>
  <si>
    <t>SSLW/LSSW</t>
  </si>
  <si>
    <t>t_emergence</t>
  </si>
  <si>
    <t>nitrates</t>
  </si>
  <si>
    <t>structure</t>
  </si>
  <si>
    <t>starch</t>
  </si>
  <si>
    <t>phloem</t>
  </si>
  <si>
    <t>roots</t>
  </si>
  <si>
    <t>Shoot:Root</t>
  </si>
  <si>
    <t>Hiddenzone</t>
  </si>
  <si>
    <t>Elements</t>
  </si>
  <si>
    <t>Organs</t>
  </si>
  <si>
    <r>
      <t>enclosed_mstruct_max = min(</t>
    </r>
    <r>
      <rPr>
        <i/>
        <sz val="10"/>
        <color theme="0" tint="-0.499984740745262"/>
        <rFont val="Courier New"/>
        <family val="3"/>
      </rPr>
      <t>internode_pseudostem_L</t>
    </r>
    <r>
      <rPr>
        <sz val="10"/>
        <color theme="0" tint="-0.499984740745262"/>
        <rFont val="Courier New"/>
        <family val="3"/>
      </rPr>
      <t xml:space="preserve">, </t>
    </r>
    <r>
      <rPr>
        <i/>
        <sz val="10"/>
        <color theme="0" tint="-0.499984740745262"/>
        <rFont val="Courier New"/>
        <family val="3"/>
      </rPr>
      <t>internode_Lmax</t>
    </r>
    <r>
      <rPr>
        <sz val="10"/>
        <color theme="0" tint="-0.499984740745262"/>
        <rFont val="Courier New"/>
        <family val="3"/>
      </rPr>
      <t xml:space="preserve">) * </t>
    </r>
    <r>
      <rPr>
        <i/>
        <sz val="10"/>
        <color theme="0" tint="-0.499984740745262"/>
        <rFont val="Courier New"/>
        <family val="3"/>
      </rPr>
      <t>LSIW</t>
    </r>
  </si>
  <si>
    <r>
      <t xml:space="preserve">if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&lt; parameters.te_IN:</t>
    </r>
  </si>
  <si>
    <r>
      <t xml:space="preserve">    delta_enclosed_mstruct = </t>
    </r>
    <r>
      <rPr>
        <i/>
        <sz val="10"/>
        <color theme="0" tint="-0.499984740745262"/>
        <rFont val="Courier New"/>
        <family val="3"/>
      </rPr>
      <t xml:space="preserve">mstruct </t>
    </r>
    <r>
      <rPr>
        <sz val="10"/>
        <color theme="0" tint="-0.499984740745262"/>
        <rFont val="Courier New"/>
        <family val="3"/>
      </rPr>
      <t xml:space="preserve">- (enclosed_mstruct_max - enclosed_mstruct0)/parameters.te_IN *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- enclosed_mstruct0</t>
    </r>
  </si>
  <si>
    <t>Coeff</t>
  </si>
  <si>
    <t>Mass (g)</t>
  </si>
  <si>
    <t>semaine</t>
  </si>
  <si>
    <t>date</t>
  </si>
  <si>
    <t>SumTemp</t>
  </si>
  <si>
    <t>Manip</t>
  </si>
  <si>
    <t>Variete</t>
  </si>
  <si>
    <t>Fertilisation</t>
  </si>
  <si>
    <t>Train</t>
  </si>
  <si>
    <t>Brin</t>
  </si>
  <si>
    <t>Phytomere</t>
  </si>
  <si>
    <t>Masse limbes</t>
  </si>
  <si>
    <t>Masse gaines</t>
  </si>
  <si>
    <t>Masse entrenoeuds</t>
  </si>
  <si>
    <t>Surface limbes</t>
  </si>
  <si>
    <t>Surface gaines</t>
  </si>
  <si>
    <t>Surface entrenoeuds</t>
  </si>
  <si>
    <t>%N limbes</t>
  </si>
  <si>
    <t>%N gaines</t>
  </si>
  <si>
    <t>%N entrenoeuds</t>
  </si>
  <si>
    <t>SLN limbes</t>
  </si>
  <si>
    <t>SLN gaines</t>
  </si>
  <si>
    <t>SLN entrenoeuds</t>
  </si>
  <si>
    <t>DistribN</t>
  </si>
  <si>
    <t>Soissons</t>
  </si>
  <si>
    <t>N+</t>
  </si>
  <si>
    <t>BM</t>
  </si>
  <si>
    <t/>
  </si>
  <si>
    <t>MS Shoot</t>
  </si>
  <si>
    <t>MS Shoot g</t>
  </si>
  <si>
    <t>N Shoot %</t>
  </si>
  <si>
    <t>Données Jessica Bertheloot</t>
  </si>
  <si>
    <t>Devienne 1994</t>
  </si>
  <si>
    <t>Blé 500°CJ après repiquage.</t>
  </si>
  <si>
    <t>=&gt; +/- 5 feuilles ligulées</t>
  </si>
  <si>
    <t>Cultivé en hydroponie avec différentes concentrations en NO3-</t>
  </si>
  <si>
    <t>Résultats ici pour NO3- max (plateau)</t>
  </si>
  <si>
    <t>N Roots %</t>
  </si>
  <si>
    <t>MS Roots g</t>
  </si>
  <si>
    <t>Justes 1994 INN</t>
  </si>
  <si>
    <t xml:space="preserve">Sortie hiver, plein tallage </t>
  </si>
  <si>
    <t>t/ha</t>
  </si>
  <si>
    <t>Proposé pour les faibles shoot DM</t>
  </si>
  <si>
    <t>Mais Fig 8 montre avec autres donées que N% peut être de l'ordre de 5.2 % pour les fabiles DM</t>
  </si>
  <si>
    <t>g</t>
  </si>
  <si>
    <t>Shoot</t>
  </si>
  <si>
    <t>Lawlor 1988</t>
  </si>
  <si>
    <t>valeurs pour les triangles pleins : Température fraiches et N+ à 250 °C J après semis</t>
  </si>
  <si>
    <t>(peu précis)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</si>
</sst>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333333"/>
      <name val="Courier New"/>
      <family val="3"/>
    </font>
    <font>
      <b/>
      <sz val="10"/>
      <color rgb="FFFA0000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i/>
      <sz val="10"/>
      <color theme="0" tint="-0.499984740745262"/>
      <name val="Courier New"/>
      <family val="3"/>
    </font>
    <font>
      <b/>
      <sz val="10"/>
      <color theme="0" tint="-0.499984740745262"/>
      <name val="Courier New"/>
      <family val="3"/>
    </font>
    <font>
      <sz val="11"/>
      <color theme="2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1" fontId="0" fillId="0" borderId="0" xfId="0" applyNumberForma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/>
    <xf numFmtId="11" fontId="2" fillId="0" borderId="0" xfId="0" applyNumberFormat="1" applyFont="1"/>
    <xf numFmtId="0" fontId="2" fillId="3" borderId="0" xfId="0" applyFont="1" applyFill="1"/>
    <xf numFmtId="11" fontId="2" fillId="3" borderId="0" xfId="0" applyNumberFormat="1" applyFont="1" applyFill="1"/>
    <xf numFmtId="0" fontId="2" fillId="0" borderId="0" xfId="0" applyFont="1" applyAlignment="1">
      <alignment vertical="center" textRotation="90" wrapText="1"/>
    </xf>
    <xf numFmtId="0" fontId="2" fillId="0" borderId="1" xfId="0" applyFont="1" applyBorder="1"/>
    <xf numFmtId="0" fontId="7" fillId="0" borderId="0" xfId="0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6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1" fontId="1" fillId="0" borderId="6" xfId="0" applyNumberFormat="1" applyFont="1" applyBorder="1"/>
    <xf numFmtId="11" fontId="1" fillId="0" borderId="7" xfId="0" applyNumberFormat="1" applyFont="1" applyBorder="1"/>
    <xf numFmtId="0" fontId="1" fillId="0" borderId="8" xfId="0" applyFont="1" applyBorder="1"/>
    <xf numFmtId="0" fontId="1" fillId="0" borderId="1" xfId="0" applyFont="1" applyBorder="1"/>
    <xf numFmtId="11" fontId="1" fillId="0" borderId="1" xfId="0" applyNumberFormat="1" applyFont="1" applyBorder="1"/>
    <xf numFmtId="11" fontId="1" fillId="0" borderId="9" xfId="0" applyNumberFormat="1" applyFont="1" applyBorder="1"/>
    <xf numFmtId="0" fontId="1" fillId="0" borderId="2" xfId="0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12" fillId="0" borderId="0" xfId="0" applyFont="1"/>
    <xf numFmtId="11" fontId="12" fillId="0" borderId="0" xfId="0" applyNumberFormat="1" applyFont="1"/>
    <xf numFmtId="2" fontId="1" fillId="0" borderId="11" xfId="0" applyNumberFormat="1" applyFont="1" applyBorder="1"/>
    <xf numFmtId="0" fontId="2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/>
    </xf>
    <xf numFmtId="14" fontId="0" fillId="0" borderId="0" xfId="0" applyNumberFormat="1"/>
    <xf numFmtId="164" fontId="13" fillId="4" borderId="0" xfId="0" applyNumberFormat="1" applyFont="1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topLeftCell="D1" workbookViewId="0">
      <selection activeCell="U32" sqref="U32"/>
    </sheetView>
  </sheetViews>
  <sheetFormatPr baseColWidth="10" defaultRowHeight="15" x14ac:dyDescent="0.25"/>
  <cols>
    <col min="5" max="5" width="12" bestFit="1" customWidth="1"/>
    <col min="35" max="35" width="17.85546875" bestFit="1" customWidth="1"/>
    <col min="36" max="36" width="21.7109375" bestFit="1" customWidth="1"/>
    <col min="40" max="40" width="12" bestFit="1" customWidth="1"/>
  </cols>
  <sheetData>
    <row r="1" spans="1:40" s="8" customFormat="1" x14ac:dyDescent="0.25">
      <c r="A1" s="8" t="s">
        <v>34</v>
      </c>
      <c r="W1" s="9"/>
    </row>
    <row r="2" spans="1:40" x14ac:dyDescent="0.25">
      <c r="W2" s="1"/>
    </row>
    <row r="3" spans="1:40" s="6" customFormat="1" x14ac:dyDescent="0.25">
      <c r="A3" s="36" t="s">
        <v>80</v>
      </c>
      <c r="B3" s="11" t="s">
        <v>0</v>
      </c>
      <c r="C3" s="11" t="s">
        <v>1</v>
      </c>
      <c r="D3" s="11" t="s">
        <v>2</v>
      </c>
      <c r="E3" s="11" t="s">
        <v>35</v>
      </c>
      <c r="F3" s="11" t="s">
        <v>36</v>
      </c>
      <c r="G3" s="11" t="s">
        <v>5</v>
      </c>
      <c r="H3" s="11" t="s">
        <v>6</v>
      </c>
      <c r="I3" s="11" t="s">
        <v>37</v>
      </c>
      <c r="J3" s="11" t="s">
        <v>38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39</v>
      </c>
      <c r="S3" s="11" t="s">
        <v>17</v>
      </c>
      <c r="T3" s="11" t="s">
        <v>18</v>
      </c>
      <c r="U3" s="11" t="s">
        <v>40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  <c r="AA3" s="11" t="s">
        <v>25</v>
      </c>
      <c r="AB3" s="11" t="s">
        <v>41</v>
      </c>
      <c r="AC3" s="11" t="s">
        <v>27</v>
      </c>
      <c r="AD3" s="11" t="s">
        <v>28</v>
      </c>
      <c r="AE3" s="11" t="s">
        <v>42</v>
      </c>
    </row>
    <row r="4" spans="1:40" x14ac:dyDescent="0.25">
      <c r="A4" s="36"/>
      <c r="B4">
        <v>1</v>
      </c>
      <c r="C4" t="s">
        <v>30</v>
      </c>
      <c r="D4">
        <v>3</v>
      </c>
      <c r="E4">
        <v>744480</v>
      </c>
      <c r="F4" t="s">
        <v>32</v>
      </c>
      <c r="G4" t="s">
        <v>31</v>
      </c>
      <c r="H4" t="s">
        <v>33</v>
      </c>
      <c r="I4">
        <v>2.9000000000000001E-2</v>
      </c>
      <c r="J4">
        <v>2.9000000000000001E-2</v>
      </c>
      <c r="K4">
        <v>8.9421564999999995E-2</v>
      </c>
      <c r="L4">
        <v>0</v>
      </c>
      <c r="M4">
        <v>0.12280000000000001</v>
      </c>
      <c r="N4">
        <v>9.4120999999999996E-2</v>
      </c>
      <c r="O4">
        <v>2.8646000000000001E-2</v>
      </c>
      <c r="P4">
        <v>7.8935600000000009E-3</v>
      </c>
      <c r="Q4">
        <v>27.6</v>
      </c>
      <c r="R4">
        <v>138</v>
      </c>
      <c r="S4" t="s">
        <v>31</v>
      </c>
      <c r="T4" t="s">
        <v>32</v>
      </c>
      <c r="U4">
        <v>138</v>
      </c>
      <c r="V4" t="s">
        <v>33</v>
      </c>
      <c r="W4" s="1">
        <v>0.17299999999999999</v>
      </c>
      <c r="X4" s="1">
        <v>1.6799999999999999E-2</v>
      </c>
      <c r="Y4">
        <v>0</v>
      </c>
      <c r="Z4">
        <v>0</v>
      </c>
      <c r="AA4" s="1">
        <v>1.44E-4</v>
      </c>
      <c r="AB4">
        <v>0</v>
      </c>
      <c r="AC4" s="1">
        <v>1.44E-4</v>
      </c>
      <c r="AD4" s="1">
        <v>4.6399999999999996E-6</v>
      </c>
      <c r="AE4">
        <v>0</v>
      </c>
    </row>
    <row r="5" spans="1:40" x14ac:dyDescent="0.25">
      <c r="A5" s="36"/>
      <c r="B5">
        <v>1</v>
      </c>
      <c r="C5" t="s">
        <v>30</v>
      </c>
      <c r="D5">
        <v>4</v>
      </c>
      <c r="E5">
        <v>372960</v>
      </c>
      <c r="F5" t="s">
        <v>32</v>
      </c>
      <c r="G5" t="s">
        <v>31</v>
      </c>
      <c r="H5" t="s">
        <v>33</v>
      </c>
      <c r="I5">
        <v>2.9000000000000001E-2</v>
      </c>
      <c r="J5">
        <v>2.9000000000000001E-2</v>
      </c>
      <c r="K5">
        <v>2.5999999999999999E-2</v>
      </c>
      <c r="L5">
        <v>0</v>
      </c>
      <c r="M5">
        <v>0.1331</v>
      </c>
      <c r="N5">
        <v>9.9874000000000004E-2</v>
      </c>
      <c r="O5">
        <v>3.3266999999999998E-2</v>
      </c>
      <c r="P5">
        <v>7.8935600000000009E-3</v>
      </c>
      <c r="Q5">
        <v>27.6</v>
      </c>
      <c r="R5">
        <v>138</v>
      </c>
      <c r="S5" t="s">
        <v>33</v>
      </c>
      <c r="T5" t="s">
        <v>32</v>
      </c>
      <c r="U5">
        <v>138</v>
      </c>
      <c r="V5" t="s">
        <v>33</v>
      </c>
      <c r="W5" s="1">
        <v>0.17299999999999999</v>
      </c>
      <c r="X5" s="1">
        <v>1.6799999999999999E-2</v>
      </c>
      <c r="Y5">
        <v>0</v>
      </c>
      <c r="Z5">
        <v>0</v>
      </c>
      <c r="AA5" s="1">
        <v>1.44E-4</v>
      </c>
      <c r="AB5">
        <v>0</v>
      </c>
      <c r="AC5" s="1">
        <v>1.44E-4</v>
      </c>
      <c r="AD5" s="1">
        <v>4.6399999999999996E-6</v>
      </c>
      <c r="AE5">
        <v>0</v>
      </c>
    </row>
    <row r="6" spans="1:40" x14ac:dyDescent="0.25">
      <c r="A6" s="36"/>
      <c r="B6">
        <v>1</v>
      </c>
      <c r="C6" t="s">
        <v>30</v>
      </c>
      <c r="D6">
        <v>5</v>
      </c>
      <c r="E6" t="s">
        <v>32</v>
      </c>
      <c r="F6" t="s">
        <v>32</v>
      </c>
      <c r="G6" t="s">
        <v>31</v>
      </c>
      <c r="H6" t="s">
        <v>33</v>
      </c>
      <c r="I6">
        <v>2.9000000000000001E-2</v>
      </c>
      <c r="J6">
        <v>2.9000000000000001E-2</v>
      </c>
      <c r="K6">
        <v>2.0978429999999998E-3</v>
      </c>
      <c r="L6">
        <v>0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33</v>
      </c>
      <c r="T6" t="s">
        <v>32</v>
      </c>
      <c r="U6" t="s">
        <v>32</v>
      </c>
      <c r="V6" t="s">
        <v>33</v>
      </c>
      <c r="W6" s="1">
        <v>3.7299999999999998E-3</v>
      </c>
      <c r="X6" s="1">
        <v>3.6400000000000001E-4</v>
      </c>
      <c r="Y6">
        <v>0</v>
      </c>
      <c r="Z6">
        <v>0</v>
      </c>
      <c r="AA6" s="1">
        <v>3.1099999999999999E-6</v>
      </c>
      <c r="AB6">
        <v>0</v>
      </c>
      <c r="AC6" s="1">
        <v>3.1099999999999999E-6</v>
      </c>
      <c r="AD6" s="1">
        <v>9.9999999999999995E-8</v>
      </c>
      <c r="AE6">
        <v>0</v>
      </c>
    </row>
    <row r="7" spans="1:40" x14ac:dyDescent="0.25">
      <c r="A7" s="36"/>
      <c r="B7">
        <v>1</v>
      </c>
      <c r="C7" t="s">
        <v>30</v>
      </c>
      <c r="D7">
        <v>6</v>
      </c>
      <c r="E7" t="s">
        <v>32</v>
      </c>
      <c r="F7" t="s">
        <v>32</v>
      </c>
      <c r="G7" t="s">
        <v>31</v>
      </c>
      <c r="H7" t="s">
        <v>33</v>
      </c>
      <c r="I7">
        <v>2.9000000000000001E-2</v>
      </c>
      <c r="J7">
        <v>2.9000000000000001E-2</v>
      </c>
      <c r="K7">
        <v>5.4136500000000003E-4</v>
      </c>
      <c r="L7">
        <v>0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33</v>
      </c>
      <c r="T7" t="s">
        <v>32</v>
      </c>
      <c r="U7" t="s">
        <v>32</v>
      </c>
      <c r="V7" t="s">
        <v>33</v>
      </c>
      <c r="W7" s="1">
        <v>7.6800000000000002E-4</v>
      </c>
      <c r="X7" s="1">
        <v>7.4900000000000005E-5</v>
      </c>
      <c r="Y7">
        <v>0</v>
      </c>
      <c r="Z7">
        <v>0</v>
      </c>
      <c r="AA7" s="1">
        <v>6.4000000000000001E-7</v>
      </c>
      <c r="AB7">
        <v>0</v>
      </c>
      <c r="AC7" s="1">
        <v>6.4000000000000001E-7</v>
      </c>
      <c r="AD7" s="1">
        <v>2.0599999999999999E-8</v>
      </c>
      <c r="AE7">
        <v>0</v>
      </c>
    </row>
    <row r="8" spans="1:40" x14ac:dyDescent="0.25">
      <c r="A8" s="36"/>
      <c r="B8">
        <v>1</v>
      </c>
      <c r="C8" t="s">
        <v>30</v>
      </c>
      <c r="D8">
        <v>7</v>
      </c>
      <c r="E8" t="s">
        <v>32</v>
      </c>
      <c r="F8" t="s">
        <v>32</v>
      </c>
      <c r="G8" t="s">
        <v>31</v>
      </c>
      <c r="H8" t="s">
        <v>33</v>
      </c>
      <c r="I8">
        <v>2.9000000000000001E-2</v>
      </c>
      <c r="J8">
        <v>2.9000000000000001E-2</v>
      </c>
      <c r="K8">
        <v>2.26918E-4</v>
      </c>
      <c r="L8">
        <v>0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33</v>
      </c>
      <c r="T8" t="s">
        <v>32</v>
      </c>
      <c r="U8" t="s">
        <v>32</v>
      </c>
      <c r="V8" t="s">
        <v>33</v>
      </c>
      <c r="W8" s="1">
        <v>7.6800000000000002E-4</v>
      </c>
      <c r="X8" s="1">
        <v>7.4900000000000005E-5</v>
      </c>
      <c r="Y8">
        <v>0</v>
      </c>
      <c r="Z8">
        <v>0</v>
      </c>
      <c r="AA8" s="1">
        <v>6.4000000000000001E-7</v>
      </c>
      <c r="AB8">
        <v>0</v>
      </c>
      <c r="AC8" s="1">
        <v>6.4000000000000001E-7</v>
      </c>
      <c r="AD8" s="1">
        <v>2.0599999999999999E-8</v>
      </c>
      <c r="AE8">
        <v>0</v>
      </c>
    </row>
    <row r="9" spans="1:40" x14ac:dyDescent="0.25">
      <c r="A9" s="36"/>
      <c r="B9">
        <v>1</v>
      </c>
      <c r="C9" t="s">
        <v>30</v>
      </c>
      <c r="D9">
        <v>8</v>
      </c>
      <c r="E9" t="s">
        <v>32</v>
      </c>
      <c r="F9" t="s">
        <v>32</v>
      </c>
      <c r="G9" t="s">
        <v>31</v>
      </c>
      <c r="H9" t="s">
        <v>33</v>
      </c>
      <c r="I9">
        <v>2.9000000000000001E-2</v>
      </c>
      <c r="J9">
        <v>2.9000000000000001E-2</v>
      </c>
      <c r="K9">
        <v>1.13794E-4</v>
      </c>
      <c r="L9">
        <v>0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33</v>
      </c>
      <c r="T9" t="s">
        <v>32</v>
      </c>
      <c r="U9" t="s">
        <v>32</v>
      </c>
      <c r="V9" t="s">
        <v>33</v>
      </c>
      <c r="W9" s="1">
        <v>7.6800000000000002E-4</v>
      </c>
      <c r="X9" s="1">
        <v>7.4900000000000005E-5</v>
      </c>
      <c r="Y9">
        <v>0</v>
      </c>
      <c r="Z9">
        <v>0</v>
      </c>
      <c r="AA9" s="1">
        <v>6.4000000000000001E-7</v>
      </c>
      <c r="AB9">
        <v>0</v>
      </c>
      <c r="AC9" s="1">
        <v>6.4000000000000001E-7</v>
      </c>
      <c r="AD9" s="1">
        <v>2.0599999999999999E-8</v>
      </c>
      <c r="AE9">
        <v>0</v>
      </c>
    </row>
    <row r="10" spans="1:40" x14ac:dyDescent="0.25">
      <c r="A10" s="36"/>
      <c r="B10">
        <v>1</v>
      </c>
      <c r="C10" t="s">
        <v>30</v>
      </c>
      <c r="D10">
        <v>9</v>
      </c>
      <c r="E10" t="s">
        <v>32</v>
      </c>
      <c r="F10" t="s">
        <v>32</v>
      </c>
      <c r="G10" t="s">
        <v>31</v>
      </c>
      <c r="H10" t="s">
        <v>33</v>
      </c>
      <c r="I10">
        <v>2.9000000000000001E-2</v>
      </c>
      <c r="J10">
        <v>2.9000000000000001E-2</v>
      </c>
      <c r="K10" s="1">
        <v>5.5899999999999997E-5</v>
      </c>
      <c r="L10">
        <v>0</v>
      </c>
      <c r="M10" t="s">
        <v>32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33</v>
      </c>
      <c r="T10" t="s">
        <v>32</v>
      </c>
      <c r="U10" t="s">
        <v>32</v>
      </c>
      <c r="V10" t="s">
        <v>33</v>
      </c>
      <c r="W10" s="1">
        <v>7.6800000000000002E-4</v>
      </c>
      <c r="X10" s="1">
        <v>7.4900000000000005E-5</v>
      </c>
      <c r="Y10">
        <v>0</v>
      </c>
      <c r="Z10">
        <v>0</v>
      </c>
      <c r="AA10" s="1">
        <v>6.4000000000000001E-7</v>
      </c>
      <c r="AB10">
        <v>0</v>
      </c>
      <c r="AC10" s="1">
        <v>6.4000000000000001E-7</v>
      </c>
      <c r="AD10" s="1">
        <v>2.0599999999999999E-8</v>
      </c>
      <c r="AE10">
        <v>0</v>
      </c>
    </row>
    <row r="11" spans="1:40" x14ac:dyDescent="0.25">
      <c r="A11" s="36"/>
      <c r="B11">
        <v>1</v>
      </c>
      <c r="C11" t="s">
        <v>30</v>
      </c>
      <c r="D11">
        <v>10</v>
      </c>
      <c r="E11" t="s">
        <v>32</v>
      </c>
      <c r="F11" t="s">
        <v>32</v>
      </c>
      <c r="G11" t="s">
        <v>31</v>
      </c>
      <c r="H11" t="s">
        <v>33</v>
      </c>
      <c r="I11">
        <v>2.9000000000000001E-2</v>
      </c>
      <c r="J11">
        <v>2.9000000000000001E-2</v>
      </c>
      <c r="K11" s="1">
        <v>2.9300000000000001E-5</v>
      </c>
      <c r="L11">
        <v>0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33</v>
      </c>
      <c r="T11" t="s">
        <v>32</v>
      </c>
      <c r="U11" t="s">
        <v>32</v>
      </c>
      <c r="V11" t="s">
        <v>33</v>
      </c>
      <c r="W11" s="1">
        <v>7.6800000000000002E-4</v>
      </c>
      <c r="X11" s="1">
        <v>7.4900000000000005E-5</v>
      </c>
      <c r="Y11">
        <v>0</v>
      </c>
      <c r="Z11">
        <v>0</v>
      </c>
      <c r="AA11" s="1">
        <v>6.4000000000000001E-7</v>
      </c>
      <c r="AB11">
        <v>0</v>
      </c>
      <c r="AC11" s="1">
        <v>6.4000000000000001E-7</v>
      </c>
      <c r="AD11" s="1">
        <v>2.0599999999999999E-8</v>
      </c>
      <c r="AE11">
        <v>0</v>
      </c>
    </row>
    <row r="12" spans="1:40" x14ac:dyDescent="0.25">
      <c r="A12" s="36"/>
      <c r="B12">
        <v>1</v>
      </c>
      <c r="C12" t="s">
        <v>30</v>
      </c>
      <c r="D12">
        <v>11</v>
      </c>
      <c r="E12" t="s">
        <v>32</v>
      </c>
      <c r="F12" t="s">
        <v>32</v>
      </c>
      <c r="G12" t="s">
        <v>31</v>
      </c>
      <c r="H12" t="s">
        <v>33</v>
      </c>
      <c r="I12">
        <v>2.9000000000000001E-2</v>
      </c>
      <c r="J12">
        <v>2.9000000000000001E-2</v>
      </c>
      <c r="K12" s="1">
        <v>1.2999999999999999E-5</v>
      </c>
      <c r="L12">
        <v>0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33</v>
      </c>
      <c r="T12" t="s">
        <v>32</v>
      </c>
      <c r="U12" t="s">
        <v>32</v>
      </c>
      <c r="V12" t="s">
        <v>33</v>
      </c>
      <c r="W12" s="1">
        <v>7.6800000000000002E-4</v>
      </c>
      <c r="X12" s="1">
        <v>7.4900000000000005E-5</v>
      </c>
      <c r="Y12">
        <v>0</v>
      </c>
      <c r="Z12">
        <v>0</v>
      </c>
      <c r="AA12" s="1">
        <v>6.4000000000000001E-7</v>
      </c>
      <c r="AB12">
        <v>0</v>
      </c>
      <c r="AC12" s="1">
        <v>6.4000000000000001E-7</v>
      </c>
      <c r="AD12" s="1">
        <v>2.0599999999999999E-8</v>
      </c>
      <c r="AE12">
        <v>0</v>
      </c>
    </row>
    <row r="14" spans="1:40" s="8" customFormat="1" x14ac:dyDescent="0.25">
      <c r="A14" s="8" t="s">
        <v>43</v>
      </c>
    </row>
    <row r="16" spans="1:40" s="6" customFormat="1" ht="15" customHeight="1" x14ac:dyDescent="0.25">
      <c r="A16" s="36" t="s">
        <v>80</v>
      </c>
      <c r="B16" s="11" t="s">
        <v>0</v>
      </c>
      <c r="C16" s="11" t="s">
        <v>1</v>
      </c>
      <c r="D16" s="11" t="s">
        <v>2</v>
      </c>
      <c r="E16" s="11" t="s">
        <v>3</v>
      </c>
      <c r="F16" s="11" t="s">
        <v>4</v>
      </c>
      <c r="G16" s="11" t="s">
        <v>5</v>
      </c>
      <c r="H16" s="11" t="s">
        <v>6</v>
      </c>
      <c r="I16" s="11" t="s">
        <v>7</v>
      </c>
      <c r="J16" s="11" t="s">
        <v>8</v>
      </c>
      <c r="K16" s="11" t="s">
        <v>9</v>
      </c>
      <c r="L16" s="11" t="s">
        <v>10</v>
      </c>
      <c r="M16" s="11" t="s">
        <v>11</v>
      </c>
      <c r="N16" s="11" t="s">
        <v>12</v>
      </c>
      <c r="O16" s="11" t="s">
        <v>13</v>
      </c>
      <c r="P16" s="11" t="s">
        <v>14</v>
      </c>
      <c r="Q16" s="11" t="s">
        <v>15</v>
      </c>
      <c r="R16" s="11" t="s">
        <v>16</v>
      </c>
      <c r="S16" s="11" t="s">
        <v>17</v>
      </c>
      <c r="T16" s="11" t="s">
        <v>18</v>
      </c>
      <c r="U16" s="11" t="s">
        <v>19</v>
      </c>
      <c r="V16" s="11" t="s">
        <v>20</v>
      </c>
      <c r="W16" s="11" t="s">
        <v>21</v>
      </c>
      <c r="X16" s="11" t="s">
        <v>22</v>
      </c>
      <c r="Y16" s="11" t="s">
        <v>23</v>
      </c>
      <c r="Z16" s="11" t="s">
        <v>24</v>
      </c>
      <c r="AA16" s="11" t="s">
        <v>25</v>
      </c>
      <c r="AB16" s="11" t="s">
        <v>26</v>
      </c>
      <c r="AC16" s="11" t="s">
        <v>27</v>
      </c>
      <c r="AD16" s="11" t="s">
        <v>28</v>
      </c>
      <c r="AE16" s="11" t="s">
        <v>29</v>
      </c>
      <c r="AF16" s="11" t="s">
        <v>53</v>
      </c>
      <c r="AH16" s="12" t="s">
        <v>73</v>
      </c>
      <c r="AI16" s="12" t="s">
        <v>63</v>
      </c>
      <c r="AJ16" s="12" t="s">
        <v>64</v>
      </c>
      <c r="AK16" s="12" t="s">
        <v>65</v>
      </c>
      <c r="AL16" s="12" t="s">
        <v>66</v>
      </c>
      <c r="AM16" s="12"/>
      <c r="AN16" s="12" t="s">
        <v>71</v>
      </c>
    </row>
    <row r="17" spans="1:41" x14ac:dyDescent="0.25">
      <c r="A17" s="36"/>
      <c r="B17">
        <v>1</v>
      </c>
      <c r="C17" t="s">
        <v>30</v>
      </c>
      <c r="D17">
        <v>3</v>
      </c>
      <c r="E17">
        <v>702168</v>
      </c>
      <c r="F17">
        <v>432000</v>
      </c>
      <c r="G17" t="s">
        <v>31</v>
      </c>
      <c r="H17" t="s">
        <v>31</v>
      </c>
      <c r="I17">
        <f>G28+G31-L17</f>
        <v>2.895E-2</v>
      </c>
      <c r="J17">
        <f>I17-L17</f>
        <v>2.8899999999999999E-2</v>
      </c>
      <c r="K17">
        <v>8.9421564999999995E-2</v>
      </c>
      <c r="L17">
        <v>5.0000000000000002E-5</v>
      </c>
      <c r="M17">
        <v>0.12280000000000001</v>
      </c>
      <c r="N17">
        <v>9.3426658551430383E-2</v>
      </c>
      <c r="O17">
        <v>2.9373341448569623E-2</v>
      </c>
      <c r="P17">
        <v>5.0000000000000001E-3</v>
      </c>
      <c r="Q17">
        <v>27.6</v>
      </c>
      <c r="R17">
        <v>0.08</v>
      </c>
      <c r="S17" t="s">
        <v>31</v>
      </c>
      <c r="T17" t="s">
        <v>32</v>
      </c>
      <c r="U17">
        <v>1</v>
      </c>
      <c r="V17" t="s">
        <v>33</v>
      </c>
      <c r="W17" s="1">
        <f>AC17*$W$28</f>
        <v>3.8634596211146017</v>
      </c>
      <c r="X17">
        <f>AC17*$R$28</f>
        <v>0.28251548479400523</v>
      </c>
      <c r="Y17">
        <v>0</v>
      </c>
      <c r="Z17">
        <f>AC17*$S$28</f>
        <v>3.4296253011602746</v>
      </c>
      <c r="AA17" s="1">
        <f>AK17</f>
        <v>1.6084503558564914E-3</v>
      </c>
      <c r="AB17" s="1">
        <f>AN17</f>
        <v>1.3244862745926676E-6</v>
      </c>
      <c r="AC17">
        <f>AA17+AB17</f>
        <v>1.6097748421310841E-3</v>
      </c>
      <c r="AD17" s="1">
        <f>AA17*0.005</f>
        <v>8.0422517792824564E-6</v>
      </c>
      <c r="AE17">
        <f>AB17*0.005</f>
        <v>6.6224313729633385E-9</v>
      </c>
      <c r="AF17">
        <f>AD17+AE17</f>
        <v>8.0488742106554192E-6</v>
      </c>
      <c r="AH17" s="13">
        <v>432477</v>
      </c>
      <c r="AI17" s="14">
        <f>$T$31+$T$32*$T$34*(I17)^$T$33</f>
        <v>9.1058115591388438E-4</v>
      </c>
      <c r="AJ17" s="13">
        <f>I17*R17</f>
        <v>2.3159999999999999E-3</v>
      </c>
      <c r="AK17" s="14">
        <f>((AJ17-AI17)/($T$35-AH17))*(E17-$T$35)+AJ17</f>
        <v>1.6084503558564914E-3</v>
      </c>
      <c r="AL17" s="14">
        <f>$T$31+$T$32*$T$34*(K17)^$T$33</f>
        <v>3.8569582434957233E-3</v>
      </c>
      <c r="AM17" s="13"/>
      <c r="AN17" s="13">
        <f>$AO$32*$AO$34*$AO$36*(L17)^$AO$33</f>
        <v>1.3244862745926676E-6</v>
      </c>
    </row>
    <row r="18" spans="1:41" x14ac:dyDescent="0.25">
      <c r="A18" s="36"/>
      <c r="B18">
        <v>1</v>
      </c>
      <c r="C18" t="s">
        <v>30</v>
      </c>
      <c r="D18">
        <v>4</v>
      </c>
      <c r="E18">
        <v>351574</v>
      </c>
      <c r="F18">
        <v>0</v>
      </c>
      <c r="G18" t="s">
        <v>31</v>
      </c>
      <c r="H18" t="s">
        <v>31</v>
      </c>
      <c r="I18">
        <f>I17-L18</f>
        <v>2.894E-2</v>
      </c>
      <c r="J18">
        <f t="shared" ref="J18:J24" si="0">I18-L18</f>
        <v>2.8930000000000001E-2</v>
      </c>
      <c r="K18">
        <v>2.5999999999999999E-2</v>
      </c>
      <c r="L18">
        <v>1.0000000000000001E-5</v>
      </c>
      <c r="M18">
        <v>0.1331</v>
      </c>
      <c r="N18">
        <v>9.9106478034251738E-2</v>
      </c>
      <c r="O18">
        <v>3.3993521965748258E-2</v>
      </c>
      <c r="P18">
        <v>5.4999999999999997E-3</v>
      </c>
      <c r="Q18">
        <v>27.6</v>
      </c>
      <c r="R18">
        <v>0.08</v>
      </c>
      <c r="S18" t="s">
        <v>33</v>
      </c>
      <c r="T18" t="s">
        <v>32</v>
      </c>
      <c r="U18" t="s">
        <v>32</v>
      </c>
      <c r="V18" t="s">
        <v>33</v>
      </c>
      <c r="W18" s="1">
        <f t="shared" ref="W18:W24" si="1">AC18*$W$28</f>
        <v>1.9049336424038494</v>
      </c>
      <c r="X18">
        <f t="shared" ref="X18:X24" si="2">AC18*$R$28</f>
        <v>0.13929827260078148</v>
      </c>
      <c r="Y18">
        <v>0</v>
      </c>
      <c r="Z18">
        <f t="shared" ref="Z18:Z24" si="3">AC18*$S$28</f>
        <v>1.6910254688089172</v>
      </c>
      <c r="AA18" s="1">
        <f>AL18</f>
        <v>7.9355355356128927E-4</v>
      </c>
      <c r="AB18" s="1">
        <f>AN18</f>
        <v>1.6879744031468265E-7</v>
      </c>
      <c r="AC18">
        <f t="shared" ref="AC18:AC24" si="4">AA18+AB18</f>
        <v>7.9372235100160394E-4</v>
      </c>
      <c r="AD18">
        <f t="shared" ref="AD18:AE24" si="5">AA18*0.005</f>
        <v>3.9677677678064465E-6</v>
      </c>
      <c r="AE18">
        <f t="shared" si="5"/>
        <v>8.4398720157341326E-10</v>
      </c>
      <c r="AF18">
        <f t="shared" ref="AF18:AF24" si="6">AD18+AE18</f>
        <v>3.9686117550080197E-6</v>
      </c>
      <c r="AH18" s="13">
        <v>418578</v>
      </c>
      <c r="AI18" s="14">
        <f>$T$31+$T$32*$T$34*(I18)^$T$33</f>
        <v>9.1017858127080242E-4</v>
      </c>
      <c r="AJ18" s="13">
        <f t="shared" ref="AJ18:AJ24" si="7">I18*R18</f>
        <v>2.3151999999999999E-3</v>
      </c>
      <c r="AK18" s="14">
        <f>((AJ18-AI18)/($T$35-AH18))*(E18-$T$35)+AJ18</f>
        <v>7.4116899970933631E-4</v>
      </c>
      <c r="AL18" s="14">
        <f t="shared" ref="AL18:AL24" si="8">$T$31+$T$32*$T$34*(K18)^$T$33</f>
        <v>7.9355355356128927E-4</v>
      </c>
      <c r="AM18" s="13"/>
      <c r="AN18" s="13">
        <f t="shared" ref="AN18:AN24" si="9">$AO$32*$AO$34*$AO$36*(L18)^$AO$33</f>
        <v>1.6879744031468265E-7</v>
      </c>
    </row>
    <row r="19" spans="1:41" x14ac:dyDescent="0.25">
      <c r="A19" s="36"/>
      <c r="B19">
        <v>1</v>
      </c>
      <c r="C19" t="s">
        <v>30</v>
      </c>
      <c r="D19">
        <v>5</v>
      </c>
      <c r="E19">
        <v>0</v>
      </c>
      <c r="F19">
        <v>0</v>
      </c>
      <c r="G19" t="s">
        <v>31</v>
      </c>
      <c r="H19" t="s">
        <v>33</v>
      </c>
      <c r="I19">
        <f>I18-L19</f>
        <v>2.894E-2</v>
      </c>
      <c r="J19">
        <f t="shared" si="0"/>
        <v>2.894E-2</v>
      </c>
      <c r="K19">
        <v>2.0978429999999998E-3</v>
      </c>
      <c r="L19">
        <v>0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33</v>
      </c>
      <c r="T19" t="s">
        <v>32</v>
      </c>
      <c r="U19" t="s">
        <v>32</v>
      </c>
      <c r="V19" t="s">
        <v>33</v>
      </c>
      <c r="W19" s="1">
        <f t="shared" si="1"/>
        <v>7.6004635065645101E-2</v>
      </c>
      <c r="X19">
        <f t="shared" si="2"/>
        <v>5.5578389391752981E-3</v>
      </c>
      <c r="Y19">
        <v>0</v>
      </c>
      <c r="Z19">
        <f t="shared" si="3"/>
        <v>6.7469947919732029E-2</v>
      </c>
      <c r="AA19" s="1">
        <f>AL19</f>
        <v>3.1668597944018791E-5</v>
      </c>
      <c r="AB19" s="1">
        <v>0</v>
      </c>
      <c r="AC19">
        <f t="shared" si="4"/>
        <v>3.1668597944018791E-5</v>
      </c>
      <c r="AD19">
        <f t="shared" si="5"/>
        <v>1.5834298972009396E-7</v>
      </c>
      <c r="AE19">
        <f t="shared" si="5"/>
        <v>0</v>
      </c>
      <c r="AF19">
        <f t="shared" si="6"/>
        <v>1.5834298972009396E-7</v>
      </c>
      <c r="AH19" s="13"/>
      <c r="AI19" s="14" t="e">
        <f t="shared" ref="AI19:AI24" si="10">$T$31+$T$32*$T$34*(M19*$T$36)^$T$33</f>
        <v>#VALUE!</v>
      </c>
      <c r="AJ19" s="13" t="e">
        <f t="shared" si="7"/>
        <v>#VALUE!</v>
      </c>
      <c r="AK19" s="14" t="e">
        <f t="shared" ref="AK19:AK24" si="11">AI19+((AJ19-AI19)/$T$35)*E19</f>
        <v>#VALUE!</v>
      </c>
      <c r="AL19" s="14">
        <f t="shared" si="8"/>
        <v>3.1668597944018791E-5</v>
      </c>
      <c r="AM19" s="13"/>
      <c r="AN19" s="13">
        <f t="shared" si="9"/>
        <v>0</v>
      </c>
    </row>
    <row r="20" spans="1:41" x14ac:dyDescent="0.25">
      <c r="A20" s="36"/>
      <c r="B20">
        <v>1</v>
      </c>
      <c r="C20" t="s">
        <v>30</v>
      </c>
      <c r="D20">
        <v>6</v>
      </c>
      <c r="E20">
        <v>0</v>
      </c>
      <c r="F20">
        <v>0</v>
      </c>
      <c r="G20" t="s">
        <v>31</v>
      </c>
      <c r="H20" t="s">
        <v>33</v>
      </c>
      <c r="I20">
        <f t="shared" ref="I20:I24" si="12">I19-L20</f>
        <v>2.894E-2</v>
      </c>
      <c r="J20">
        <f t="shared" si="0"/>
        <v>2.894E-2</v>
      </c>
      <c r="K20">
        <v>5.4136500000000003E-4</v>
      </c>
      <c r="L20">
        <v>0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33</v>
      </c>
      <c r="T20" t="s">
        <v>32</v>
      </c>
      <c r="U20" t="s">
        <v>32</v>
      </c>
      <c r="V20" t="s">
        <v>33</v>
      </c>
      <c r="W20" s="1">
        <f t="shared" si="1"/>
        <v>1.347501240661572E-2</v>
      </c>
      <c r="X20">
        <f t="shared" si="2"/>
        <v>9.8536028223377456E-4</v>
      </c>
      <c r="Y20">
        <v>0</v>
      </c>
      <c r="Z20">
        <f t="shared" si="3"/>
        <v>1.1961880805122829E-2</v>
      </c>
      <c r="AA20" s="1">
        <f t="shared" ref="AA20:AA24" si="13">AL20</f>
        <v>5.6145885027565499E-6</v>
      </c>
      <c r="AB20" s="1">
        <v>0</v>
      </c>
      <c r="AC20">
        <f t="shared" si="4"/>
        <v>5.6145885027565499E-6</v>
      </c>
      <c r="AD20">
        <f t="shared" si="5"/>
        <v>2.8072942513782751E-8</v>
      </c>
      <c r="AE20">
        <f t="shared" si="5"/>
        <v>0</v>
      </c>
      <c r="AF20">
        <f t="shared" si="6"/>
        <v>2.8072942513782751E-8</v>
      </c>
      <c r="AH20" s="13"/>
      <c r="AI20" s="14" t="e">
        <f t="shared" si="10"/>
        <v>#VALUE!</v>
      </c>
      <c r="AJ20" s="13" t="e">
        <f t="shared" si="7"/>
        <v>#VALUE!</v>
      </c>
      <c r="AK20" s="14" t="e">
        <f t="shared" si="11"/>
        <v>#VALUE!</v>
      </c>
      <c r="AL20" s="14">
        <f t="shared" si="8"/>
        <v>5.6145885027565499E-6</v>
      </c>
      <c r="AM20" s="13"/>
      <c r="AN20" s="13">
        <f t="shared" si="9"/>
        <v>0</v>
      </c>
    </row>
    <row r="21" spans="1:41" x14ac:dyDescent="0.25">
      <c r="A21" s="36"/>
      <c r="B21">
        <v>1</v>
      </c>
      <c r="C21" t="s">
        <v>30</v>
      </c>
      <c r="D21">
        <v>7</v>
      </c>
      <c r="E21">
        <v>0</v>
      </c>
      <c r="F21">
        <v>0</v>
      </c>
      <c r="G21" t="s">
        <v>31</v>
      </c>
      <c r="H21" t="s">
        <v>33</v>
      </c>
      <c r="I21">
        <f t="shared" si="12"/>
        <v>2.894E-2</v>
      </c>
      <c r="J21">
        <f t="shared" si="0"/>
        <v>2.894E-2</v>
      </c>
      <c r="K21">
        <v>2.26918E-4</v>
      </c>
      <c r="L21">
        <v>0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33</v>
      </c>
      <c r="T21" t="s">
        <v>32</v>
      </c>
      <c r="U21" t="s">
        <v>32</v>
      </c>
      <c r="V21" t="s">
        <v>33</v>
      </c>
      <c r="W21" s="1">
        <f t="shared" si="1"/>
        <v>4.4703594683963592E-3</v>
      </c>
      <c r="X21">
        <f t="shared" si="2"/>
        <v>3.2689503612648376E-4</v>
      </c>
      <c r="Y21">
        <v>0</v>
      </c>
      <c r="Z21">
        <f t="shared" si="3"/>
        <v>3.9683753530910179E-3</v>
      </c>
      <c r="AA21" s="1">
        <f t="shared" si="13"/>
        <v>1.862649778498483E-6</v>
      </c>
      <c r="AB21" s="1">
        <v>0</v>
      </c>
      <c r="AC21">
        <f t="shared" si="4"/>
        <v>1.862649778498483E-6</v>
      </c>
      <c r="AD21">
        <f t="shared" si="5"/>
        <v>9.3132488924924148E-9</v>
      </c>
      <c r="AE21">
        <f t="shared" si="5"/>
        <v>0</v>
      </c>
      <c r="AF21">
        <f t="shared" si="6"/>
        <v>9.3132488924924148E-9</v>
      </c>
      <c r="AH21" s="13"/>
      <c r="AI21" s="14" t="e">
        <f t="shared" si="10"/>
        <v>#VALUE!</v>
      </c>
      <c r="AJ21" s="13" t="e">
        <f t="shared" si="7"/>
        <v>#VALUE!</v>
      </c>
      <c r="AK21" s="14" t="e">
        <f t="shared" si="11"/>
        <v>#VALUE!</v>
      </c>
      <c r="AL21" s="14">
        <f t="shared" si="8"/>
        <v>1.862649778498483E-6</v>
      </c>
      <c r="AM21" s="13"/>
      <c r="AN21" s="13">
        <f t="shared" si="9"/>
        <v>0</v>
      </c>
    </row>
    <row r="22" spans="1:41" x14ac:dyDescent="0.25">
      <c r="A22" s="36"/>
      <c r="B22">
        <v>1</v>
      </c>
      <c r="C22" t="s">
        <v>30</v>
      </c>
      <c r="D22">
        <v>8</v>
      </c>
      <c r="E22">
        <v>0</v>
      </c>
      <c r="F22">
        <v>0</v>
      </c>
      <c r="G22" t="s">
        <v>31</v>
      </c>
      <c r="H22" t="s">
        <v>33</v>
      </c>
      <c r="I22">
        <f t="shared" si="12"/>
        <v>2.894E-2</v>
      </c>
      <c r="J22">
        <f t="shared" si="0"/>
        <v>2.894E-2</v>
      </c>
      <c r="K22">
        <v>1.13794E-4</v>
      </c>
      <c r="L22">
        <v>0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33</v>
      </c>
      <c r="T22" t="s">
        <v>32</v>
      </c>
      <c r="U22" t="s">
        <v>32</v>
      </c>
      <c r="V22" t="s">
        <v>33</v>
      </c>
      <c r="W22" s="1">
        <f t="shared" si="1"/>
        <v>1.8851448944099444E-3</v>
      </c>
      <c r="X22">
        <f t="shared" si="2"/>
        <v>1.3785122040372718E-4</v>
      </c>
      <c r="Y22">
        <v>0</v>
      </c>
      <c r="Z22">
        <f t="shared" si="3"/>
        <v>1.6734588323084943E-3</v>
      </c>
      <c r="AA22" s="1">
        <f t="shared" si="13"/>
        <v>7.8547703933747685E-7</v>
      </c>
      <c r="AB22" s="1">
        <v>0</v>
      </c>
      <c r="AC22">
        <f t="shared" si="4"/>
        <v>7.8547703933747685E-7</v>
      </c>
      <c r="AD22">
        <f t="shared" si="5"/>
        <v>3.9273851966873846E-9</v>
      </c>
      <c r="AE22">
        <f t="shared" si="5"/>
        <v>0</v>
      </c>
      <c r="AF22">
        <f t="shared" si="6"/>
        <v>3.9273851966873846E-9</v>
      </c>
      <c r="AH22" s="13"/>
      <c r="AI22" s="14" t="e">
        <f t="shared" si="10"/>
        <v>#VALUE!</v>
      </c>
      <c r="AJ22" s="13" t="e">
        <f t="shared" si="7"/>
        <v>#VALUE!</v>
      </c>
      <c r="AK22" s="14" t="e">
        <f t="shared" si="11"/>
        <v>#VALUE!</v>
      </c>
      <c r="AL22" s="14">
        <f t="shared" si="8"/>
        <v>7.8547703933747685E-7</v>
      </c>
      <c r="AM22" s="13"/>
      <c r="AN22" s="13">
        <f t="shared" si="9"/>
        <v>0</v>
      </c>
    </row>
    <row r="23" spans="1:41" x14ac:dyDescent="0.25">
      <c r="A23" s="36"/>
      <c r="B23">
        <v>1</v>
      </c>
      <c r="C23" t="s">
        <v>30</v>
      </c>
      <c r="D23">
        <v>9</v>
      </c>
      <c r="E23">
        <v>0</v>
      </c>
      <c r="F23">
        <v>0</v>
      </c>
      <c r="G23" t="s">
        <v>31</v>
      </c>
      <c r="H23" t="s">
        <v>33</v>
      </c>
      <c r="I23">
        <f t="shared" si="12"/>
        <v>2.894E-2</v>
      </c>
      <c r="J23">
        <f t="shared" si="0"/>
        <v>2.894E-2</v>
      </c>
      <c r="K23" s="1">
        <v>5.5899999999999997E-5</v>
      </c>
      <c r="L23">
        <v>0</v>
      </c>
      <c r="M23" t="s">
        <v>32</v>
      </c>
      <c r="N23" t="s">
        <v>32</v>
      </c>
      <c r="O23" t="s">
        <v>32</v>
      </c>
      <c r="P23" t="s">
        <v>32</v>
      </c>
      <c r="Q23" t="s">
        <v>32</v>
      </c>
      <c r="R23" t="s">
        <v>32</v>
      </c>
      <c r="S23" t="s">
        <v>33</v>
      </c>
      <c r="T23" t="s">
        <v>32</v>
      </c>
      <c r="U23" t="s">
        <v>32</v>
      </c>
      <c r="V23" t="s">
        <v>33</v>
      </c>
      <c r="W23" s="1">
        <f t="shared" si="1"/>
        <v>7.969211453243318E-4</v>
      </c>
      <c r="X23">
        <f t="shared" si="2"/>
        <v>5.8274858751841764E-5</v>
      </c>
      <c r="Y23">
        <v>0</v>
      </c>
      <c r="Z23">
        <f t="shared" si="3"/>
        <v>7.0743354171395379E-4</v>
      </c>
      <c r="AA23" s="1">
        <f t="shared" si="13"/>
        <v>3.320504772184716E-7</v>
      </c>
      <c r="AB23" s="1">
        <v>0</v>
      </c>
      <c r="AC23">
        <f t="shared" si="4"/>
        <v>3.320504772184716E-7</v>
      </c>
      <c r="AD23">
        <f t="shared" si="5"/>
        <v>1.6602523860923581E-9</v>
      </c>
      <c r="AE23">
        <f t="shared" si="5"/>
        <v>0</v>
      </c>
      <c r="AF23">
        <f t="shared" si="6"/>
        <v>1.6602523860923581E-9</v>
      </c>
      <c r="AH23" s="13"/>
      <c r="AI23" s="14" t="e">
        <f t="shared" si="10"/>
        <v>#VALUE!</v>
      </c>
      <c r="AJ23" s="13" t="e">
        <f t="shared" si="7"/>
        <v>#VALUE!</v>
      </c>
      <c r="AK23" s="14" t="e">
        <f t="shared" si="11"/>
        <v>#VALUE!</v>
      </c>
      <c r="AL23" s="14">
        <f t="shared" si="8"/>
        <v>3.320504772184716E-7</v>
      </c>
      <c r="AM23" s="13"/>
      <c r="AN23" s="13">
        <f t="shared" si="9"/>
        <v>0</v>
      </c>
    </row>
    <row r="24" spans="1:41" x14ac:dyDescent="0.25">
      <c r="A24" s="36"/>
      <c r="B24">
        <v>1</v>
      </c>
      <c r="C24" t="s">
        <v>30</v>
      </c>
      <c r="D24">
        <v>10</v>
      </c>
      <c r="E24">
        <v>0</v>
      </c>
      <c r="F24">
        <v>0</v>
      </c>
      <c r="G24" t="s">
        <v>31</v>
      </c>
      <c r="H24" t="s">
        <v>33</v>
      </c>
      <c r="I24">
        <f t="shared" si="12"/>
        <v>2.894E-2</v>
      </c>
      <c r="J24">
        <f t="shared" si="0"/>
        <v>2.894E-2</v>
      </c>
      <c r="K24" s="1">
        <v>2.9300000000000001E-5</v>
      </c>
      <c r="L24">
        <v>0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33</v>
      </c>
      <c r="T24" t="s">
        <v>32</v>
      </c>
      <c r="U24" t="s">
        <v>32</v>
      </c>
      <c r="V24" t="s">
        <v>33</v>
      </c>
      <c r="W24" s="1">
        <f t="shared" si="1"/>
        <v>3.8437288342130877E-4</v>
      </c>
      <c r="X24">
        <f t="shared" si="2"/>
        <v>2.8107267100183202E-5</v>
      </c>
      <c r="Y24">
        <v>0</v>
      </c>
      <c r="Z24">
        <f t="shared" si="3"/>
        <v>3.4121101172045762E-4</v>
      </c>
      <c r="AA24" s="1">
        <f t="shared" si="13"/>
        <v>1.6015536809221198E-7</v>
      </c>
      <c r="AB24" s="1">
        <v>0</v>
      </c>
      <c r="AC24">
        <f t="shared" si="4"/>
        <v>1.6015536809221198E-7</v>
      </c>
      <c r="AD24">
        <f t="shared" si="5"/>
        <v>8.0077684046105991E-10</v>
      </c>
      <c r="AE24">
        <f t="shared" si="5"/>
        <v>0</v>
      </c>
      <c r="AF24">
        <f t="shared" si="6"/>
        <v>8.0077684046105991E-10</v>
      </c>
      <c r="AH24" s="13"/>
      <c r="AI24" s="14" t="e">
        <f t="shared" si="10"/>
        <v>#VALUE!</v>
      </c>
      <c r="AJ24" s="13" t="e">
        <f t="shared" si="7"/>
        <v>#VALUE!</v>
      </c>
      <c r="AK24" s="14" t="e">
        <f t="shared" si="11"/>
        <v>#VALUE!</v>
      </c>
      <c r="AL24" s="14">
        <f t="shared" si="8"/>
        <v>1.6015536809221198E-7</v>
      </c>
      <c r="AM24" s="13"/>
      <c r="AN24" s="13">
        <f t="shared" si="9"/>
        <v>0</v>
      </c>
    </row>
    <row r="25" spans="1:41" x14ac:dyDescent="0.25">
      <c r="A25" s="10"/>
      <c r="W25" s="1"/>
      <c r="X25" s="1"/>
      <c r="Y25" s="1"/>
      <c r="Z25" s="1"/>
      <c r="AA25" s="1"/>
      <c r="AB25" s="1"/>
      <c r="AC25" s="1"/>
      <c r="AD25" s="1"/>
      <c r="AE25" s="1"/>
    </row>
    <row r="26" spans="1:41" s="6" customFormat="1" x14ac:dyDescent="0.25">
      <c r="A26" s="36" t="s">
        <v>81</v>
      </c>
      <c r="B26" s="11" t="s">
        <v>0</v>
      </c>
      <c r="C26" s="11" t="s">
        <v>1</v>
      </c>
      <c r="D26" s="11" t="s">
        <v>2</v>
      </c>
      <c r="E26" s="11" t="s">
        <v>44</v>
      </c>
      <c r="F26" s="11" t="s">
        <v>45</v>
      </c>
      <c r="G26" s="11" t="s">
        <v>46</v>
      </c>
      <c r="H26" s="11" t="s">
        <v>47</v>
      </c>
      <c r="I26" s="11" t="s">
        <v>27</v>
      </c>
      <c r="J26" s="11" t="s">
        <v>53</v>
      </c>
      <c r="K26" s="11" t="s">
        <v>22</v>
      </c>
      <c r="L26" s="11" t="s">
        <v>24</v>
      </c>
      <c r="M26" s="11" t="s">
        <v>23</v>
      </c>
      <c r="N26" s="11" t="s">
        <v>21</v>
      </c>
      <c r="O26" s="11" t="s">
        <v>54</v>
      </c>
      <c r="P26" s="11" t="s">
        <v>55</v>
      </c>
      <c r="Q26" s="18" t="s">
        <v>72</v>
      </c>
      <c r="W26" s="7"/>
      <c r="X26" s="7"/>
      <c r="Y26" s="7"/>
      <c r="Z26" s="7"/>
      <c r="AA26" s="7"/>
      <c r="AB26" s="7"/>
      <c r="AC26" s="7"/>
      <c r="AD26" s="7"/>
      <c r="AE26" s="7"/>
    </row>
    <row r="27" spans="1:41" x14ac:dyDescent="0.25">
      <c r="A27" s="36"/>
      <c r="B27">
        <v>1</v>
      </c>
      <c r="C27" t="s">
        <v>30</v>
      </c>
      <c r="D27">
        <v>1</v>
      </c>
      <c r="E27" t="s">
        <v>48</v>
      </c>
      <c r="F27" t="s">
        <v>49</v>
      </c>
      <c r="G27">
        <v>8.2000000000000003E-2</v>
      </c>
      <c r="H27" t="s">
        <v>33</v>
      </c>
      <c r="I27">
        <f>O27*$Q$27</f>
        <v>6.7200000000000003E-3</v>
      </c>
      <c r="J27">
        <f>I27*0.005</f>
        <v>3.3600000000000004E-5</v>
      </c>
      <c r="K27">
        <f>I27*$R$28</f>
        <v>1.17936</v>
      </c>
      <c r="L27">
        <f>I27*$S$28</f>
        <v>14.31696</v>
      </c>
      <c r="M27">
        <v>0</v>
      </c>
      <c r="N27" s="1">
        <f>I27*$W$28</f>
        <v>16.128</v>
      </c>
      <c r="O27">
        <v>2.4000000000000001E-4</v>
      </c>
      <c r="P27" s="1">
        <f>I27*$X$28</f>
        <v>0.40320000000000006</v>
      </c>
      <c r="Q27" s="19">
        <v>28</v>
      </c>
      <c r="R27" s="21" t="s">
        <v>22</v>
      </c>
      <c r="S27" s="22" t="s">
        <v>24</v>
      </c>
      <c r="T27" s="22" t="s">
        <v>53</v>
      </c>
      <c r="U27" s="22" t="s">
        <v>27</v>
      </c>
      <c r="V27" s="22" t="s">
        <v>23</v>
      </c>
      <c r="W27" s="23" t="s">
        <v>21</v>
      </c>
      <c r="X27" s="24" t="s">
        <v>55</v>
      </c>
      <c r="Y27" s="1"/>
      <c r="Z27" s="1"/>
      <c r="AA27" s="1"/>
      <c r="AB27" s="1"/>
      <c r="AC27" s="1"/>
      <c r="AD27" s="1"/>
    </row>
    <row r="28" spans="1:41" x14ac:dyDescent="0.25">
      <c r="A28" s="36"/>
      <c r="B28">
        <v>1</v>
      </c>
      <c r="C28" t="s">
        <v>30</v>
      </c>
      <c r="D28">
        <v>1</v>
      </c>
      <c r="E28" t="s">
        <v>50</v>
      </c>
      <c r="F28" t="s">
        <v>51</v>
      </c>
      <c r="G28">
        <v>2.8500000000000001E-2</v>
      </c>
      <c r="H28" t="s">
        <v>33</v>
      </c>
      <c r="I28">
        <f>G28*$Q$28</f>
        <v>2.2800000000000003E-3</v>
      </c>
      <c r="J28">
        <f t="shared" ref="J28:J32" si="14">I28*0.005</f>
        <v>1.1400000000000003E-5</v>
      </c>
      <c r="K28">
        <f t="shared" ref="K28:K32" si="15">I28*$R$28</f>
        <v>0.40014000000000005</v>
      </c>
      <c r="L28">
        <f t="shared" ref="L28:L32" si="16">I28*$S$28</f>
        <v>4.8575400000000011</v>
      </c>
      <c r="M28">
        <v>0</v>
      </c>
      <c r="N28" s="1">
        <f t="shared" ref="N28:N32" si="17">I28*$W$28</f>
        <v>5.4720000000000004</v>
      </c>
      <c r="O28">
        <v>2.6899999999999998E-4</v>
      </c>
      <c r="P28" s="1">
        <f t="shared" ref="P28:P32" si="18">I28*$X$28</f>
        <v>0.13680000000000003</v>
      </c>
      <c r="Q28" s="19">
        <v>0.08</v>
      </c>
      <c r="R28" s="25">
        <v>175.5</v>
      </c>
      <c r="S28" s="26">
        <v>2130.5</v>
      </c>
      <c r="T28" s="26">
        <v>5.0000000000000001E-3</v>
      </c>
      <c r="U28" s="26">
        <v>1</v>
      </c>
      <c r="V28" s="26">
        <v>0</v>
      </c>
      <c r="W28" s="27">
        <v>2400</v>
      </c>
      <c r="X28" s="28">
        <v>60.000000000000007</v>
      </c>
      <c r="Y28" s="1"/>
      <c r="Z28" s="1"/>
      <c r="AA28" s="1"/>
      <c r="AB28" s="1"/>
      <c r="AC28" s="1"/>
      <c r="AD28" s="1"/>
    </row>
    <row r="29" spans="1:41" x14ac:dyDescent="0.25">
      <c r="A29" s="36"/>
      <c r="B29">
        <v>1</v>
      </c>
      <c r="C29" t="s">
        <v>30</v>
      </c>
      <c r="D29">
        <v>2</v>
      </c>
      <c r="E29" t="s">
        <v>48</v>
      </c>
      <c r="F29" t="s">
        <v>49</v>
      </c>
      <c r="G29">
        <v>9.1999999999999998E-2</v>
      </c>
      <c r="H29" t="s">
        <v>33</v>
      </c>
      <c r="I29">
        <f>O29*$Q$29</f>
        <v>7.8399999999999997E-3</v>
      </c>
      <c r="J29">
        <f t="shared" si="14"/>
        <v>3.9199999999999997E-5</v>
      </c>
      <c r="K29">
        <f t="shared" si="15"/>
        <v>1.37592</v>
      </c>
      <c r="L29">
        <f t="shared" si="16"/>
        <v>16.703119999999998</v>
      </c>
      <c r="M29">
        <v>0</v>
      </c>
      <c r="N29" s="1">
        <f t="shared" si="17"/>
        <v>18.815999999999999</v>
      </c>
      <c r="O29">
        <v>2.7999999999999998E-4</v>
      </c>
      <c r="P29" s="1">
        <f t="shared" si="18"/>
        <v>0.47040000000000004</v>
      </c>
      <c r="Q29" s="19">
        <v>28</v>
      </c>
      <c r="W29" s="1"/>
      <c r="X29" s="1"/>
      <c r="Y29" s="1"/>
      <c r="Z29" s="1"/>
      <c r="AA29" s="1"/>
      <c r="AB29" s="1"/>
      <c r="AC29" s="1"/>
      <c r="AD29" s="1"/>
      <c r="AE29" s="1"/>
    </row>
    <row r="30" spans="1:41" x14ac:dyDescent="0.25">
      <c r="A30" s="36"/>
      <c r="B30">
        <v>1</v>
      </c>
      <c r="C30" t="s">
        <v>30</v>
      </c>
      <c r="D30">
        <v>2</v>
      </c>
      <c r="E30" t="s">
        <v>50</v>
      </c>
      <c r="F30" t="s">
        <v>52</v>
      </c>
      <c r="G30">
        <v>2.8500000000000001E-2</v>
      </c>
      <c r="H30" t="s">
        <v>33</v>
      </c>
      <c r="I30">
        <f>G30*$Q$30</f>
        <v>2.2800000000000003E-3</v>
      </c>
      <c r="J30">
        <f t="shared" si="14"/>
        <v>1.1400000000000003E-5</v>
      </c>
      <c r="K30">
        <f t="shared" si="15"/>
        <v>0.40014000000000005</v>
      </c>
      <c r="L30">
        <f t="shared" si="16"/>
        <v>4.8575400000000011</v>
      </c>
      <c r="M30">
        <v>0</v>
      </c>
      <c r="N30" s="1">
        <f t="shared" si="17"/>
        <v>5.4720000000000004</v>
      </c>
      <c r="O30">
        <v>2.4800000000000001E-4</v>
      </c>
      <c r="P30" s="1">
        <f t="shared" si="18"/>
        <v>0.13680000000000003</v>
      </c>
      <c r="Q30" s="19">
        <v>0.08</v>
      </c>
      <c r="W30" s="1"/>
      <c r="X30" s="1"/>
      <c r="Y30" s="1"/>
      <c r="Z30" s="1"/>
      <c r="AA30" s="1"/>
      <c r="AB30" s="1"/>
      <c r="AC30" s="1"/>
      <c r="AD30" s="1"/>
      <c r="AE30" s="1"/>
    </row>
    <row r="31" spans="1:41" x14ac:dyDescent="0.25">
      <c r="A31" s="36"/>
      <c r="B31">
        <v>1</v>
      </c>
      <c r="C31" t="s">
        <v>30</v>
      </c>
      <c r="D31">
        <v>2</v>
      </c>
      <c r="E31" t="s">
        <v>50</v>
      </c>
      <c r="F31" t="s">
        <v>51</v>
      </c>
      <c r="G31">
        <v>5.0000000000000001E-4</v>
      </c>
      <c r="H31" t="s">
        <v>33</v>
      </c>
      <c r="I31">
        <f>G31*$Q$31</f>
        <v>4.0000000000000003E-5</v>
      </c>
      <c r="J31">
        <f t="shared" si="14"/>
        <v>2.0000000000000002E-7</v>
      </c>
      <c r="K31">
        <f t="shared" si="15"/>
        <v>7.0200000000000002E-3</v>
      </c>
      <c r="L31">
        <f t="shared" si="16"/>
        <v>8.5220000000000004E-2</v>
      </c>
      <c r="M31">
        <v>0</v>
      </c>
      <c r="N31" s="1">
        <f t="shared" si="17"/>
        <v>9.6000000000000002E-2</v>
      </c>
      <c r="O31">
        <v>5.0000000000000004E-6</v>
      </c>
      <c r="P31" s="1">
        <f t="shared" si="18"/>
        <v>2.4000000000000007E-3</v>
      </c>
      <c r="Q31" s="19">
        <v>0.08</v>
      </c>
      <c r="R31" s="37" t="s">
        <v>56</v>
      </c>
      <c r="S31" s="13" t="s">
        <v>57</v>
      </c>
      <c r="T31" s="14">
        <v>2.6499999999999999E-8</v>
      </c>
      <c r="AM31" s="37" t="s">
        <v>67</v>
      </c>
      <c r="AN31" s="13" t="s">
        <v>57</v>
      </c>
      <c r="AO31" s="14">
        <v>0</v>
      </c>
    </row>
    <row r="32" spans="1:41" x14ac:dyDescent="0.25">
      <c r="A32" s="36"/>
      <c r="B32">
        <v>1</v>
      </c>
      <c r="C32" t="s">
        <v>30</v>
      </c>
      <c r="D32">
        <v>3</v>
      </c>
      <c r="E32" t="s">
        <v>48</v>
      </c>
      <c r="F32" t="s">
        <v>49</v>
      </c>
      <c r="G32">
        <v>6.0421565000000003E-2</v>
      </c>
      <c r="H32" t="s">
        <v>31</v>
      </c>
      <c r="I32">
        <f>O32*$Q$32</f>
        <v>6.3840000000000008E-3</v>
      </c>
      <c r="J32">
        <f t="shared" si="14"/>
        <v>3.1920000000000006E-5</v>
      </c>
      <c r="K32">
        <f t="shared" si="15"/>
        <v>1.1203920000000001</v>
      </c>
      <c r="L32">
        <f t="shared" si="16"/>
        <v>13.601112000000002</v>
      </c>
      <c r="M32">
        <v>0</v>
      </c>
      <c r="N32" s="1">
        <f t="shared" si="17"/>
        <v>15.321600000000002</v>
      </c>
      <c r="O32">
        <v>2.2800000000000001E-4</v>
      </c>
      <c r="P32" s="1">
        <f t="shared" si="18"/>
        <v>0.3830400000000001</v>
      </c>
      <c r="Q32" s="20">
        <v>28</v>
      </c>
      <c r="R32" s="37"/>
      <c r="S32" s="13" t="s">
        <v>58</v>
      </c>
      <c r="T32" s="13">
        <v>0.106</v>
      </c>
      <c r="AM32" s="37"/>
      <c r="AN32" s="13" t="s">
        <v>58</v>
      </c>
      <c r="AO32" s="13">
        <v>0.106</v>
      </c>
    </row>
    <row r="33" spans="1:41" x14ac:dyDescent="0.25">
      <c r="A33" s="6"/>
      <c r="R33" s="37"/>
      <c r="S33" s="13" t="s">
        <v>59</v>
      </c>
      <c r="T33" s="13">
        <v>1.28</v>
      </c>
      <c r="AM33" s="37"/>
      <c r="AN33" s="13" t="s">
        <v>59</v>
      </c>
      <c r="AO33" s="13">
        <v>1.28</v>
      </c>
    </row>
    <row r="34" spans="1:41" x14ac:dyDescent="0.25">
      <c r="A34" s="6"/>
      <c r="R34" s="37"/>
      <c r="S34" s="13" t="s">
        <v>60</v>
      </c>
      <c r="T34" s="13">
        <v>0.8</v>
      </c>
      <c r="AM34" s="37"/>
      <c r="AN34" s="13" t="s">
        <v>60</v>
      </c>
      <c r="AO34" s="13">
        <v>0.8</v>
      </c>
    </row>
    <row r="35" spans="1:41" x14ac:dyDescent="0.25">
      <c r="A35" s="6"/>
      <c r="R35" s="37"/>
      <c r="S35" s="13" t="s">
        <v>61</v>
      </c>
      <c r="T35" s="13">
        <f>271*3600</f>
        <v>975600</v>
      </c>
      <c r="AM35" s="37"/>
      <c r="AN35" s="13" t="s">
        <v>70</v>
      </c>
      <c r="AO35" s="13">
        <f>210*3600</f>
        <v>756000</v>
      </c>
    </row>
    <row r="36" spans="1:41" x14ac:dyDescent="0.25">
      <c r="A36" s="6"/>
      <c r="F36" s="1"/>
      <c r="R36" s="17"/>
      <c r="S36" s="15" t="s">
        <v>62</v>
      </c>
      <c r="T36" s="13">
        <v>1.557936E-2</v>
      </c>
      <c r="AM36" s="13"/>
      <c r="AN36" s="13" t="s">
        <v>68</v>
      </c>
      <c r="AO36" s="13">
        <v>5</v>
      </c>
    </row>
    <row r="37" spans="1:41" x14ac:dyDescent="0.25">
      <c r="A37" s="36" t="s">
        <v>82</v>
      </c>
      <c r="B37" s="11" t="s">
        <v>0</v>
      </c>
      <c r="C37" s="11" t="s">
        <v>1</v>
      </c>
      <c r="D37" s="11" t="s">
        <v>44</v>
      </c>
      <c r="E37" s="11" t="s">
        <v>21</v>
      </c>
      <c r="F37" s="11" t="s">
        <v>22</v>
      </c>
      <c r="G37" s="11" t="s">
        <v>74</v>
      </c>
      <c r="H37" s="11" t="s">
        <v>75</v>
      </c>
      <c r="I37" s="11" t="s">
        <v>76</v>
      </c>
      <c r="J37" s="11" t="s">
        <v>24</v>
      </c>
      <c r="K37" s="11" t="s">
        <v>27</v>
      </c>
      <c r="L37" s="11" t="s">
        <v>53</v>
      </c>
      <c r="M37" s="11" t="s">
        <v>55</v>
      </c>
      <c r="R37" s="5"/>
      <c r="S37" s="3"/>
      <c r="AM37" s="15"/>
      <c r="AN37" s="13" t="s">
        <v>69</v>
      </c>
      <c r="AO37" s="13">
        <f>1/59</f>
        <v>1.6949152542372881E-2</v>
      </c>
    </row>
    <row r="38" spans="1:41" x14ac:dyDescent="0.25">
      <c r="A38" s="36"/>
      <c r="B38">
        <v>1</v>
      </c>
      <c r="C38" t="s">
        <v>30</v>
      </c>
      <c r="D38" t="s">
        <v>77</v>
      </c>
      <c r="E38">
        <v>618.6</v>
      </c>
      <c r="F38">
        <v>45.235124999999996</v>
      </c>
      <c r="G38" t="s">
        <v>32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32</v>
      </c>
      <c r="AM38" s="16"/>
      <c r="AN38" s="13"/>
      <c r="AO38" s="13"/>
    </row>
    <row r="39" spans="1:41" x14ac:dyDescent="0.25">
      <c r="A39" s="36"/>
      <c r="B39">
        <v>1</v>
      </c>
      <c r="C39" t="s">
        <v>30</v>
      </c>
      <c r="D39" t="s">
        <v>78</v>
      </c>
      <c r="E39">
        <f>E40*$K$39</f>
        <v>80.021457814991265</v>
      </c>
      <c r="F39" s="1">
        <f>F40*$K$39</f>
        <v>5.8515691027212364</v>
      </c>
      <c r="G39">
        <f t="shared" ref="G39" si="19">G40*$K$39</f>
        <v>5.0013411134369541</v>
      </c>
      <c r="H39" t="s">
        <v>32</v>
      </c>
      <c r="I39" t="s">
        <v>32</v>
      </c>
      <c r="J39" t="s">
        <v>32</v>
      </c>
      <c r="K39">
        <f>(SUM(I27:I32)+SUM(AC17:AC24)+(SUM(E43:F43)*$O$40/(1+$O$40) ))/$O$40</f>
        <v>3.3342274089579696E-2</v>
      </c>
      <c r="L39">
        <f>K39*$T$28</f>
        <v>1.6671137044789848E-4</v>
      </c>
      <c r="M39">
        <f>M40*$K$39</f>
        <v>0.53347638543327514</v>
      </c>
      <c r="O39" s="29" t="s">
        <v>79</v>
      </c>
      <c r="S39" s="2"/>
      <c r="AM39" s="16"/>
      <c r="AN39" s="13"/>
      <c r="AO39" s="13"/>
    </row>
    <row r="40" spans="1:41" x14ac:dyDescent="0.25">
      <c r="E40" s="30">
        <v>2400</v>
      </c>
      <c r="F40" s="35">
        <v>175.5</v>
      </c>
      <c r="G40" s="35">
        <v>150</v>
      </c>
      <c r="H40" s="31"/>
      <c r="I40" s="31"/>
      <c r="J40" s="31"/>
      <c r="K40" s="31"/>
      <c r="L40" s="31"/>
      <c r="M40" s="32">
        <v>16</v>
      </c>
      <c r="O40" s="20">
        <v>1.2</v>
      </c>
      <c r="S40" s="3"/>
      <c r="AM40" s="16" t="s">
        <v>83</v>
      </c>
      <c r="AN40" s="13"/>
      <c r="AO40" s="13"/>
    </row>
    <row r="41" spans="1:41" x14ac:dyDescent="0.25">
      <c r="F41" s="1"/>
      <c r="S41" s="4"/>
      <c r="AM41" s="17" t="s">
        <v>84</v>
      </c>
      <c r="AN41" s="13"/>
      <c r="AO41" s="13"/>
    </row>
    <row r="42" spans="1:41" x14ac:dyDescent="0.25">
      <c r="D42" s="33" t="s">
        <v>86</v>
      </c>
      <c r="E42" s="33">
        <f xml:space="preserve"> (0.000001*12) / 0.42</f>
        <v>2.8571428571428574E-5</v>
      </c>
      <c r="F42" s="34">
        <f>( 0.000001*14) / 0.145</f>
        <v>9.6551724137931033E-5</v>
      </c>
      <c r="S42" s="5"/>
      <c r="AM42" s="16" t="s">
        <v>85</v>
      </c>
      <c r="AN42" s="13"/>
      <c r="AO42" s="13"/>
    </row>
    <row r="43" spans="1:41" x14ac:dyDescent="0.25">
      <c r="D43" s="33" t="s">
        <v>87</v>
      </c>
      <c r="E43" s="33">
        <f>E38*E42</f>
        <v>1.7674285714285715E-2</v>
      </c>
      <c r="F43" s="34">
        <f>F38*F42</f>
        <v>4.3675293103448273E-3</v>
      </c>
    </row>
  </sheetData>
  <mergeCells count="6">
    <mergeCell ref="A37:A39"/>
    <mergeCell ref="R31:R35"/>
    <mergeCell ref="AM31:AM35"/>
    <mergeCell ref="A3:A12"/>
    <mergeCell ref="A16:A24"/>
    <mergeCell ref="A26:A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16" workbookViewId="0">
      <selection activeCell="C51" sqref="C51"/>
    </sheetView>
  </sheetViews>
  <sheetFormatPr baseColWidth="10" defaultRowHeight="15" x14ac:dyDescent="0.25"/>
  <cols>
    <col min="18" max="18" width="15.85546875" bestFit="1" customWidth="1"/>
  </cols>
  <sheetData>
    <row r="1" spans="1:21" s="11" customFormat="1" x14ac:dyDescent="0.25">
      <c r="A1" s="11" t="s">
        <v>117</v>
      </c>
    </row>
    <row r="2" spans="1:21" x14ac:dyDescent="0.25">
      <c r="A2" t="s">
        <v>88</v>
      </c>
      <c r="B2" s="38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108</v>
      </c>
    </row>
    <row r="3" spans="1:21" x14ac:dyDescent="0.25">
      <c r="A3">
        <v>9</v>
      </c>
      <c r="B3" s="39">
        <v>38778</v>
      </c>
      <c r="C3">
        <v>560.5</v>
      </c>
      <c r="D3" t="s">
        <v>109</v>
      </c>
      <c r="E3" t="s">
        <v>110</v>
      </c>
      <c r="F3" t="s">
        <v>111</v>
      </c>
      <c r="G3">
        <v>13</v>
      </c>
      <c r="H3" t="s">
        <v>112</v>
      </c>
      <c r="I3">
        <v>0</v>
      </c>
      <c r="J3" t="s">
        <v>113</v>
      </c>
      <c r="K3">
        <v>0.1222</v>
      </c>
      <c r="L3" t="s">
        <v>113</v>
      </c>
      <c r="M3" t="s">
        <v>113</v>
      </c>
      <c r="N3">
        <v>1048.3494685029141</v>
      </c>
      <c r="O3" t="s">
        <v>113</v>
      </c>
      <c r="P3" t="s">
        <v>113</v>
      </c>
      <c r="Q3">
        <v>4.5149959061800562</v>
      </c>
      <c r="S3" t="s">
        <v>113</v>
      </c>
      <c r="T3">
        <v>5.2628681209053259</v>
      </c>
      <c r="U3" t="s">
        <v>113</v>
      </c>
    </row>
    <row r="4" spans="1:21" x14ac:dyDescent="0.25">
      <c r="A4">
        <v>9</v>
      </c>
      <c r="B4" s="39">
        <v>38778</v>
      </c>
      <c r="C4">
        <v>560.5</v>
      </c>
      <c r="D4" t="s">
        <v>109</v>
      </c>
      <c r="E4" t="s">
        <v>110</v>
      </c>
      <c r="F4" t="s">
        <v>111</v>
      </c>
      <c r="G4">
        <v>13</v>
      </c>
      <c r="H4" t="s">
        <v>112</v>
      </c>
      <c r="I4">
        <v>1</v>
      </c>
      <c r="J4">
        <v>2.9239999999999999E-2</v>
      </c>
      <c r="K4" t="s">
        <v>113</v>
      </c>
      <c r="L4" t="s">
        <v>113</v>
      </c>
      <c r="M4">
        <v>711.56859999999995</v>
      </c>
      <c r="O4" t="s">
        <v>113</v>
      </c>
      <c r="P4">
        <v>3.4486828505757954</v>
      </c>
      <c r="Q4" t="s">
        <v>113</v>
      </c>
      <c r="S4">
        <v>1.4171435691630612</v>
      </c>
      <c r="T4" t="s">
        <v>113</v>
      </c>
      <c r="U4" t="s">
        <v>113</v>
      </c>
    </row>
    <row r="5" spans="1:21" x14ac:dyDescent="0.25">
      <c r="A5">
        <v>9</v>
      </c>
      <c r="B5" s="39">
        <v>38778</v>
      </c>
      <c r="C5">
        <v>560.5</v>
      </c>
      <c r="D5" t="s">
        <v>109</v>
      </c>
      <c r="E5" t="s">
        <v>110</v>
      </c>
      <c r="F5" t="s">
        <v>111</v>
      </c>
      <c r="G5">
        <v>13</v>
      </c>
      <c r="H5" t="s">
        <v>112</v>
      </c>
      <c r="I5">
        <v>2</v>
      </c>
      <c r="J5">
        <v>4.7030000000000002E-2</v>
      </c>
      <c r="K5" t="s">
        <v>113</v>
      </c>
      <c r="L5" t="s">
        <v>113</v>
      </c>
      <c r="M5">
        <v>971.88424000000009</v>
      </c>
      <c r="O5" t="s">
        <v>113</v>
      </c>
      <c r="P5">
        <v>3.8437093539165703</v>
      </c>
      <c r="Q5" t="s">
        <v>113</v>
      </c>
      <c r="S5">
        <v>1.8599915861861933</v>
      </c>
      <c r="T5" t="s">
        <v>113</v>
      </c>
      <c r="U5" t="s">
        <v>113</v>
      </c>
    </row>
    <row r="6" spans="1:21" x14ac:dyDescent="0.25">
      <c r="A6">
        <v>9</v>
      </c>
      <c r="B6" s="39">
        <v>38778</v>
      </c>
      <c r="C6">
        <v>560.5</v>
      </c>
      <c r="D6" t="s">
        <v>109</v>
      </c>
      <c r="E6" t="s">
        <v>110</v>
      </c>
      <c r="F6" t="s">
        <v>111</v>
      </c>
      <c r="G6">
        <v>13</v>
      </c>
      <c r="H6" t="s">
        <v>112</v>
      </c>
      <c r="I6">
        <v>3</v>
      </c>
      <c r="J6">
        <v>6.4000000000000001E-2</v>
      </c>
      <c r="K6" t="s">
        <v>113</v>
      </c>
      <c r="L6" t="s">
        <v>113</v>
      </c>
      <c r="M6">
        <v>1284.3416999999999</v>
      </c>
      <c r="O6" t="s">
        <v>113</v>
      </c>
      <c r="Q6" t="s">
        <v>113</v>
      </c>
      <c r="S6" t="s">
        <v>113</v>
      </c>
      <c r="T6" t="s">
        <v>113</v>
      </c>
      <c r="U6" t="s">
        <v>113</v>
      </c>
    </row>
    <row r="7" spans="1:21" x14ac:dyDescent="0.25">
      <c r="A7">
        <v>9</v>
      </c>
      <c r="B7" s="39">
        <v>38778</v>
      </c>
      <c r="C7">
        <v>560.5</v>
      </c>
      <c r="D7" t="s">
        <v>109</v>
      </c>
      <c r="E7" t="s">
        <v>110</v>
      </c>
      <c r="F7" t="s">
        <v>111</v>
      </c>
      <c r="G7">
        <v>13</v>
      </c>
      <c r="H7" t="s">
        <v>112</v>
      </c>
      <c r="I7">
        <v>4</v>
      </c>
      <c r="J7">
        <v>7.2099999999999997E-2</v>
      </c>
      <c r="K7" t="s">
        <v>113</v>
      </c>
      <c r="L7" t="s">
        <v>113</v>
      </c>
      <c r="M7">
        <v>1413.0789</v>
      </c>
      <c r="O7" t="s">
        <v>113</v>
      </c>
      <c r="P7">
        <v>5.2033840646377376</v>
      </c>
      <c r="Q7" t="s">
        <v>113</v>
      </c>
      <c r="S7">
        <v>2.6549401527429275</v>
      </c>
      <c r="T7" t="s">
        <v>113</v>
      </c>
      <c r="U7" t="s">
        <v>113</v>
      </c>
    </row>
    <row r="8" spans="1:21" x14ac:dyDescent="0.25">
      <c r="A8">
        <v>9</v>
      </c>
      <c r="B8" s="39">
        <v>38778</v>
      </c>
      <c r="C8">
        <v>560.5</v>
      </c>
      <c r="D8" t="s">
        <v>109</v>
      </c>
      <c r="E8" t="s">
        <v>110</v>
      </c>
      <c r="F8" t="s">
        <v>111</v>
      </c>
      <c r="G8">
        <v>15</v>
      </c>
      <c r="H8" t="s">
        <v>112</v>
      </c>
      <c r="I8">
        <v>0</v>
      </c>
      <c r="J8" t="s">
        <v>113</v>
      </c>
      <c r="K8">
        <v>0.13350000000000001</v>
      </c>
      <c r="L8" t="s">
        <v>113</v>
      </c>
      <c r="M8" t="s">
        <v>113</v>
      </c>
      <c r="N8">
        <v>1048.3494685029141</v>
      </c>
      <c r="O8" t="s">
        <v>113</v>
      </c>
      <c r="P8" t="s">
        <v>113</v>
      </c>
      <c r="Q8">
        <v>3.8042527967534845</v>
      </c>
      <c r="S8" t="s">
        <v>113</v>
      </c>
      <c r="T8">
        <v>4.8444508594242537</v>
      </c>
      <c r="U8" t="s">
        <v>113</v>
      </c>
    </row>
    <row r="9" spans="1:21" x14ac:dyDescent="0.25">
      <c r="A9">
        <v>9</v>
      </c>
      <c r="B9" s="39">
        <v>38778</v>
      </c>
      <c r="C9">
        <v>560.5</v>
      </c>
      <c r="D9" t="s">
        <v>109</v>
      </c>
      <c r="E9" t="s">
        <v>110</v>
      </c>
      <c r="F9" t="s">
        <v>111</v>
      </c>
      <c r="G9">
        <v>15</v>
      </c>
      <c r="H9" t="s">
        <v>112</v>
      </c>
      <c r="I9">
        <v>1</v>
      </c>
      <c r="J9">
        <v>3.9489999999999997E-2</v>
      </c>
      <c r="K9" t="s">
        <v>113</v>
      </c>
      <c r="L9" t="s">
        <v>113</v>
      </c>
      <c r="M9">
        <v>886.39970000000005</v>
      </c>
      <c r="O9" t="s">
        <v>113</v>
      </c>
      <c r="P9">
        <v>3.2939067464694229</v>
      </c>
      <c r="Q9" t="s">
        <v>113</v>
      </c>
      <c r="S9">
        <v>1.4674686534537129</v>
      </c>
      <c r="T9" t="s">
        <v>113</v>
      </c>
      <c r="U9" t="s">
        <v>113</v>
      </c>
    </row>
    <row r="10" spans="1:21" x14ac:dyDescent="0.25">
      <c r="A10">
        <v>9</v>
      </c>
      <c r="B10" s="39">
        <v>38778</v>
      </c>
      <c r="C10">
        <v>560.5</v>
      </c>
      <c r="D10" t="s">
        <v>109</v>
      </c>
      <c r="E10" t="s">
        <v>110</v>
      </c>
      <c r="F10" t="s">
        <v>111</v>
      </c>
      <c r="G10">
        <v>15</v>
      </c>
      <c r="H10" t="s">
        <v>112</v>
      </c>
      <c r="I10">
        <v>2</v>
      </c>
      <c r="J10">
        <v>5.9129999999999995E-2</v>
      </c>
      <c r="K10" t="s">
        <v>113</v>
      </c>
      <c r="L10" t="s">
        <v>113</v>
      </c>
      <c r="M10">
        <v>1308.4568000000002</v>
      </c>
      <c r="O10" t="s">
        <v>113</v>
      </c>
      <c r="P10">
        <v>4.0880429117045445</v>
      </c>
      <c r="Q10" t="s">
        <v>113</v>
      </c>
      <c r="S10">
        <v>1.8474127488892995</v>
      </c>
      <c r="T10" t="s">
        <v>113</v>
      </c>
      <c r="U10" t="s">
        <v>113</v>
      </c>
    </row>
    <row r="11" spans="1:21" x14ac:dyDescent="0.25">
      <c r="A11">
        <v>9</v>
      </c>
      <c r="B11" s="39">
        <v>38778</v>
      </c>
      <c r="C11">
        <v>560.5</v>
      </c>
      <c r="D11" t="s">
        <v>109</v>
      </c>
      <c r="E11" t="s">
        <v>110</v>
      </c>
      <c r="F11" t="s">
        <v>111</v>
      </c>
      <c r="G11">
        <v>15</v>
      </c>
      <c r="H11" t="s">
        <v>112</v>
      </c>
      <c r="I11">
        <v>3</v>
      </c>
      <c r="J11">
        <v>7.2749999999999995E-2</v>
      </c>
      <c r="K11" t="s">
        <v>113</v>
      </c>
      <c r="L11" t="s">
        <v>113</v>
      </c>
      <c r="M11">
        <v>1424.8432700000001</v>
      </c>
      <c r="O11" t="s">
        <v>113</v>
      </c>
      <c r="Q11" t="s">
        <v>113</v>
      </c>
      <c r="S11" t="s">
        <v>113</v>
      </c>
      <c r="T11" t="s">
        <v>113</v>
      </c>
      <c r="U11" t="s">
        <v>113</v>
      </c>
    </row>
    <row r="12" spans="1:21" x14ac:dyDescent="0.25">
      <c r="A12">
        <v>9</v>
      </c>
      <c r="B12" s="39">
        <v>38778</v>
      </c>
      <c r="C12">
        <v>560.5</v>
      </c>
      <c r="D12" t="s">
        <v>109</v>
      </c>
      <c r="E12" t="s">
        <v>110</v>
      </c>
      <c r="F12" t="s">
        <v>111</v>
      </c>
      <c r="G12">
        <v>15</v>
      </c>
      <c r="H12" t="s">
        <v>112</v>
      </c>
      <c r="I12">
        <v>4</v>
      </c>
      <c r="J12">
        <v>6.9199999999999998E-2</v>
      </c>
      <c r="K12" t="s">
        <v>113</v>
      </c>
      <c r="L12" t="s">
        <v>113</v>
      </c>
      <c r="M12">
        <v>1375.0716999999997</v>
      </c>
      <c r="O12" t="s">
        <v>113</v>
      </c>
      <c r="P12">
        <v>5.4102365362519462</v>
      </c>
      <c r="Q12" t="s">
        <v>113</v>
      </c>
      <c r="S12">
        <v>2.7226825212724162</v>
      </c>
      <c r="T12" t="s">
        <v>113</v>
      </c>
      <c r="U12" t="s">
        <v>113</v>
      </c>
    </row>
    <row r="13" spans="1:21" x14ac:dyDescent="0.25">
      <c r="A13">
        <v>9</v>
      </c>
      <c r="B13" s="39">
        <v>38778</v>
      </c>
      <c r="C13">
        <v>560.5</v>
      </c>
      <c r="D13" t="s">
        <v>109</v>
      </c>
      <c r="E13" t="s">
        <v>110</v>
      </c>
      <c r="F13" t="s">
        <v>111</v>
      </c>
      <c r="G13">
        <v>18</v>
      </c>
      <c r="H13" t="s">
        <v>112</v>
      </c>
      <c r="I13">
        <v>0</v>
      </c>
      <c r="J13" t="s">
        <v>113</v>
      </c>
      <c r="K13">
        <v>0.1295</v>
      </c>
      <c r="L13" t="s">
        <v>113</v>
      </c>
      <c r="M13" t="s">
        <v>113</v>
      </c>
      <c r="N13">
        <v>1048.3494685029141</v>
      </c>
      <c r="O13" t="s">
        <v>113</v>
      </c>
      <c r="P13" t="s">
        <v>113</v>
      </c>
      <c r="Q13">
        <v>4.2281222780031662</v>
      </c>
      <c r="S13" t="s">
        <v>113</v>
      </c>
      <c r="T13">
        <v>5.222894191793908</v>
      </c>
      <c r="U13" t="s">
        <v>113</v>
      </c>
    </row>
    <row r="14" spans="1:21" x14ac:dyDescent="0.25">
      <c r="A14">
        <v>9</v>
      </c>
      <c r="B14" s="39">
        <v>38778</v>
      </c>
      <c r="C14">
        <v>560.5</v>
      </c>
      <c r="D14" t="s">
        <v>109</v>
      </c>
      <c r="E14" t="s">
        <v>110</v>
      </c>
      <c r="F14" t="s">
        <v>111</v>
      </c>
      <c r="G14">
        <v>18</v>
      </c>
      <c r="H14" t="s">
        <v>112</v>
      </c>
      <c r="I14">
        <v>1</v>
      </c>
      <c r="J14">
        <v>2.8170000000000001E-2</v>
      </c>
      <c r="K14" t="s">
        <v>113</v>
      </c>
      <c r="L14" t="s">
        <v>113</v>
      </c>
      <c r="M14">
        <v>707.21</v>
      </c>
      <c r="O14" t="s">
        <v>113</v>
      </c>
      <c r="P14">
        <v>3.5123305469386961</v>
      </c>
      <c r="Q14" t="s">
        <v>113</v>
      </c>
      <c r="S14">
        <v>1.3990519295154631</v>
      </c>
      <c r="T14" t="s">
        <v>113</v>
      </c>
      <c r="U14" t="s">
        <v>113</v>
      </c>
    </row>
    <row r="15" spans="1:21" x14ac:dyDescent="0.25">
      <c r="A15">
        <v>9</v>
      </c>
      <c r="B15" s="39">
        <v>38778</v>
      </c>
      <c r="C15">
        <v>560.5</v>
      </c>
      <c r="D15" t="s">
        <v>109</v>
      </c>
      <c r="E15" t="s">
        <v>110</v>
      </c>
      <c r="F15" t="s">
        <v>111</v>
      </c>
      <c r="G15">
        <v>18</v>
      </c>
      <c r="H15" t="s">
        <v>112</v>
      </c>
      <c r="I15">
        <v>2</v>
      </c>
      <c r="J15">
        <v>4.6429999999999992E-2</v>
      </c>
      <c r="K15" t="s">
        <v>113</v>
      </c>
      <c r="L15" t="s">
        <v>113</v>
      </c>
      <c r="M15">
        <v>1180.7425600000001</v>
      </c>
      <c r="O15" t="s">
        <v>113</v>
      </c>
      <c r="P15">
        <v>4.4818314971899937</v>
      </c>
      <c r="Q15" t="s">
        <v>113</v>
      </c>
      <c r="S15">
        <v>1.7623777058949357</v>
      </c>
      <c r="T15" t="s">
        <v>113</v>
      </c>
      <c r="U15" t="s">
        <v>113</v>
      </c>
    </row>
    <row r="16" spans="1:21" x14ac:dyDescent="0.25">
      <c r="A16">
        <v>9</v>
      </c>
      <c r="B16" s="39">
        <v>38778</v>
      </c>
      <c r="C16">
        <v>560.5</v>
      </c>
      <c r="D16" t="s">
        <v>109</v>
      </c>
      <c r="E16" t="s">
        <v>110</v>
      </c>
      <c r="F16" t="s">
        <v>111</v>
      </c>
      <c r="G16">
        <v>18</v>
      </c>
      <c r="H16" t="s">
        <v>112</v>
      </c>
      <c r="I16">
        <v>3</v>
      </c>
      <c r="J16">
        <v>6.2600000000000003E-2</v>
      </c>
      <c r="K16" t="s">
        <v>113</v>
      </c>
      <c r="L16" t="s">
        <v>113</v>
      </c>
      <c r="M16">
        <v>1391.5812000000001</v>
      </c>
      <c r="O16" t="s">
        <v>113</v>
      </c>
      <c r="P16">
        <v>5.254109400234233</v>
      </c>
      <c r="Q16" t="s">
        <v>113</v>
      </c>
      <c r="S16">
        <v>2.3635505312565521</v>
      </c>
      <c r="T16" t="s">
        <v>113</v>
      </c>
      <c r="U16" t="s">
        <v>113</v>
      </c>
    </row>
    <row r="17" spans="1:21" x14ac:dyDescent="0.25">
      <c r="A17">
        <v>9</v>
      </c>
      <c r="B17" s="39">
        <v>38778</v>
      </c>
      <c r="C17">
        <v>560.5</v>
      </c>
      <c r="D17" t="s">
        <v>109</v>
      </c>
      <c r="E17" t="s">
        <v>110</v>
      </c>
      <c r="F17" t="s">
        <v>111</v>
      </c>
      <c r="G17">
        <v>18</v>
      </c>
      <c r="H17" t="s">
        <v>112</v>
      </c>
      <c r="I17">
        <v>4</v>
      </c>
      <c r="J17">
        <v>7.1400000000000005E-2</v>
      </c>
      <c r="K17" t="s">
        <v>113</v>
      </c>
      <c r="L17" t="s">
        <v>113</v>
      </c>
      <c r="M17">
        <v>1523.9175999999998</v>
      </c>
      <c r="O17" t="s">
        <v>113</v>
      </c>
      <c r="P17">
        <v>5.7779741075223594</v>
      </c>
      <c r="Q17" t="s">
        <v>113</v>
      </c>
      <c r="S17">
        <v>2.707149988143037</v>
      </c>
      <c r="T17" t="s">
        <v>113</v>
      </c>
      <c r="U17" t="s">
        <v>113</v>
      </c>
    </row>
    <row r="19" spans="1:21" x14ac:dyDescent="0.25">
      <c r="I19" s="40" t="s">
        <v>115</v>
      </c>
      <c r="J19" s="41">
        <f>SUM(J3:K17)</f>
        <v>1.04674</v>
      </c>
    </row>
    <row r="20" spans="1:21" x14ac:dyDescent="0.25">
      <c r="I20" s="42" t="s">
        <v>116</v>
      </c>
      <c r="J20" s="43">
        <f>(SUMPRODUCT(P3:P17,J3:J17)+SUMPRODUCT(K3:K17,Q3:Q17))/J19</f>
        <v>3.8773662250209906</v>
      </c>
    </row>
    <row r="22" spans="1:21" s="44" customFormat="1" x14ac:dyDescent="0.25">
      <c r="A22" s="11" t="s">
        <v>118</v>
      </c>
    </row>
    <row r="24" spans="1:21" x14ac:dyDescent="0.25">
      <c r="A24" t="s">
        <v>119</v>
      </c>
      <c r="D24" t="s">
        <v>121</v>
      </c>
    </row>
    <row r="25" spans="1:21" x14ac:dyDescent="0.25">
      <c r="A25" t="s">
        <v>120</v>
      </c>
      <c r="D25" t="s">
        <v>122</v>
      </c>
    </row>
    <row r="28" spans="1:21" x14ac:dyDescent="0.25">
      <c r="B28" t="s">
        <v>115</v>
      </c>
      <c r="C28">
        <v>0.4</v>
      </c>
    </row>
    <row r="29" spans="1:21" x14ac:dyDescent="0.25">
      <c r="B29" t="s">
        <v>124</v>
      </c>
      <c r="C29">
        <v>0.18</v>
      </c>
    </row>
    <row r="30" spans="1:21" x14ac:dyDescent="0.25">
      <c r="B30" t="s">
        <v>116</v>
      </c>
      <c r="C30">
        <v>4</v>
      </c>
    </row>
    <row r="31" spans="1:21" x14ac:dyDescent="0.25">
      <c r="B31" t="s">
        <v>123</v>
      </c>
      <c r="C31">
        <v>3</v>
      </c>
    </row>
    <row r="34" spans="1:6" s="44" customFormat="1" x14ac:dyDescent="0.25">
      <c r="A34" s="11" t="s">
        <v>125</v>
      </c>
    </row>
    <row r="36" spans="1:6" x14ac:dyDescent="0.25">
      <c r="A36" t="s">
        <v>126</v>
      </c>
    </row>
    <row r="38" spans="1:6" x14ac:dyDescent="0.25">
      <c r="B38" t="s">
        <v>114</v>
      </c>
      <c r="C38">
        <v>1</v>
      </c>
      <c r="D38" t="s">
        <v>127</v>
      </c>
      <c r="E38">
        <f>C38*10^6/(250*10000)</f>
        <v>0.4</v>
      </c>
      <c r="F38" t="s">
        <v>130</v>
      </c>
    </row>
    <row r="39" spans="1:6" x14ac:dyDescent="0.25">
      <c r="B39" t="s">
        <v>116</v>
      </c>
      <c r="C39">
        <v>4.4000000000000004</v>
      </c>
      <c r="E39" t="s">
        <v>128</v>
      </c>
    </row>
    <row r="41" spans="1:6" x14ac:dyDescent="0.25">
      <c r="A41" t="s">
        <v>129</v>
      </c>
    </row>
    <row r="44" spans="1:6" s="44" customFormat="1" x14ac:dyDescent="0.25">
      <c r="A44" s="11" t="s">
        <v>132</v>
      </c>
    </row>
    <row r="46" spans="1:6" x14ac:dyDescent="0.25">
      <c r="A46" t="s">
        <v>133</v>
      </c>
    </row>
    <row r="48" spans="1:6" x14ac:dyDescent="0.25">
      <c r="B48" t="s">
        <v>115</v>
      </c>
      <c r="C48">
        <v>0.05</v>
      </c>
      <c r="D48" t="s">
        <v>134</v>
      </c>
    </row>
    <row r="49" spans="2:3" x14ac:dyDescent="0.25">
      <c r="B49" t="s">
        <v>124</v>
      </c>
      <c r="C49">
        <v>0.04</v>
      </c>
    </row>
    <row r="50" spans="2:3" x14ac:dyDescent="0.25">
      <c r="B50" t="s">
        <v>116</v>
      </c>
      <c r="C50">
        <v>5</v>
      </c>
    </row>
    <row r="51" spans="2:3" x14ac:dyDescent="0.25">
      <c r="B51" t="s">
        <v>123</v>
      </c>
      <c r="C51">
        <v>2.8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s="6" t="s">
        <v>131</v>
      </c>
    </row>
    <row r="3" spans="1:1" x14ac:dyDescent="0.25">
      <c r="A3" t="s"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N content</vt:lpstr>
      <vt:lpstr>Concentrations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mngauthier</dc:creator>
  <cp:lastModifiedBy>mngauthier</cp:lastModifiedBy>
  <dcterms:created xsi:type="dcterms:W3CDTF">2018-08-23T07:17:26Z</dcterms:created>
  <dcterms:modified xsi:type="dcterms:W3CDTF">2018-09-12T13:13:35Z</dcterms:modified>
</cp:coreProperties>
</file>