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gauthier\Documents\Marion_These\Modeles\fspm-wheat\trunk\fspmwheat\inputs\elongwheat\"/>
    </mc:Choice>
  </mc:AlternateContent>
  <bookViews>
    <workbookView xWindow="0" yWindow="0" windowWidth="28800" windowHeight="14100"/>
  </bookViews>
  <sheets>
    <sheet name="Feuil1" sheetId="1" r:id="rId1"/>
    <sheet name="N content" sheetId="2" r:id="rId2"/>
    <sheet name="Conc Shoo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AO35" i="1"/>
  <c r="T43" i="1"/>
  <c r="D13" i="3" l="1"/>
  <c r="E12" i="3"/>
  <c r="E13" i="3"/>
  <c r="K11" i="3"/>
  <c r="K10" i="3"/>
  <c r="D15" i="3" l="1"/>
  <c r="D12" i="3"/>
  <c r="U28" i="1" l="1"/>
  <c r="F40" i="1"/>
  <c r="G40" i="1" s="1"/>
  <c r="E43" i="1"/>
  <c r="J43" i="1"/>
  <c r="F43" i="1"/>
  <c r="V28" i="1" l="1"/>
  <c r="E38" i="2" l="1"/>
  <c r="J19" i="2"/>
  <c r="J20" i="2" s="1"/>
  <c r="I27" i="1" l="1"/>
  <c r="AT17" i="1" l="1"/>
  <c r="AH17" i="1" s="1"/>
  <c r="AR17" i="1" l="1"/>
  <c r="I32" i="1" l="1"/>
  <c r="I31" i="1"/>
  <c r="I30" i="1"/>
  <c r="I29" i="1"/>
  <c r="I28" i="1"/>
  <c r="AR18" i="1" l="1"/>
  <c r="AG18" i="1" s="1"/>
  <c r="AR19" i="1"/>
  <c r="AG19" i="1" s="1"/>
  <c r="AR20" i="1"/>
  <c r="AR21" i="1"/>
  <c r="AR22" i="1"/>
  <c r="AR23" i="1"/>
  <c r="AR24" i="1"/>
  <c r="J17" i="1" l="1"/>
  <c r="I17" i="1"/>
  <c r="I18" i="1" s="1"/>
  <c r="AT18" i="1"/>
  <c r="AH18" i="1" s="1"/>
  <c r="AT19" i="1"/>
  <c r="AT20" i="1"/>
  <c r="AT21" i="1"/>
  <c r="AT22" i="1"/>
  <c r="AT23" i="1"/>
  <c r="AT24" i="1"/>
  <c r="AO37" i="1"/>
  <c r="AG20" i="1"/>
  <c r="AG21" i="1"/>
  <c r="AG22" i="1"/>
  <c r="AG23" i="1"/>
  <c r="AG24" i="1"/>
  <c r="AO19" i="1"/>
  <c r="AO20" i="1"/>
  <c r="AO21" i="1"/>
  <c r="AO22" i="1"/>
  <c r="AO23" i="1"/>
  <c r="AO24" i="1"/>
  <c r="AO18" i="1" l="1"/>
  <c r="J18" i="1"/>
  <c r="I19" i="1"/>
  <c r="AP18" i="1"/>
  <c r="AQ18" i="1" s="1"/>
  <c r="AP17" i="1"/>
  <c r="AO17" i="1"/>
  <c r="AK17" i="1"/>
  <c r="AK18" i="1"/>
  <c r="AK19" i="1"/>
  <c r="AK20" i="1"/>
  <c r="AK21" i="1"/>
  <c r="AK22" i="1"/>
  <c r="AK23" i="1"/>
  <c r="AK24" i="1"/>
  <c r="AJ18" i="1"/>
  <c r="AJ19" i="1"/>
  <c r="AJ20" i="1"/>
  <c r="AJ21" i="1"/>
  <c r="AJ22" i="1"/>
  <c r="AJ23" i="1"/>
  <c r="AJ24" i="1"/>
  <c r="AI18" i="1"/>
  <c r="AD18" i="1" s="1"/>
  <c r="AI19" i="1"/>
  <c r="AD19" i="1" s="1"/>
  <c r="AI20" i="1"/>
  <c r="AC20" i="1" s="1"/>
  <c r="AI21" i="1"/>
  <c r="AF21" i="1" s="1"/>
  <c r="AI22" i="1"/>
  <c r="AD22" i="1" s="1"/>
  <c r="AI23" i="1"/>
  <c r="AC23" i="1" s="1"/>
  <c r="AI24" i="1"/>
  <c r="AC24" i="1" s="1"/>
  <c r="P29" i="1"/>
  <c r="N27" i="1"/>
  <c r="K28" i="1"/>
  <c r="K29" i="1"/>
  <c r="J32" i="1"/>
  <c r="L29" i="1"/>
  <c r="J27" i="1"/>
  <c r="J29" i="1"/>
  <c r="J31" i="1"/>
  <c r="L30" i="1"/>
  <c r="J28" i="1"/>
  <c r="AQ17" i="1" l="1"/>
  <c r="AP19" i="1"/>
  <c r="AQ19" i="1" s="1"/>
  <c r="I20" i="1"/>
  <c r="J19" i="1"/>
  <c r="N31" i="1"/>
  <c r="N30" i="1"/>
  <c r="J30" i="1"/>
  <c r="P30" i="1"/>
  <c r="K30" i="1"/>
  <c r="AD21" i="1"/>
  <c r="AF20" i="1"/>
  <c r="AD20" i="1"/>
  <c r="AL18" i="1"/>
  <c r="AL22" i="1"/>
  <c r="P28" i="1"/>
  <c r="L27" i="1"/>
  <c r="L31" i="1"/>
  <c r="N28" i="1"/>
  <c r="AD23" i="1"/>
  <c r="N29" i="1"/>
  <c r="K27" i="1"/>
  <c r="P27" i="1"/>
  <c r="K32" i="1"/>
  <c r="P32" i="1"/>
  <c r="AL19" i="1"/>
  <c r="AD24" i="1"/>
  <c r="K31" i="1"/>
  <c r="L28" i="1"/>
  <c r="P31" i="1"/>
  <c r="AF19" i="1"/>
  <c r="AL24" i="1"/>
  <c r="AL23" i="1"/>
  <c r="AF18" i="1"/>
  <c r="AL21" i="1"/>
  <c r="AF23" i="1"/>
  <c r="AL20" i="1"/>
  <c r="AF24" i="1"/>
  <c r="AC19" i="1"/>
  <c r="AC18" i="1"/>
  <c r="AC22" i="1"/>
  <c r="AF22" i="1"/>
  <c r="AC21" i="1"/>
  <c r="N32" i="1"/>
  <c r="L32" i="1"/>
  <c r="AG17" i="1" l="1"/>
  <c r="AI17" i="1" s="1"/>
  <c r="I21" i="1"/>
  <c r="J20" i="1"/>
  <c r="AP20" i="1"/>
  <c r="AQ20" i="1" s="1"/>
  <c r="AJ17" i="1" l="1"/>
  <c r="AL17" i="1" s="1"/>
  <c r="K39" i="1"/>
  <c r="AF17" i="1"/>
  <c r="AD17" i="1"/>
  <c r="AC17" i="1"/>
  <c r="J21" i="1"/>
  <c r="I22" i="1"/>
  <c r="AP21" i="1"/>
  <c r="AQ21" i="1" s="1"/>
  <c r="E39" i="1" l="1"/>
  <c r="E38" i="1"/>
  <c r="E44" i="1" s="1"/>
  <c r="F38" i="1"/>
  <c r="F44" i="1" s="1"/>
  <c r="F39" i="1"/>
  <c r="J22" i="1"/>
  <c r="AP22" i="1"/>
  <c r="AQ22" i="1" s="1"/>
  <c r="I23" i="1"/>
  <c r="M39" i="1"/>
  <c r="G39" i="1"/>
  <c r="L39" i="1"/>
  <c r="J23" i="1" l="1"/>
  <c r="I24" i="1"/>
  <c r="AP23" i="1"/>
  <c r="AQ23" i="1" s="1"/>
  <c r="AP24" i="1" l="1"/>
  <c r="AQ24" i="1" s="1"/>
  <c r="J24" i="1"/>
</calcChain>
</file>

<file path=xl/sharedStrings.xml><?xml version="1.0" encoding="utf-8"?>
<sst xmlns="http://schemas.openxmlformats.org/spreadsheetml/2006/main" count="616" uniqueCount="165">
  <si>
    <t>plant</t>
  </si>
  <si>
    <t>axis</t>
  </si>
  <si>
    <t>metamer</t>
  </si>
  <si>
    <t>leaf_pseudo_age</t>
  </si>
  <si>
    <t>internode_pseudo_age</t>
  </si>
  <si>
    <t>leaf_is_growing</t>
  </si>
  <si>
    <t>internode_is_growing</t>
  </si>
  <si>
    <t>leaf_pseudostem_length</t>
  </si>
  <si>
    <t>internode_distance_to_emerge</t>
  </si>
  <si>
    <t>leaf_L</t>
  </si>
  <si>
    <t>internode_L</t>
  </si>
  <si>
    <t>leaf_Lmax</t>
  </si>
  <si>
    <t>lamina_Lmax</t>
  </si>
  <si>
    <t>sheath_Lmax</t>
  </si>
  <si>
    <t>leaf_Wmax</t>
  </si>
  <si>
    <t>SSLW</t>
  </si>
  <si>
    <t>LSSW</t>
  </si>
  <si>
    <t>leaf_is_emerged</t>
  </si>
  <si>
    <t>internode_Lmax</t>
  </si>
  <si>
    <t>LSIW</t>
  </si>
  <si>
    <t>internode_is_visible</t>
  </si>
  <si>
    <t>sucrose</t>
  </si>
  <si>
    <t>amino_acids</t>
  </si>
  <si>
    <t>fructan</t>
  </si>
  <si>
    <t>proteins</t>
  </si>
  <si>
    <t>leaf_enclosed_mstruct</t>
  </si>
  <si>
    <t>internode_enclosed_mstruct</t>
  </si>
  <si>
    <t>mstruct</t>
  </si>
  <si>
    <t>leaf_enclosed_Nstruct</t>
  </si>
  <si>
    <t>internode_enclosed_Nstruct</t>
  </si>
  <si>
    <t>MS</t>
  </si>
  <si>
    <t>True</t>
  </si>
  <si>
    <t>NA</t>
  </si>
  <si>
    <t>False</t>
  </si>
  <si>
    <t>INPUTS PMA S1</t>
  </si>
  <si>
    <t>leaf_psdo_age</t>
  </si>
  <si>
    <t>internode_psdo_age</t>
  </si>
  <si>
    <t>leaf_dist_to_emerge</t>
  </si>
  <si>
    <t>internode_dist_to_emerge</t>
  </si>
  <si>
    <t>SSSW</t>
  </si>
  <si>
    <t>SSINW</t>
  </si>
  <si>
    <t>internode_mstruct</t>
  </si>
  <si>
    <t>internode_Nstruct</t>
  </si>
  <si>
    <t>NOUVEAUX INPUTS</t>
  </si>
  <si>
    <t>organ</t>
  </si>
  <si>
    <t>element</t>
  </si>
  <si>
    <t>length</t>
  </si>
  <si>
    <t>is_growing</t>
  </si>
  <si>
    <t>blade</t>
  </si>
  <si>
    <t>LeafElement1</t>
  </si>
  <si>
    <t>sheath</t>
  </si>
  <si>
    <t>StemElement</t>
  </si>
  <si>
    <t>HiddenElement</t>
  </si>
  <si>
    <t>Nstruct</t>
  </si>
  <si>
    <t>green_area</t>
  </si>
  <si>
    <t>cytokinins</t>
  </si>
  <si>
    <t>leaf</t>
  </si>
  <si>
    <t>mstruct init</t>
  </si>
  <si>
    <t>alpha</t>
  </si>
  <si>
    <t>beta</t>
  </si>
  <si>
    <t>ratio mstruct dm</t>
  </si>
  <si>
    <t>te</t>
  </si>
  <si>
    <t>FITTED_L0</t>
  </si>
  <si>
    <t>enclosed_mstruct0</t>
  </si>
  <si>
    <t>enclosed_mstruct_max</t>
  </si>
  <si>
    <t>leaf_enclosed_mstruct_postE</t>
  </si>
  <si>
    <t>leaf_enclosed_mstruct_prE</t>
  </si>
  <si>
    <t>internodes</t>
  </si>
  <si>
    <t>RATIO_ENCLOSED_LEAF_INTERNODE</t>
  </si>
  <si>
    <t>fitted_L0_IN</t>
  </si>
  <si>
    <t>te_IN</t>
  </si>
  <si>
    <t>enclosed_IN_mstruct0</t>
  </si>
  <si>
    <t>SSLW/LSSW</t>
  </si>
  <si>
    <t>t_emergence</t>
  </si>
  <si>
    <t>nitrates</t>
  </si>
  <si>
    <t>structure</t>
  </si>
  <si>
    <t>starch</t>
  </si>
  <si>
    <t>phloem</t>
  </si>
  <si>
    <t>roots</t>
  </si>
  <si>
    <t>Shoot:Root</t>
  </si>
  <si>
    <t>Hiddenzone</t>
  </si>
  <si>
    <t>Elements</t>
  </si>
  <si>
    <t>Organs</t>
  </si>
  <si>
    <r>
      <t>enclosed_mstruct_max = min(</t>
    </r>
    <r>
      <rPr>
        <i/>
        <sz val="10"/>
        <color theme="0" tint="-0.499984740745262"/>
        <rFont val="Courier New"/>
        <family val="3"/>
      </rPr>
      <t>internode_pseudostem_L</t>
    </r>
    <r>
      <rPr>
        <sz val="10"/>
        <color theme="0" tint="-0.499984740745262"/>
        <rFont val="Courier New"/>
        <family val="3"/>
      </rPr>
      <t xml:space="preserve">, </t>
    </r>
    <r>
      <rPr>
        <i/>
        <sz val="10"/>
        <color theme="0" tint="-0.499984740745262"/>
        <rFont val="Courier New"/>
        <family val="3"/>
      </rPr>
      <t>internode_Lmax</t>
    </r>
    <r>
      <rPr>
        <sz val="10"/>
        <color theme="0" tint="-0.499984740745262"/>
        <rFont val="Courier New"/>
        <family val="3"/>
      </rPr>
      <t xml:space="preserve">) * </t>
    </r>
    <r>
      <rPr>
        <i/>
        <sz val="10"/>
        <color theme="0" tint="-0.499984740745262"/>
        <rFont val="Courier New"/>
        <family val="3"/>
      </rPr>
      <t>LSIW</t>
    </r>
  </si>
  <si>
    <r>
      <t xml:space="preserve">if </t>
    </r>
    <r>
      <rPr>
        <i/>
        <sz val="10"/>
        <color theme="0" tint="-0.499984740745262"/>
        <rFont val="Courier New"/>
        <family val="3"/>
      </rPr>
      <t xml:space="preserve">internode_pseudo_age </t>
    </r>
    <r>
      <rPr>
        <sz val="10"/>
        <color theme="0" tint="-0.499984740745262"/>
        <rFont val="Courier New"/>
        <family val="3"/>
      </rPr>
      <t>&lt; parameters.te_IN:</t>
    </r>
  </si>
  <si>
    <r>
      <t xml:space="preserve">    delta_enclosed_mstruct = </t>
    </r>
    <r>
      <rPr>
        <i/>
        <sz val="10"/>
        <color theme="0" tint="-0.499984740745262"/>
        <rFont val="Courier New"/>
        <family val="3"/>
      </rPr>
      <t xml:space="preserve">mstruct </t>
    </r>
    <r>
      <rPr>
        <sz val="10"/>
        <color theme="0" tint="-0.499984740745262"/>
        <rFont val="Courier New"/>
        <family val="3"/>
      </rPr>
      <t xml:space="preserve">- (enclosed_mstruct_max - enclosed_mstruct0)/parameters.te_IN * </t>
    </r>
    <r>
      <rPr>
        <i/>
        <sz val="10"/>
        <color theme="0" tint="-0.499984740745262"/>
        <rFont val="Courier New"/>
        <family val="3"/>
      </rPr>
      <t xml:space="preserve">internode_pseudo_age </t>
    </r>
    <r>
      <rPr>
        <sz val="10"/>
        <color theme="0" tint="-0.499984740745262"/>
        <rFont val="Courier New"/>
        <family val="3"/>
      </rPr>
      <t>- enclosed_mstruct0</t>
    </r>
  </si>
  <si>
    <t>Mass (g)</t>
  </si>
  <si>
    <t>semaine</t>
  </si>
  <si>
    <t>date</t>
  </si>
  <si>
    <t>SumTemp</t>
  </si>
  <si>
    <t>Manip</t>
  </si>
  <si>
    <t>Variete</t>
  </si>
  <si>
    <t>Fertilisation</t>
  </si>
  <si>
    <t>Train</t>
  </si>
  <si>
    <t>Brin</t>
  </si>
  <si>
    <t>Phytomere</t>
  </si>
  <si>
    <t>Masse limbes</t>
  </si>
  <si>
    <t>Masse gaines</t>
  </si>
  <si>
    <t>Masse entrenoeuds</t>
  </si>
  <si>
    <t>Surface limbes</t>
  </si>
  <si>
    <t>Surface gaines</t>
  </si>
  <si>
    <t>Surface entrenoeuds</t>
  </si>
  <si>
    <t>%N limbes</t>
  </si>
  <si>
    <t>%N gaines</t>
  </si>
  <si>
    <t>%N entrenoeuds</t>
  </si>
  <si>
    <t>SLN limbes</t>
  </si>
  <si>
    <t>SLN gaines</t>
  </si>
  <si>
    <t>SLN entrenoeuds</t>
  </si>
  <si>
    <t>DistribN</t>
  </si>
  <si>
    <t>Soissons</t>
  </si>
  <si>
    <t>N+</t>
  </si>
  <si>
    <t>BM</t>
  </si>
  <si>
    <t/>
  </si>
  <si>
    <t>MS Shoot</t>
  </si>
  <si>
    <t>MS Shoot g</t>
  </si>
  <si>
    <t>N Shoot %</t>
  </si>
  <si>
    <t>Données Jessica Bertheloot</t>
  </si>
  <si>
    <t>Devienne 1994</t>
  </si>
  <si>
    <t>Blé 500°CJ après repiquage.</t>
  </si>
  <si>
    <t>=&gt; +/- 5 feuilles ligulées</t>
  </si>
  <si>
    <t>Cultivé en hydroponie avec différentes concentrations en NO3-</t>
  </si>
  <si>
    <t>Résultats ici pour NO3- max (plateau)</t>
  </si>
  <si>
    <t>N Roots %</t>
  </si>
  <si>
    <t>MS Roots g</t>
  </si>
  <si>
    <t>Justes 1994 INN</t>
  </si>
  <si>
    <t xml:space="preserve">Sortie hiver, plein tallage </t>
  </si>
  <si>
    <t>t/ha</t>
  </si>
  <si>
    <t>Proposé pour les faibles shoot DM</t>
  </si>
  <si>
    <t>Mais Fig 8 montre avec autres donées que N% peut être de l'ordre de 5.2 % pour les fabiles DM</t>
  </si>
  <si>
    <t>g</t>
  </si>
  <si>
    <t>Shoot</t>
  </si>
  <si>
    <t>Lawlor 1988</t>
  </si>
  <si>
    <t>valeurs pour les triangles pleins : Température fraiches et N+ à 250 °C J après semis</t>
  </si>
  <si>
    <t>(peu précis)</t>
  </si>
  <si>
    <t>Facteurs de conversions µmol C ou µmol N en g</t>
  </si>
  <si>
    <t>Coeff (g/µmol C ou N)</t>
  </si>
  <si>
    <t>Ratio AA/Prot</t>
  </si>
  <si>
    <t>%N Shoot</t>
  </si>
  <si>
    <t>%N Roots</t>
  </si>
  <si>
    <t>Ratio AA/Nitrates</t>
  </si>
  <si>
    <t>Sucres</t>
  </si>
  <si>
    <t>Allwood 2015</t>
  </si>
  <si>
    <t>concentrations par g de FW dans cellules matures de limbes de blé</t>
  </si>
  <si>
    <t>AA</t>
  </si>
  <si>
    <t>Solubles Prot</t>
  </si>
  <si>
    <t>mg</t>
  </si>
  <si>
    <t>µmol</t>
  </si>
  <si>
    <t>En µmol N</t>
  </si>
  <si>
    <t>MW moyenne des AA du phloème</t>
  </si>
  <si>
    <t>g/mol</t>
  </si>
  <si>
    <t>Nb moyen de mole de N par mole de AA</t>
  </si>
  <si>
    <t>Penning De Vries</t>
  </si>
  <si>
    <t>Proteines (specifically in enzymes and membranes) : 0.151 g N.g-1</t>
  </si>
  <si>
    <t>MW N</t>
  </si>
  <si>
    <t>FW</t>
  </si>
  <si>
    <t>DM</t>
  </si>
  <si>
    <t>µmol N / g mstruct</t>
  </si>
  <si>
    <t>Attention teneur en N totale très élevée si on la recalcule…</t>
  </si>
  <si>
    <t>max_proteins</t>
  </si>
  <si>
    <t>delta_internode_distance_to_emerge</t>
  </si>
  <si>
    <t>delta_internode_L</t>
  </si>
  <si>
    <t>delta_leaf_L</t>
  </si>
  <si>
    <t>delta_leaf_pseudostem_length</t>
  </si>
  <si>
    <t>delta_leaf_pseudo_age</t>
  </si>
  <si>
    <t>delta_internode_pseudo_age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</si>
</sst>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rgb="FF333333"/>
      <name val="Courier New"/>
      <family val="3"/>
    </font>
    <font>
      <b/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ourier New"/>
      <family val="3"/>
    </font>
    <font>
      <i/>
      <sz val="10"/>
      <color theme="0" tint="-0.499984740745262"/>
      <name val="Courier New"/>
      <family val="3"/>
    </font>
    <font>
      <b/>
      <sz val="10"/>
      <color theme="0" tint="-0.499984740745262"/>
      <name val="Courier New"/>
      <family val="3"/>
    </font>
    <font>
      <sz val="11"/>
      <color theme="2" tint="-0.249977111117893"/>
      <name val="Calibri"/>
      <family val="2"/>
      <scheme val="minor"/>
    </font>
    <font>
      <sz val="10"/>
      <name val="Arial"/>
      <family val="2"/>
    </font>
    <font>
      <b/>
      <sz val="11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1" fontId="0" fillId="0" borderId="0" xfId="0" applyNumberFormat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/>
    <xf numFmtId="11" fontId="2" fillId="0" borderId="0" xfId="0" applyNumberFormat="1" applyFont="1"/>
    <xf numFmtId="0" fontId="2" fillId="3" borderId="0" xfId="0" applyFont="1" applyFill="1"/>
    <xf numFmtId="11" fontId="2" fillId="3" borderId="0" xfId="0" applyNumberFormat="1" applyFont="1" applyFill="1"/>
    <xf numFmtId="0" fontId="2" fillId="0" borderId="0" xfId="0" applyFont="1" applyAlignment="1">
      <alignment vertical="center" textRotation="90" wrapText="1"/>
    </xf>
    <xf numFmtId="0" fontId="2" fillId="0" borderId="1" xfId="0" applyFont="1" applyBorder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5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1" fontId="1" fillId="0" borderId="6" xfId="0" applyNumberFormat="1" applyFont="1" applyBorder="1"/>
    <xf numFmtId="11" fontId="1" fillId="0" borderId="7" xfId="0" applyNumberFormat="1" applyFont="1" applyBorder="1"/>
    <xf numFmtId="0" fontId="1" fillId="0" borderId="1" xfId="0" applyFont="1" applyBorder="1"/>
    <xf numFmtId="11" fontId="1" fillId="0" borderId="1" xfId="0" applyNumberFormat="1" applyFont="1" applyBorder="1"/>
    <xf numFmtId="11" fontId="1" fillId="0" borderId="9" xfId="0" applyNumberFormat="1" applyFont="1" applyBorder="1"/>
    <xf numFmtId="0" fontId="1" fillId="0" borderId="2" xfId="0" applyFont="1" applyBorder="1"/>
    <xf numFmtId="0" fontId="1" fillId="0" borderId="10" xfId="0" applyFont="1" applyBorder="1"/>
    <xf numFmtId="0" fontId="0" fillId="0" borderId="11" xfId="0" applyBorder="1"/>
    <xf numFmtId="0" fontId="1" fillId="0" borderId="12" xfId="0" applyFont="1" applyBorder="1"/>
    <xf numFmtId="0" fontId="11" fillId="0" borderId="0" xfId="0" applyFont="1"/>
    <xf numFmtId="11" fontId="11" fillId="0" borderId="0" xfId="0" applyNumberFormat="1" applyFont="1"/>
    <xf numFmtId="2" fontId="1" fillId="0" borderId="11" xfId="0" applyNumberFormat="1" applyFont="1" applyBorder="1"/>
    <xf numFmtId="14" fontId="0" fillId="0" borderId="0" xfId="0" applyNumberFormat="1"/>
    <xf numFmtId="164" fontId="12" fillId="4" borderId="0" xfId="0" applyNumberFormat="1" applyFont="1" applyFill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" xfId="0" applyBorder="1"/>
    <xf numFmtId="0" fontId="13" fillId="0" borderId="0" xfId="0" applyFont="1"/>
    <xf numFmtId="2" fontId="1" fillId="0" borderId="1" xfId="0" applyNumberFormat="1" applyFont="1" applyBorder="1"/>
    <xf numFmtId="0" fontId="11" fillId="0" borderId="5" xfId="0" applyNumberFormat="1" applyFont="1" applyBorder="1"/>
    <xf numFmtId="0" fontId="11" fillId="0" borderId="6" xfId="0" applyNumberFormat="1" applyFont="1" applyBorder="1"/>
    <xf numFmtId="2" fontId="0" fillId="0" borderId="0" xfId="0" applyNumberFormat="1"/>
    <xf numFmtId="0" fontId="0" fillId="0" borderId="13" xfId="0" applyBorder="1"/>
    <xf numFmtId="0" fontId="2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14" fillId="0" borderId="0" xfId="0" applyFont="1"/>
    <xf numFmtId="0" fontId="2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tabSelected="1" topLeftCell="A4" workbookViewId="0">
      <selection activeCell="U9" sqref="U9"/>
    </sheetView>
  </sheetViews>
  <sheetFormatPr baseColWidth="10" defaultRowHeight="15" x14ac:dyDescent="0.25"/>
  <cols>
    <col min="5" max="5" width="12" bestFit="1" customWidth="1"/>
    <col min="35" max="35" width="17.85546875" bestFit="1" customWidth="1"/>
    <col min="36" max="36" width="21.7109375" bestFit="1" customWidth="1"/>
    <col min="40" max="40" width="12" bestFit="1" customWidth="1"/>
  </cols>
  <sheetData>
    <row r="1" spans="1:46" s="6" customFormat="1" x14ac:dyDescent="0.25">
      <c r="A1" s="6" t="s">
        <v>34</v>
      </c>
      <c r="W1" s="7"/>
    </row>
    <row r="2" spans="1:46" x14ac:dyDescent="0.25">
      <c r="W2" s="1"/>
    </row>
    <row r="3" spans="1:46" s="4" customFormat="1" x14ac:dyDescent="0.25">
      <c r="A3" s="52" t="s">
        <v>80</v>
      </c>
      <c r="B3" s="9" t="s">
        <v>0</v>
      </c>
      <c r="C3" s="9" t="s">
        <v>1</v>
      </c>
      <c r="D3" s="9" t="s">
        <v>2</v>
      </c>
      <c r="E3" s="9" t="s">
        <v>35</v>
      </c>
      <c r="F3" s="9" t="s">
        <v>36</v>
      </c>
      <c r="G3" s="9" t="s">
        <v>5</v>
      </c>
      <c r="H3" s="9" t="s">
        <v>6</v>
      </c>
      <c r="I3" s="9" t="s">
        <v>37</v>
      </c>
      <c r="J3" s="9" t="s">
        <v>38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14</v>
      </c>
      <c r="Q3" s="9" t="s">
        <v>15</v>
      </c>
      <c r="R3" s="9" t="s">
        <v>39</v>
      </c>
      <c r="S3" s="9" t="s">
        <v>17</v>
      </c>
      <c r="T3" s="9" t="s">
        <v>18</v>
      </c>
      <c r="U3" s="9" t="s">
        <v>40</v>
      </c>
      <c r="V3" s="9" t="s">
        <v>20</v>
      </c>
      <c r="W3" s="9" t="s">
        <v>21</v>
      </c>
      <c r="X3" s="9" t="s">
        <v>22</v>
      </c>
      <c r="Y3" s="9" t="s">
        <v>23</v>
      </c>
      <c r="Z3" s="9" t="s">
        <v>24</v>
      </c>
      <c r="AA3" s="9" t="s">
        <v>25</v>
      </c>
      <c r="AB3" s="9" t="s">
        <v>41</v>
      </c>
      <c r="AC3" s="9" t="s">
        <v>27</v>
      </c>
      <c r="AD3" s="9" t="s">
        <v>28</v>
      </c>
      <c r="AE3" s="9" t="s">
        <v>42</v>
      </c>
    </row>
    <row r="4" spans="1:46" x14ac:dyDescent="0.25">
      <c r="A4" s="52"/>
      <c r="B4">
        <v>1</v>
      </c>
      <c r="C4" t="s">
        <v>30</v>
      </c>
      <c r="D4">
        <v>3</v>
      </c>
      <c r="E4">
        <v>716400</v>
      </c>
      <c r="F4" t="s">
        <v>32</v>
      </c>
      <c r="G4" t="s">
        <v>31</v>
      </c>
      <c r="H4" t="s">
        <v>33</v>
      </c>
      <c r="I4">
        <v>2.9000000000000001E-2</v>
      </c>
      <c r="J4">
        <v>2.9000000000000001E-2</v>
      </c>
      <c r="K4">
        <v>0.92500000000000004</v>
      </c>
      <c r="L4">
        <v>0</v>
      </c>
      <c r="M4">
        <v>0.12280000000000001</v>
      </c>
      <c r="N4">
        <v>9.4120999999999996E-2</v>
      </c>
      <c r="O4">
        <v>2.8646000000000001E-2</v>
      </c>
      <c r="P4">
        <v>7.8935600000000009E-3</v>
      </c>
      <c r="Q4">
        <v>27.6</v>
      </c>
      <c r="R4">
        <v>138</v>
      </c>
      <c r="S4" t="s">
        <v>31</v>
      </c>
      <c r="T4" t="s">
        <v>32</v>
      </c>
      <c r="U4">
        <v>138</v>
      </c>
      <c r="V4" t="s">
        <v>33</v>
      </c>
      <c r="W4" s="1">
        <v>0.17299999999999999</v>
      </c>
      <c r="X4" s="1">
        <v>1.6799999999999999E-2</v>
      </c>
      <c r="Y4">
        <v>0</v>
      </c>
      <c r="Z4">
        <v>0</v>
      </c>
      <c r="AA4" s="1">
        <v>1.44E-4</v>
      </c>
      <c r="AB4">
        <v>0</v>
      </c>
      <c r="AC4" s="1">
        <v>1.44E-4</v>
      </c>
      <c r="AD4" s="1">
        <v>4.6399999999999996E-6</v>
      </c>
      <c r="AE4">
        <v>0</v>
      </c>
    </row>
    <row r="5" spans="1:46" x14ac:dyDescent="0.25">
      <c r="A5" s="52"/>
      <c r="B5">
        <v>1</v>
      </c>
      <c r="C5" t="s">
        <v>30</v>
      </c>
      <c r="D5">
        <v>4</v>
      </c>
      <c r="E5">
        <v>372960</v>
      </c>
      <c r="F5" t="s">
        <v>32</v>
      </c>
      <c r="G5" t="s">
        <v>31</v>
      </c>
      <c r="H5" t="s">
        <v>33</v>
      </c>
      <c r="I5">
        <v>2.9000000000000001E-2</v>
      </c>
      <c r="J5">
        <v>2.9000000000000001E-2</v>
      </c>
      <c r="K5">
        <v>2.5999999999999999E-2</v>
      </c>
      <c r="L5">
        <v>0</v>
      </c>
      <c r="M5">
        <v>0.1331</v>
      </c>
      <c r="N5">
        <v>9.9874000000000004E-2</v>
      </c>
      <c r="O5">
        <v>3.3266999999999998E-2</v>
      </c>
      <c r="P5">
        <v>7.8935600000000009E-3</v>
      </c>
      <c r="Q5">
        <v>27.6</v>
      </c>
      <c r="R5">
        <v>138</v>
      </c>
      <c r="S5" t="s">
        <v>33</v>
      </c>
      <c r="T5" t="s">
        <v>32</v>
      </c>
      <c r="U5">
        <v>138</v>
      </c>
      <c r="V5" t="s">
        <v>33</v>
      </c>
      <c r="W5" s="1">
        <v>0.17299999999999999</v>
      </c>
      <c r="X5" s="1">
        <v>1.6799999999999999E-2</v>
      </c>
      <c r="Y5">
        <v>0</v>
      </c>
      <c r="Z5">
        <v>0</v>
      </c>
      <c r="AA5" s="1">
        <v>1.44E-4</v>
      </c>
      <c r="AB5">
        <v>0</v>
      </c>
      <c r="AC5" s="1">
        <v>1.44E-4</v>
      </c>
      <c r="AD5" s="1">
        <v>4.6399999999999996E-6</v>
      </c>
      <c r="AE5">
        <v>0</v>
      </c>
    </row>
    <row r="6" spans="1:46" x14ac:dyDescent="0.25">
      <c r="A6" s="52"/>
      <c r="B6">
        <v>1</v>
      </c>
      <c r="C6" t="s">
        <v>30</v>
      </c>
      <c r="D6">
        <v>5</v>
      </c>
      <c r="E6" t="s">
        <v>32</v>
      </c>
      <c r="F6" t="s">
        <v>32</v>
      </c>
      <c r="G6" t="s">
        <v>31</v>
      </c>
      <c r="H6" t="s">
        <v>33</v>
      </c>
      <c r="I6">
        <v>2.9000000000000001E-2</v>
      </c>
      <c r="J6">
        <v>2.9000000000000001E-2</v>
      </c>
      <c r="K6">
        <v>2.0978429999999998E-3</v>
      </c>
      <c r="L6">
        <v>0</v>
      </c>
      <c r="M6" t="s">
        <v>32</v>
      </c>
      <c r="N6" t="s">
        <v>32</v>
      </c>
      <c r="O6" t="s">
        <v>32</v>
      </c>
      <c r="P6" t="s">
        <v>32</v>
      </c>
      <c r="Q6" t="s">
        <v>32</v>
      </c>
      <c r="R6" t="s">
        <v>32</v>
      </c>
      <c r="S6" t="s">
        <v>33</v>
      </c>
      <c r="T6" t="s">
        <v>32</v>
      </c>
      <c r="U6" t="s">
        <v>32</v>
      </c>
      <c r="V6" t="s">
        <v>33</v>
      </c>
      <c r="W6" s="1">
        <v>3.7299999999999998E-3</v>
      </c>
      <c r="X6" s="1">
        <v>3.6400000000000001E-4</v>
      </c>
      <c r="Y6">
        <v>0</v>
      </c>
      <c r="Z6">
        <v>0</v>
      </c>
      <c r="AA6" s="1">
        <v>3.1099999999999999E-6</v>
      </c>
      <c r="AB6">
        <v>0</v>
      </c>
      <c r="AC6" s="1">
        <v>3.1099999999999999E-6</v>
      </c>
      <c r="AD6" s="1">
        <v>9.9999999999999995E-8</v>
      </c>
      <c r="AE6">
        <v>0</v>
      </c>
    </row>
    <row r="7" spans="1:46" x14ac:dyDescent="0.25">
      <c r="A7" s="52"/>
      <c r="B7">
        <v>1</v>
      </c>
      <c r="C7" t="s">
        <v>30</v>
      </c>
      <c r="D7">
        <v>6</v>
      </c>
      <c r="E7" t="s">
        <v>32</v>
      </c>
      <c r="F7" t="s">
        <v>32</v>
      </c>
      <c r="G7" t="s">
        <v>31</v>
      </c>
      <c r="H7" t="s">
        <v>33</v>
      </c>
      <c r="I7">
        <v>2.9000000000000001E-2</v>
      </c>
      <c r="J7">
        <v>2.9000000000000001E-2</v>
      </c>
      <c r="K7">
        <v>5.4136500000000003E-4</v>
      </c>
      <c r="L7">
        <v>0</v>
      </c>
      <c r="M7" t="s">
        <v>32</v>
      </c>
      <c r="N7" t="s">
        <v>32</v>
      </c>
      <c r="O7" t="s">
        <v>32</v>
      </c>
      <c r="P7" t="s">
        <v>32</v>
      </c>
      <c r="Q7" t="s">
        <v>32</v>
      </c>
      <c r="R7" t="s">
        <v>32</v>
      </c>
      <c r="S7" t="s">
        <v>33</v>
      </c>
      <c r="T7" t="s">
        <v>32</v>
      </c>
      <c r="U7" t="s">
        <v>32</v>
      </c>
      <c r="V7" t="s">
        <v>33</v>
      </c>
      <c r="W7" s="1">
        <v>7.6800000000000002E-4</v>
      </c>
      <c r="X7" s="1">
        <v>7.4900000000000005E-5</v>
      </c>
      <c r="Y7">
        <v>0</v>
      </c>
      <c r="Z7">
        <v>0</v>
      </c>
      <c r="AA7" s="1">
        <v>6.4000000000000001E-7</v>
      </c>
      <c r="AB7">
        <v>0</v>
      </c>
      <c r="AC7" s="1">
        <v>6.4000000000000001E-7</v>
      </c>
      <c r="AD7" s="1">
        <v>2.0599999999999999E-8</v>
      </c>
      <c r="AE7">
        <v>0</v>
      </c>
    </row>
    <row r="8" spans="1:46" x14ac:dyDescent="0.25">
      <c r="A8" s="52"/>
      <c r="B8">
        <v>1</v>
      </c>
      <c r="C8" t="s">
        <v>30</v>
      </c>
      <c r="D8">
        <v>7</v>
      </c>
      <c r="E8" t="s">
        <v>32</v>
      </c>
      <c r="F8" t="s">
        <v>32</v>
      </c>
      <c r="G8" t="s">
        <v>31</v>
      </c>
      <c r="H8" t="s">
        <v>33</v>
      </c>
      <c r="I8">
        <v>2.9000000000000001E-2</v>
      </c>
      <c r="J8">
        <v>2.9000000000000001E-2</v>
      </c>
      <c r="K8">
        <v>2.26918E-4</v>
      </c>
      <c r="L8">
        <v>0</v>
      </c>
      <c r="M8" t="s">
        <v>32</v>
      </c>
      <c r="N8" t="s">
        <v>32</v>
      </c>
      <c r="O8" t="s">
        <v>32</v>
      </c>
      <c r="P8" t="s">
        <v>32</v>
      </c>
      <c r="Q8" t="s">
        <v>32</v>
      </c>
      <c r="R8" t="s">
        <v>32</v>
      </c>
      <c r="S8" t="s">
        <v>33</v>
      </c>
      <c r="T8" t="s">
        <v>32</v>
      </c>
      <c r="U8" t="s">
        <v>32</v>
      </c>
      <c r="V8" t="s">
        <v>33</v>
      </c>
      <c r="W8" s="1">
        <v>7.6800000000000002E-4</v>
      </c>
      <c r="X8" s="1">
        <v>7.4900000000000005E-5</v>
      </c>
      <c r="Y8">
        <v>0</v>
      </c>
      <c r="Z8">
        <v>0</v>
      </c>
      <c r="AA8" s="1">
        <v>6.4000000000000001E-7</v>
      </c>
      <c r="AB8">
        <v>0</v>
      </c>
      <c r="AC8" s="1">
        <v>6.4000000000000001E-7</v>
      </c>
      <c r="AD8" s="1">
        <v>2.0599999999999999E-8</v>
      </c>
      <c r="AE8">
        <v>0</v>
      </c>
    </row>
    <row r="9" spans="1:46" x14ac:dyDescent="0.25">
      <c r="A9" s="52"/>
      <c r="B9">
        <v>1</v>
      </c>
      <c r="C9" t="s">
        <v>30</v>
      </c>
      <c r="D9">
        <v>8</v>
      </c>
      <c r="E9" t="s">
        <v>32</v>
      </c>
      <c r="F9" t="s">
        <v>32</v>
      </c>
      <c r="G9" t="s">
        <v>31</v>
      </c>
      <c r="H9" t="s">
        <v>33</v>
      </c>
      <c r="I9">
        <v>2.9000000000000001E-2</v>
      </c>
      <c r="J9">
        <v>2.9000000000000001E-2</v>
      </c>
      <c r="K9">
        <v>1.13794E-4</v>
      </c>
      <c r="L9">
        <v>0</v>
      </c>
      <c r="M9" t="s">
        <v>32</v>
      </c>
      <c r="N9" t="s">
        <v>32</v>
      </c>
      <c r="O9" t="s">
        <v>32</v>
      </c>
      <c r="P9" t="s">
        <v>32</v>
      </c>
      <c r="Q9" t="s">
        <v>32</v>
      </c>
      <c r="R9" t="s">
        <v>32</v>
      </c>
      <c r="S9" t="s">
        <v>33</v>
      </c>
      <c r="T9" t="s">
        <v>32</v>
      </c>
      <c r="U9" t="s">
        <v>32</v>
      </c>
      <c r="V9" t="s">
        <v>33</v>
      </c>
      <c r="W9" s="1">
        <v>7.6800000000000002E-4</v>
      </c>
      <c r="X9" s="1">
        <v>7.4900000000000005E-5</v>
      </c>
      <c r="Y9">
        <v>0</v>
      </c>
      <c r="Z9">
        <v>0</v>
      </c>
      <c r="AA9" s="1">
        <v>6.4000000000000001E-7</v>
      </c>
      <c r="AB9">
        <v>0</v>
      </c>
      <c r="AC9" s="1">
        <v>6.4000000000000001E-7</v>
      </c>
      <c r="AD9" s="1">
        <v>2.0599999999999999E-8</v>
      </c>
      <c r="AE9">
        <v>0</v>
      </c>
    </row>
    <row r="10" spans="1:46" x14ac:dyDescent="0.25">
      <c r="A10" s="52"/>
      <c r="B10">
        <v>1</v>
      </c>
      <c r="C10" t="s">
        <v>30</v>
      </c>
      <c r="D10">
        <v>9</v>
      </c>
      <c r="E10" t="s">
        <v>32</v>
      </c>
      <c r="F10" t="s">
        <v>32</v>
      </c>
      <c r="G10" t="s">
        <v>31</v>
      </c>
      <c r="H10" t="s">
        <v>33</v>
      </c>
      <c r="I10">
        <v>2.9000000000000001E-2</v>
      </c>
      <c r="J10">
        <v>2.9000000000000001E-2</v>
      </c>
      <c r="K10" s="1">
        <v>5.5899999999999997E-5</v>
      </c>
      <c r="L10">
        <v>0</v>
      </c>
      <c r="M10" t="s">
        <v>32</v>
      </c>
      <c r="N10" t="s">
        <v>32</v>
      </c>
      <c r="O10" t="s">
        <v>32</v>
      </c>
      <c r="P10" t="s">
        <v>32</v>
      </c>
      <c r="Q10" t="s">
        <v>32</v>
      </c>
      <c r="R10" t="s">
        <v>32</v>
      </c>
      <c r="S10" t="s">
        <v>33</v>
      </c>
      <c r="T10" t="s">
        <v>32</v>
      </c>
      <c r="U10" t="s">
        <v>32</v>
      </c>
      <c r="V10" t="s">
        <v>33</v>
      </c>
      <c r="W10" s="1">
        <v>7.6800000000000002E-4</v>
      </c>
      <c r="X10" s="1">
        <v>7.4900000000000005E-5</v>
      </c>
      <c r="Y10">
        <v>0</v>
      </c>
      <c r="Z10">
        <v>0</v>
      </c>
      <c r="AA10" s="1">
        <v>6.4000000000000001E-7</v>
      </c>
      <c r="AB10">
        <v>0</v>
      </c>
      <c r="AC10" s="1">
        <v>6.4000000000000001E-7</v>
      </c>
      <c r="AD10" s="1">
        <v>2.0599999999999999E-8</v>
      </c>
      <c r="AE10">
        <v>0</v>
      </c>
    </row>
    <row r="11" spans="1:46" x14ac:dyDescent="0.25">
      <c r="A11" s="52"/>
      <c r="B11">
        <v>1</v>
      </c>
      <c r="C11" t="s">
        <v>30</v>
      </c>
      <c r="D11">
        <v>10</v>
      </c>
      <c r="E11" t="s">
        <v>32</v>
      </c>
      <c r="F11" t="s">
        <v>32</v>
      </c>
      <c r="G11" t="s">
        <v>31</v>
      </c>
      <c r="H11" t="s">
        <v>33</v>
      </c>
      <c r="I11">
        <v>2.9000000000000001E-2</v>
      </c>
      <c r="J11">
        <v>2.9000000000000001E-2</v>
      </c>
      <c r="K11" s="1">
        <v>2.9300000000000001E-5</v>
      </c>
      <c r="L11">
        <v>0</v>
      </c>
      <c r="M11" t="s">
        <v>32</v>
      </c>
      <c r="N11" t="s">
        <v>32</v>
      </c>
      <c r="O11" t="s">
        <v>32</v>
      </c>
      <c r="P11" t="s">
        <v>32</v>
      </c>
      <c r="Q11" t="s">
        <v>32</v>
      </c>
      <c r="R11" t="s">
        <v>32</v>
      </c>
      <c r="S11" t="s">
        <v>33</v>
      </c>
      <c r="T11" t="s">
        <v>32</v>
      </c>
      <c r="U11" t="s">
        <v>32</v>
      </c>
      <c r="V11" t="s">
        <v>33</v>
      </c>
      <c r="W11" s="1">
        <v>7.6800000000000002E-4</v>
      </c>
      <c r="X11" s="1">
        <v>7.4900000000000005E-5</v>
      </c>
      <c r="Y11">
        <v>0</v>
      </c>
      <c r="Z11">
        <v>0</v>
      </c>
      <c r="AA11" s="1">
        <v>6.4000000000000001E-7</v>
      </c>
      <c r="AB11">
        <v>0</v>
      </c>
      <c r="AC11" s="1">
        <v>6.4000000000000001E-7</v>
      </c>
      <c r="AD11" s="1">
        <v>2.0599999999999999E-8</v>
      </c>
      <c r="AE11">
        <v>0</v>
      </c>
    </row>
    <row r="12" spans="1:46" x14ac:dyDescent="0.25">
      <c r="A12" s="52"/>
      <c r="B12">
        <v>1</v>
      </c>
      <c r="C12" t="s">
        <v>30</v>
      </c>
      <c r="D12">
        <v>11</v>
      </c>
      <c r="E12" t="s">
        <v>32</v>
      </c>
      <c r="F12" t="s">
        <v>32</v>
      </c>
      <c r="G12" t="s">
        <v>31</v>
      </c>
      <c r="H12" t="s">
        <v>33</v>
      </c>
      <c r="I12">
        <v>2.9000000000000001E-2</v>
      </c>
      <c r="J12">
        <v>2.9000000000000001E-2</v>
      </c>
      <c r="K12" s="1">
        <v>1.2999999999999999E-5</v>
      </c>
      <c r="L12">
        <v>0</v>
      </c>
      <c r="M12" t="s">
        <v>32</v>
      </c>
      <c r="N12" t="s">
        <v>32</v>
      </c>
      <c r="O12" t="s">
        <v>32</v>
      </c>
      <c r="P12" t="s">
        <v>32</v>
      </c>
      <c r="Q12" t="s">
        <v>32</v>
      </c>
      <c r="R12" t="s">
        <v>32</v>
      </c>
      <c r="S12" t="s">
        <v>33</v>
      </c>
      <c r="T12" t="s">
        <v>32</v>
      </c>
      <c r="U12" t="s">
        <v>32</v>
      </c>
      <c r="V12" t="s">
        <v>33</v>
      </c>
      <c r="W12" s="1">
        <v>7.6800000000000002E-4</v>
      </c>
      <c r="X12" s="1">
        <v>7.4900000000000005E-5</v>
      </c>
      <c r="Y12">
        <v>0</v>
      </c>
      <c r="Z12">
        <v>0</v>
      </c>
      <c r="AA12" s="1">
        <v>6.4000000000000001E-7</v>
      </c>
      <c r="AB12">
        <v>0</v>
      </c>
      <c r="AC12" s="1">
        <v>6.4000000000000001E-7</v>
      </c>
      <c r="AD12" s="1">
        <v>2.0599999999999999E-8</v>
      </c>
      <c r="AE12">
        <v>0</v>
      </c>
    </row>
    <row r="14" spans="1:46" s="6" customFormat="1" x14ac:dyDescent="0.25">
      <c r="A14" s="6" t="s">
        <v>43</v>
      </c>
    </row>
    <row r="16" spans="1:46" s="4" customFormat="1" ht="15" customHeight="1" x14ac:dyDescent="0.25">
      <c r="A16" s="52" t="s">
        <v>80</v>
      </c>
      <c r="B16" s="9" t="s">
        <v>0</v>
      </c>
      <c r="C16" s="9" t="s">
        <v>1</v>
      </c>
      <c r="D16" s="9" t="s">
        <v>2</v>
      </c>
      <c r="E16" s="9" t="s">
        <v>3</v>
      </c>
      <c r="F16" s="9" t="s">
        <v>4</v>
      </c>
      <c r="G16" s="9" t="s">
        <v>5</v>
      </c>
      <c r="H16" s="9" t="s">
        <v>6</v>
      </c>
      <c r="I16" s="9" t="s">
        <v>7</v>
      </c>
      <c r="J16" s="9" t="s">
        <v>8</v>
      </c>
      <c r="K16" s="9" t="s">
        <v>9</v>
      </c>
      <c r="L16" s="9" t="s">
        <v>10</v>
      </c>
      <c r="M16" s="9" t="s">
        <v>163</v>
      </c>
      <c r="N16" s="9" t="s">
        <v>164</v>
      </c>
      <c r="O16" s="9" t="s">
        <v>159</v>
      </c>
      <c r="P16" s="9" t="s">
        <v>160</v>
      </c>
      <c r="Q16" s="9" t="s">
        <v>161</v>
      </c>
      <c r="R16" s="9" t="s">
        <v>162</v>
      </c>
      <c r="S16" s="9" t="s">
        <v>11</v>
      </c>
      <c r="T16" s="9" t="s">
        <v>12</v>
      </c>
      <c r="U16" s="9" t="s">
        <v>13</v>
      </c>
      <c r="V16" s="9" t="s">
        <v>14</v>
      </c>
      <c r="W16" s="9" t="s">
        <v>15</v>
      </c>
      <c r="X16" s="9" t="s">
        <v>16</v>
      </c>
      <c r="Y16" s="9" t="s">
        <v>17</v>
      </c>
      <c r="Z16" s="9" t="s">
        <v>18</v>
      </c>
      <c r="AA16" s="9" t="s">
        <v>19</v>
      </c>
      <c r="AB16" s="9" t="s">
        <v>20</v>
      </c>
      <c r="AC16" s="9" t="s">
        <v>21</v>
      </c>
      <c r="AD16" s="9" t="s">
        <v>22</v>
      </c>
      <c r="AE16" s="9" t="s">
        <v>23</v>
      </c>
      <c r="AF16" s="9" t="s">
        <v>24</v>
      </c>
      <c r="AG16" s="9" t="s">
        <v>25</v>
      </c>
      <c r="AH16" s="9" t="s">
        <v>26</v>
      </c>
      <c r="AI16" s="9" t="s">
        <v>27</v>
      </c>
      <c r="AJ16" s="9" t="s">
        <v>28</v>
      </c>
      <c r="AK16" s="9" t="s">
        <v>29</v>
      </c>
      <c r="AL16" s="9" t="s">
        <v>53</v>
      </c>
      <c r="AN16" s="10" t="s">
        <v>73</v>
      </c>
      <c r="AO16" s="10" t="s">
        <v>63</v>
      </c>
      <c r="AP16" s="10" t="s">
        <v>64</v>
      </c>
      <c r="AQ16" s="10" t="s">
        <v>65</v>
      </c>
      <c r="AR16" s="10" t="s">
        <v>66</v>
      </c>
      <c r="AS16" s="10"/>
      <c r="AT16" s="10" t="s">
        <v>71</v>
      </c>
    </row>
    <row r="17" spans="1:46" x14ac:dyDescent="0.25">
      <c r="A17" s="52"/>
      <c r="B17">
        <v>1</v>
      </c>
      <c r="C17" t="s">
        <v>30</v>
      </c>
      <c r="D17">
        <v>3</v>
      </c>
      <c r="E17">
        <v>1589281</v>
      </c>
      <c r="F17">
        <f>432000*24/12</f>
        <v>864000</v>
      </c>
      <c r="G17" t="s">
        <v>31</v>
      </c>
      <c r="H17" t="s">
        <v>31</v>
      </c>
      <c r="I17">
        <f>G28+G31-L17</f>
        <v>2.895E-2</v>
      </c>
      <c r="J17">
        <f>I17-L17</f>
        <v>2.8899999999999999E-2</v>
      </c>
      <c r="K17">
        <v>9.2499999999999999E-2</v>
      </c>
      <c r="L17">
        <v>5.0000000000000002E-5</v>
      </c>
      <c r="M17">
        <v>3600</v>
      </c>
      <c r="N17">
        <v>3600</v>
      </c>
      <c r="O17">
        <v>0</v>
      </c>
      <c r="P17">
        <v>0</v>
      </c>
      <c r="Q17">
        <v>0</v>
      </c>
      <c r="R17">
        <v>0</v>
      </c>
      <c r="S17">
        <v>0.12280000000000001</v>
      </c>
      <c r="T17">
        <v>9.3426658551430383E-2</v>
      </c>
      <c r="U17">
        <v>2.9373341448569623E-2</v>
      </c>
      <c r="V17">
        <v>5.0000000000000001E-3</v>
      </c>
      <c r="W17">
        <v>27.6</v>
      </c>
      <c r="X17">
        <v>0.08</v>
      </c>
      <c r="Y17" t="s">
        <v>31</v>
      </c>
      <c r="Z17" t="s">
        <v>32</v>
      </c>
      <c r="AA17">
        <v>1</v>
      </c>
      <c r="AB17" t="s">
        <v>33</v>
      </c>
      <c r="AC17" s="1">
        <f t="shared" ref="AC17:AC24" si="0">AI17*$Z$28</f>
        <v>4.4515747404911092</v>
      </c>
      <c r="AD17">
        <f t="shared" ref="AD17:AD24" si="1">AI17*$U$28</f>
        <v>0.54148939294380627</v>
      </c>
      <c r="AE17">
        <v>0</v>
      </c>
      <c r="AF17">
        <f t="shared" ref="AF17:AF24" si="2">AI17*$V$28</f>
        <v>7.7355627563400891</v>
      </c>
      <c r="AG17" s="1">
        <f>AQ17</f>
        <v>1.8534983222633695E-3</v>
      </c>
      <c r="AH17" s="1">
        <f>AT17</f>
        <v>1.3244862745926676E-6</v>
      </c>
      <c r="AI17" s="1">
        <f>AG17+AH17</f>
        <v>1.8548228085379622E-3</v>
      </c>
      <c r="AJ17" s="1">
        <f>AG17*0.005</f>
        <v>9.267491611316847E-6</v>
      </c>
      <c r="AK17">
        <f>AH17*0.005</f>
        <v>6.6224313729633385E-9</v>
      </c>
      <c r="AL17">
        <f>AJ17+AK17</f>
        <v>9.2741140426898098E-6</v>
      </c>
      <c r="AN17" s="11">
        <v>851425</v>
      </c>
      <c r="AO17" s="12">
        <f>$T$39+$T$40*$T$42*(I17)^$T$41</f>
        <v>9.1058115591388438E-4</v>
      </c>
      <c r="AP17" s="11">
        <f>I17*X17</f>
        <v>2.3159999999999999E-3</v>
      </c>
      <c r="AQ17" s="12">
        <f>((AP17-AO17)/($T$43-AN17))*(E17-$T$43)+AP17</f>
        <v>1.8534983222633695E-3</v>
      </c>
      <c r="AR17" s="12">
        <f>$T$39+$T$40*$T$42*(K17)^$T$41</f>
        <v>4.0277279389003447E-3</v>
      </c>
      <c r="AS17" s="11"/>
      <c r="AT17" s="11">
        <f>$AO$32*$AO$34*$AO$36*(L17)^$AO$33</f>
        <v>1.3244862745926676E-6</v>
      </c>
    </row>
    <row r="18" spans="1:46" x14ac:dyDescent="0.25">
      <c r="A18" s="52"/>
      <c r="B18">
        <v>1</v>
      </c>
      <c r="C18" t="s">
        <v>30</v>
      </c>
      <c r="D18">
        <v>4</v>
      </c>
      <c r="E18">
        <v>776406</v>
      </c>
      <c r="F18">
        <v>0</v>
      </c>
      <c r="G18" t="s">
        <v>31</v>
      </c>
      <c r="H18" t="s">
        <v>31</v>
      </c>
      <c r="I18">
        <f>I17-L18</f>
        <v>2.894E-2</v>
      </c>
      <c r="J18">
        <f t="shared" ref="J18:J24" si="3">I18-L18</f>
        <v>2.8930000000000001E-2</v>
      </c>
      <c r="K18">
        <v>2.5999999999999999E-2</v>
      </c>
      <c r="L18">
        <v>1.0000000000000001E-5</v>
      </c>
      <c r="M18">
        <v>3600</v>
      </c>
      <c r="N18">
        <v>0</v>
      </c>
      <c r="O18">
        <v>0</v>
      </c>
      <c r="P18">
        <v>0</v>
      </c>
      <c r="Q18">
        <v>0</v>
      </c>
      <c r="R18">
        <v>0</v>
      </c>
      <c r="S18">
        <v>0.1331</v>
      </c>
      <c r="T18">
        <v>9.9106478034251738E-2</v>
      </c>
      <c r="U18">
        <v>3.3993521965748258E-2</v>
      </c>
      <c r="V18">
        <v>5.4999999999999997E-3</v>
      </c>
      <c r="W18">
        <v>27.6</v>
      </c>
      <c r="X18">
        <v>0.08</v>
      </c>
      <c r="Y18" t="s">
        <v>33</v>
      </c>
      <c r="Z18" t="s">
        <v>32</v>
      </c>
      <c r="AA18" t="s">
        <v>32</v>
      </c>
      <c r="AB18" t="s">
        <v>33</v>
      </c>
      <c r="AC18" s="1">
        <f t="shared" si="0"/>
        <v>1.9049336424038494</v>
      </c>
      <c r="AD18">
        <f t="shared" si="1"/>
        <v>0.23171606044060178</v>
      </c>
      <c r="AE18">
        <v>0</v>
      </c>
      <c r="AF18">
        <f t="shared" si="2"/>
        <v>3.31022943486574</v>
      </c>
      <c r="AG18" s="1">
        <f>AR18</f>
        <v>7.9355355356128927E-4</v>
      </c>
      <c r="AH18" s="1">
        <f>AT18</f>
        <v>1.6879744031468265E-7</v>
      </c>
      <c r="AI18">
        <f t="shared" ref="AI18:AI24" si="4">AG18+AH18</f>
        <v>7.9372235100160394E-4</v>
      </c>
      <c r="AJ18">
        <f t="shared" ref="AJ18:AK24" si="5">AG18*0.005</f>
        <v>3.9677677678064465E-6</v>
      </c>
      <c r="AK18">
        <f t="shared" si="5"/>
        <v>8.4398720157341326E-10</v>
      </c>
      <c r="AL18">
        <f t="shared" ref="AL18:AL24" si="6">AJ18+AK18</f>
        <v>3.9686117550080197E-6</v>
      </c>
      <c r="AN18" s="11">
        <v>818263</v>
      </c>
      <c r="AO18" s="12">
        <f>$T$39+$T$40*$T$42*(I18)^$T$41</f>
        <v>9.1017858127080242E-4</v>
      </c>
      <c r="AP18" s="11">
        <f>I18*X18</f>
        <v>2.3151999999999999E-3</v>
      </c>
      <c r="AQ18" s="12">
        <f>((AP18-AO18)/($T$43-AN18))*(E18-$T$43)+AP18</f>
        <v>8.5826926811062858E-4</v>
      </c>
      <c r="AR18" s="12">
        <f>$T$39+$T$40*$T$42*(K18)^$T$41</f>
        <v>7.9355355356128927E-4</v>
      </c>
      <c r="AS18" s="11"/>
      <c r="AT18" s="11">
        <f>$AO$32*$AO$34*$AO$36*(L18)^$AO$33</f>
        <v>1.6879744031468265E-7</v>
      </c>
    </row>
    <row r="19" spans="1:46" x14ac:dyDescent="0.25">
      <c r="A19" s="52"/>
      <c r="B19">
        <v>1</v>
      </c>
      <c r="C19" t="s">
        <v>30</v>
      </c>
      <c r="D19">
        <v>5</v>
      </c>
      <c r="E19">
        <v>0</v>
      </c>
      <c r="F19">
        <v>0</v>
      </c>
      <c r="G19" t="s">
        <v>31</v>
      </c>
      <c r="H19" t="s">
        <v>33</v>
      </c>
      <c r="I19">
        <f>I18-L19</f>
        <v>2.894E-2</v>
      </c>
      <c r="J19">
        <f t="shared" si="3"/>
        <v>2.894E-2</v>
      </c>
      <c r="K19">
        <v>2.0978429999999998E-3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32</v>
      </c>
      <c r="T19" t="s">
        <v>32</v>
      </c>
      <c r="U19" t="s">
        <v>32</v>
      </c>
      <c r="V19" t="s">
        <v>32</v>
      </c>
      <c r="W19" t="s">
        <v>32</v>
      </c>
      <c r="X19" t="s">
        <v>32</v>
      </c>
      <c r="Y19" t="s">
        <v>33</v>
      </c>
      <c r="Z19" t="s">
        <v>32</v>
      </c>
      <c r="AA19" t="s">
        <v>32</v>
      </c>
      <c r="AB19" t="s">
        <v>33</v>
      </c>
      <c r="AC19" s="1">
        <f t="shared" si="0"/>
        <v>7.6004635065645101E-2</v>
      </c>
      <c r="AD19">
        <f t="shared" si="1"/>
        <v>9.2452011033900532E-3</v>
      </c>
      <c r="AE19">
        <v>0</v>
      </c>
      <c r="AF19">
        <f t="shared" si="2"/>
        <v>0.13207430147700075</v>
      </c>
      <c r="AG19" s="1">
        <f>AR19</f>
        <v>3.1668597944018791E-5</v>
      </c>
      <c r="AH19" s="1">
        <v>0</v>
      </c>
      <c r="AI19">
        <f t="shared" si="4"/>
        <v>3.1668597944018791E-5</v>
      </c>
      <c r="AJ19">
        <f t="shared" si="5"/>
        <v>1.5834298972009396E-7</v>
      </c>
      <c r="AK19">
        <f t="shared" si="5"/>
        <v>0</v>
      </c>
      <c r="AL19">
        <f t="shared" si="6"/>
        <v>1.5834298972009396E-7</v>
      </c>
      <c r="AN19" s="11"/>
      <c r="AO19" s="12" t="e">
        <f t="shared" ref="AO19:AO24" si="7">$T$39+$T$40*$T$42*(S19*$T$44)^$T$41</f>
        <v>#VALUE!</v>
      </c>
      <c r="AP19" s="11" t="e">
        <f>I19*X19</f>
        <v>#VALUE!</v>
      </c>
      <c r="AQ19" s="12" t="e">
        <f>AO19+((AP19-AO19)/$T$43)*E19</f>
        <v>#VALUE!</v>
      </c>
      <c r="AR19" s="12">
        <f>$T$39+$T$40*$T$42*(K19)^$T$41</f>
        <v>3.1668597944018791E-5</v>
      </c>
      <c r="AS19" s="11"/>
      <c r="AT19" s="11">
        <f>$AO$32*$AO$34*$AO$36*(L19)^$AO$33</f>
        <v>0</v>
      </c>
    </row>
    <row r="20" spans="1:46" x14ac:dyDescent="0.25">
      <c r="A20" s="52"/>
      <c r="B20">
        <v>1</v>
      </c>
      <c r="C20" t="s">
        <v>30</v>
      </c>
      <c r="D20">
        <v>6</v>
      </c>
      <c r="E20">
        <v>0</v>
      </c>
      <c r="F20">
        <v>0</v>
      </c>
      <c r="G20" t="s">
        <v>31</v>
      </c>
      <c r="H20" t="s">
        <v>33</v>
      </c>
      <c r="I20">
        <f t="shared" ref="I20:I24" si="8">I19-L20</f>
        <v>2.894E-2</v>
      </c>
      <c r="J20">
        <f t="shared" si="3"/>
        <v>2.894E-2</v>
      </c>
      <c r="K20">
        <v>5.4136500000000003E-4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32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 t="s">
        <v>33</v>
      </c>
      <c r="Z20" t="s">
        <v>32</v>
      </c>
      <c r="AA20" t="s">
        <v>32</v>
      </c>
      <c r="AB20" t="s">
        <v>33</v>
      </c>
      <c r="AC20" s="1">
        <f t="shared" si="0"/>
        <v>1.347501240661572E-2</v>
      </c>
      <c r="AD20">
        <f t="shared" si="1"/>
        <v>1.6391000293895159E-3</v>
      </c>
      <c r="AE20">
        <v>0</v>
      </c>
      <c r="AF20">
        <f t="shared" si="2"/>
        <v>2.341571470556451E-2</v>
      </c>
      <c r="AG20" s="1">
        <f t="shared" ref="AG20:AG24" si="9">AR20</f>
        <v>5.6145885027565499E-6</v>
      </c>
      <c r="AH20" s="1">
        <v>0</v>
      </c>
      <c r="AI20">
        <f t="shared" si="4"/>
        <v>5.6145885027565499E-6</v>
      </c>
      <c r="AJ20">
        <f t="shared" si="5"/>
        <v>2.8072942513782751E-8</v>
      </c>
      <c r="AK20">
        <f t="shared" si="5"/>
        <v>0</v>
      </c>
      <c r="AL20">
        <f t="shared" si="6"/>
        <v>2.8072942513782751E-8</v>
      </c>
      <c r="AN20" s="11"/>
      <c r="AO20" s="12" t="e">
        <f t="shared" si="7"/>
        <v>#VALUE!</v>
      </c>
      <c r="AP20" s="11" t="e">
        <f>I20*X20</f>
        <v>#VALUE!</v>
      </c>
      <c r="AQ20" s="12" t="e">
        <f>AO20+((AP20-AO20)/$T$43)*E20</f>
        <v>#VALUE!</v>
      </c>
      <c r="AR20" s="12">
        <f>$T$39+$T$40*$T$42*(K20)^$T$41</f>
        <v>5.6145885027565499E-6</v>
      </c>
      <c r="AS20" s="11"/>
      <c r="AT20" s="11">
        <f>$AO$32*$AO$34*$AO$36*(L20)^$AO$33</f>
        <v>0</v>
      </c>
    </row>
    <row r="21" spans="1:46" x14ac:dyDescent="0.25">
      <c r="A21" s="52"/>
      <c r="B21">
        <v>1</v>
      </c>
      <c r="C21" t="s">
        <v>30</v>
      </c>
      <c r="D21">
        <v>7</v>
      </c>
      <c r="E21">
        <v>0</v>
      </c>
      <c r="F21">
        <v>0</v>
      </c>
      <c r="G21" t="s">
        <v>31</v>
      </c>
      <c r="H21" t="s">
        <v>33</v>
      </c>
      <c r="I21">
        <f t="shared" si="8"/>
        <v>2.894E-2</v>
      </c>
      <c r="J21">
        <f t="shared" si="3"/>
        <v>2.894E-2</v>
      </c>
      <c r="K21">
        <v>2.26918E-4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">
        <v>32</v>
      </c>
      <c r="T21" t="s">
        <v>32</v>
      </c>
      <c r="U21" t="s">
        <v>32</v>
      </c>
      <c r="V21" t="s">
        <v>32</v>
      </c>
      <c r="W21" t="s">
        <v>32</v>
      </c>
      <c r="X21" t="s">
        <v>32</v>
      </c>
      <c r="Y21" t="s">
        <v>33</v>
      </c>
      <c r="Z21" t="s">
        <v>32</v>
      </c>
      <c r="AA21" t="s">
        <v>32</v>
      </c>
      <c r="AB21" t="s">
        <v>33</v>
      </c>
      <c r="AC21" s="1">
        <f t="shared" si="0"/>
        <v>4.4703594683963592E-3</v>
      </c>
      <c r="AD21">
        <f t="shared" si="1"/>
        <v>5.4377436657740766E-4</v>
      </c>
      <c r="AE21">
        <v>0</v>
      </c>
      <c r="AF21">
        <f t="shared" si="2"/>
        <v>7.7682052368201098E-3</v>
      </c>
      <c r="AG21" s="1">
        <f t="shared" si="9"/>
        <v>1.862649778498483E-6</v>
      </c>
      <c r="AH21" s="1">
        <v>0</v>
      </c>
      <c r="AI21">
        <f t="shared" si="4"/>
        <v>1.862649778498483E-6</v>
      </c>
      <c r="AJ21">
        <f t="shared" si="5"/>
        <v>9.3132488924924148E-9</v>
      </c>
      <c r="AK21">
        <f t="shared" si="5"/>
        <v>0</v>
      </c>
      <c r="AL21">
        <f t="shared" si="6"/>
        <v>9.3132488924924148E-9</v>
      </c>
      <c r="AN21" s="11"/>
      <c r="AO21" s="12" t="e">
        <f t="shared" si="7"/>
        <v>#VALUE!</v>
      </c>
      <c r="AP21" s="11" t="e">
        <f>I21*X21</f>
        <v>#VALUE!</v>
      </c>
      <c r="AQ21" s="12" t="e">
        <f>AO21+((AP21-AO21)/$T$43)*E21</f>
        <v>#VALUE!</v>
      </c>
      <c r="AR21" s="12">
        <f>$T$39+$T$40*$T$42*(K21)^$T$41</f>
        <v>1.862649778498483E-6</v>
      </c>
      <c r="AS21" s="11"/>
      <c r="AT21" s="11">
        <f>$AO$32*$AO$34*$AO$36*(L21)^$AO$33</f>
        <v>0</v>
      </c>
    </row>
    <row r="22" spans="1:46" x14ac:dyDescent="0.25">
      <c r="A22" s="52"/>
      <c r="B22">
        <v>1</v>
      </c>
      <c r="C22" t="s">
        <v>30</v>
      </c>
      <c r="D22">
        <v>8</v>
      </c>
      <c r="E22">
        <v>0</v>
      </c>
      <c r="F22">
        <v>0</v>
      </c>
      <c r="G22" t="s">
        <v>31</v>
      </c>
      <c r="H22" t="s">
        <v>33</v>
      </c>
      <c r="I22">
        <f t="shared" si="8"/>
        <v>2.894E-2</v>
      </c>
      <c r="J22">
        <f t="shared" si="3"/>
        <v>2.894E-2</v>
      </c>
      <c r="K22">
        <v>1.13794E-4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32</v>
      </c>
      <c r="T22" t="s">
        <v>32</v>
      </c>
      <c r="U22" t="s">
        <v>32</v>
      </c>
      <c r="V22" t="s">
        <v>32</v>
      </c>
      <c r="W22" t="s">
        <v>32</v>
      </c>
      <c r="X22" t="s">
        <v>32</v>
      </c>
      <c r="Y22" t="s">
        <v>33</v>
      </c>
      <c r="Z22" t="s">
        <v>32</v>
      </c>
      <c r="AA22" t="s">
        <v>32</v>
      </c>
      <c r="AB22" t="s">
        <v>33</v>
      </c>
      <c r="AC22" s="1">
        <f t="shared" si="0"/>
        <v>1.8851448944099444E-3</v>
      </c>
      <c r="AD22">
        <f t="shared" si="1"/>
        <v>2.2930895783916249E-4</v>
      </c>
      <c r="AE22">
        <v>0</v>
      </c>
      <c r="AF22">
        <f t="shared" si="2"/>
        <v>3.2758422548451785E-3</v>
      </c>
      <c r="AG22" s="1">
        <f t="shared" si="9"/>
        <v>7.8547703933747685E-7</v>
      </c>
      <c r="AH22" s="1">
        <v>0</v>
      </c>
      <c r="AI22">
        <f t="shared" si="4"/>
        <v>7.8547703933747685E-7</v>
      </c>
      <c r="AJ22">
        <f t="shared" si="5"/>
        <v>3.9273851966873846E-9</v>
      </c>
      <c r="AK22">
        <f t="shared" si="5"/>
        <v>0</v>
      </c>
      <c r="AL22">
        <f t="shared" si="6"/>
        <v>3.9273851966873846E-9</v>
      </c>
      <c r="AN22" s="11"/>
      <c r="AO22" s="12" t="e">
        <f t="shared" si="7"/>
        <v>#VALUE!</v>
      </c>
      <c r="AP22" s="11" t="e">
        <f>I22*X22</f>
        <v>#VALUE!</v>
      </c>
      <c r="AQ22" s="12" t="e">
        <f>AO22+((AP22-AO22)/$T$43)*E22</f>
        <v>#VALUE!</v>
      </c>
      <c r="AR22" s="12">
        <f>$T$39+$T$40*$T$42*(K22)^$T$41</f>
        <v>7.8547703933747685E-7</v>
      </c>
      <c r="AS22" s="11"/>
      <c r="AT22" s="11">
        <f>$AO$32*$AO$34*$AO$36*(L22)^$AO$33</f>
        <v>0</v>
      </c>
    </row>
    <row r="23" spans="1:46" x14ac:dyDescent="0.25">
      <c r="A23" s="52"/>
      <c r="B23">
        <v>1</v>
      </c>
      <c r="C23" t="s">
        <v>30</v>
      </c>
      <c r="D23">
        <v>9</v>
      </c>
      <c r="E23">
        <v>0</v>
      </c>
      <c r="F23">
        <v>0</v>
      </c>
      <c r="G23" t="s">
        <v>31</v>
      </c>
      <c r="H23" t="s">
        <v>33</v>
      </c>
      <c r="I23">
        <f t="shared" si="8"/>
        <v>2.894E-2</v>
      </c>
      <c r="J23">
        <f t="shared" si="3"/>
        <v>2.894E-2</v>
      </c>
      <c r="K23" s="1">
        <v>5.5899999999999997E-5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32</v>
      </c>
      <c r="T23" t="s">
        <v>32</v>
      </c>
      <c r="U23" t="s">
        <v>32</v>
      </c>
      <c r="V23" t="s">
        <v>32</v>
      </c>
      <c r="W23" t="s">
        <v>32</v>
      </c>
      <c r="X23" t="s">
        <v>32</v>
      </c>
      <c r="Y23" t="s">
        <v>33</v>
      </c>
      <c r="Z23" t="s">
        <v>32</v>
      </c>
      <c r="AA23" t="s">
        <v>32</v>
      </c>
      <c r="AB23" t="s">
        <v>33</v>
      </c>
      <c r="AC23" s="1">
        <f t="shared" si="0"/>
        <v>7.969211453243318E-4</v>
      </c>
      <c r="AD23">
        <f t="shared" si="1"/>
        <v>9.6937459744447275E-5</v>
      </c>
      <c r="AE23">
        <v>0</v>
      </c>
      <c r="AF23">
        <f t="shared" si="2"/>
        <v>1.384820853492104E-3</v>
      </c>
      <c r="AG23" s="1">
        <f t="shared" si="9"/>
        <v>3.320504772184716E-7</v>
      </c>
      <c r="AH23" s="1">
        <v>0</v>
      </c>
      <c r="AI23">
        <f t="shared" si="4"/>
        <v>3.320504772184716E-7</v>
      </c>
      <c r="AJ23">
        <f t="shared" si="5"/>
        <v>1.6602523860923581E-9</v>
      </c>
      <c r="AK23">
        <f t="shared" si="5"/>
        <v>0</v>
      </c>
      <c r="AL23">
        <f t="shared" si="6"/>
        <v>1.6602523860923581E-9</v>
      </c>
      <c r="AN23" s="11"/>
      <c r="AO23" s="12" t="e">
        <f t="shared" si="7"/>
        <v>#VALUE!</v>
      </c>
      <c r="AP23" s="11" t="e">
        <f>I23*X23</f>
        <v>#VALUE!</v>
      </c>
      <c r="AQ23" s="12" t="e">
        <f>AO23+((AP23-AO23)/$T$43)*E23</f>
        <v>#VALUE!</v>
      </c>
      <c r="AR23" s="12">
        <f>$T$39+$T$40*$T$42*(K23)^$T$41</f>
        <v>3.320504772184716E-7</v>
      </c>
      <c r="AS23" s="11"/>
      <c r="AT23" s="11">
        <f>$AO$32*$AO$34*$AO$36*(L23)^$AO$33</f>
        <v>0</v>
      </c>
    </row>
    <row r="24" spans="1:46" x14ac:dyDescent="0.25">
      <c r="A24" s="52"/>
      <c r="B24">
        <v>1</v>
      </c>
      <c r="C24" t="s">
        <v>30</v>
      </c>
      <c r="D24">
        <v>10</v>
      </c>
      <c r="E24">
        <v>0</v>
      </c>
      <c r="F24">
        <v>0</v>
      </c>
      <c r="G24" t="s">
        <v>31</v>
      </c>
      <c r="H24" t="s">
        <v>33</v>
      </c>
      <c r="I24">
        <f t="shared" si="8"/>
        <v>2.894E-2</v>
      </c>
      <c r="J24">
        <f t="shared" si="3"/>
        <v>2.894E-2</v>
      </c>
      <c r="K24" s="1">
        <v>2.9300000000000001E-5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32</v>
      </c>
      <c r="T24" t="s">
        <v>32</v>
      </c>
      <c r="U24" t="s">
        <v>32</v>
      </c>
      <c r="V24" t="s">
        <v>32</v>
      </c>
      <c r="W24" t="s">
        <v>32</v>
      </c>
      <c r="X24" t="s">
        <v>32</v>
      </c>
      <c r="Y24" t="s">
        <v>33</v>
      </c>
      <c r="Z24" t="s">
        <v>32</v>
      </c>
      <c r="AA24" t="s">
        <v>32</v>
      </c>
      <c r="AB24" t="s">
        <v>33</v>
      </c>
      <c r="AC24" s="1">
        <f t="shared" si="0"/>
        <v>3.8437288342130877E-4</v>
      </c>
      <c r="AD24">
        <f t="shared" si="1"/>
        <v>4.6755103854530141E-5</v>
      </c>
      <c r="AE24">
        <v>0</v>
      </c>
      <c r="AF24">
        <f t="shared" si="2"/>
        <v>6.6793005506471631E-4</v>
      </c>
      <c r="AG24" s="1">
        <f t="shared" si="9"/>
        <v>1.6015536809221198E-7</v>
      </c>
      <c r="AH24" s="1">
        <v>0</v>
      </c>
      <c r="AI24">
        <f t="shared" si="4"/>
        <v>1.6015536809221198E-7</v>
      </c>
      <c r="AJ24">
        <f t="shared" si="5"/>
        <v>8.0077684046105991E-10</v>
      </c>
      <c r="AK24">
        <f t="shared" si="5"/>
        <v>0</v>
      </c>
      <c r="AL24">
        <f t="shared" si="6"/>
        <v>8.0077684046105991E-10</v>
      </c>
      <c r="AN24" s="11"/>
      <c r="AO24" s="12" t="e">
        <f t="shared" si="7"/>
        <v>#VALUE!</v>
      </c>
      <c r="AP24" s="11" t="e">
        <f>I24*X24</f>
        <v>#VALUE!</v>
      </c>
      <c r="AQ24" s="12" t="e">
        <f>AO24+((AP24-AO24)/$T$43)*E24</f>
        <v>#VALUE!</v>
      </c>
      <c r="AR24" s="12">
        <f>$T$39+$T$40*$T$42*(K24)^$T$41</f>
        <v>1.6015536809221198E-7</v>
      </c>
      <c r="AS24" s="11"/>
      <c r="AT24" s="11">
        <f>$AO$32*$AO$34*$AO$36*(L24)^$AO$33</f>
        <v>0</v>
      </c>
    </row>
    <row r="25" spans="1:46" x14ac:dyDescent="0.25">
      <c r="A25" s="8"/>
      <c r="W25" s="1"/>
      <c r="X25" s="1"/>
      <c r="Y25" s="1"/>
      <c r="Z25" s="1"/>
      <c r="AA25" s="1"/>
      <c r="AB25" s="1"/>
      <c r="AC25" s="1"/>
      <c r="AD25" s="1"/>
      <c r="AE25" s="1"/>
    </row>
    <row r="26" spans="1:46" s="4" customFormat="1" x14ac:dyDescent="0.25">
      <c r="A26" s="52" t="s">
        <v>81</v>
      </c>
      <c r="B26" s="9" t="s">
        <v>0</v>
      </c>
      <c r="C26" s="9" t="s">
        <v>1</v>
      </c>
      <c r="D26" s="9" t="s">
        <v>2</v>
      </c>
      <c r="E26" s="9" t="s">
        <v>44</v>
      </c>
      <c r="F26" s="9" t="s">
        <v>45</v>
      </c>
      <c r="G26" s="9" t="s">
        <v>46</v>
      </c>
      <c r="H26" s="9" t="s">
        <v>47</v>
      </c>
      <c r="I26" s="9" t="s">
        <v>27</v>
      </c>
      <c r="J26" s="9" t="s">
        <v>53</v>
      </c>
      <c r="K26" s="9" t="s">
        <v>22</v>
      </c>
      <c r="L26" s="9" t="s">
        <v>24</v>
      </c>
      <c r="M26" s="9" t="s">
        <v>23</v>
      </c>
      <c r="N26" s="9" t="s">
        <v>21</v>
      </c>
      <c r="O26" s="9" t="s">
        <v>54</v>
      </c>
      <c r="P26" s="9" t="s">
        <v>55</v>
      </c>
      <c r="Q26" s="9" t="s">
        <v>158</v>
      </c>
      <c r="R26" s="9" t="s">
        <v>76</v>
      </c>
      <c r="S26" s="9" t="s">
        <v>74</v>
      </c>
      <c r="T26" s="16" t="s">
        <v>72</v>
      </c>
      <c r="Z26" s="5"/>
      <c r="AA26" s="5"/>
      <c r="AB26" s="5"/>
      <c r="AC26" s="5"/>
      <c r="AD26" s="5"/>
      <c r="AE26" s="5"/>
    </row>
    <row r="27" spans="1:46" x14ac:dyDescent="0.25">
      <c r="A27" s="52"/>
      <c r="B27">
        <v>1</v>
      </c>
      <c r="C27" t="s">
        <v>30</v>
      </c>
      <c r="D27">
        <v>1</v>
      </c>
      <c r="E27" t="s">
        <v>48</v>
      </c>
      <c r="F27" t="s">
        <v>49</v>
      </c>
      <c r="G27">
        <v>8.2000000000000003E-2</v>
      </c>
      <c r="H27" t="s">
        <v>33</v>
      </c>
      <c r="I27">
        <f>O27*$T$27</f>
        <v>6.7200000000000003E-3</v>
      </c>
      <c r="J27">
        <f>I27*0.005</f>
        <v>3.3600000000000004E-5</v>
      </c>
      <c r="K27">
        <f t="shared" ref="K27:K32" si="10">I27*$U$28</f>
        <v>1.9618093457943928</v>
      </c>
      <c r="L27">
        <f t="shared" ref="L27:L32" si="11">I27*$V$28</f>
        <v>28.025847797062756</v>
      </c>
      <c r="M27">
        <v>0</v>
      </c>
      <c r="N27" s="1">
        <f t="shared" ref="N27:N32" si="12">I27*$Z$28</f>
        <v>16.128</v>
      </c>
      <c r="O27">
        <v>2.4000000000000001E-4</v>
      </c>
      <c r="P27" s="1">
        <f t="shared" ref="P27:P32" si="13">I27*$AA$28</f>
        <v>0.40320000000000006</v>
      </c>
      <c r="Q27">
        <v>0.8</v>
      </c>
      <c r="R27">
        <v>0</v>
      </c>
      <c r="S27">
        <v>0</v>
      </c>
      <c r="T27" s="17">
        <v>28</v>
      </c>
      <c r="U27" s="19" t="s">
        <v>22</v>
      </c>
      <c r="V27" s="20" t="s">
        <v>24</v>
      </c>
      <c r="W27" s="20" t="s">
        <v>53</v>
      </c>
      <c r="X27" s="20" t="s">
        <v>27</v>
      </c>
      <c r="Y27" s="20" t="s">
        <v>23</v>
      </c>
      <c r="Z27" s="21" t="s">
        <v>21</v>
      </c>
      <c r="AA27" s="22" t="s">
        <v>55</v>
      </c>
      <c r="AB27" s="1"/>
      <c r="AC27" s="1"/>
      <c r="AD27" s="1"/>
    </row>
    <row r="28" spans="1:46" x14ac:dyDescent="0.25">
      <c r="A28" s="52"/>
      <c r="B28">
        <v>1</v>
      </c>
      <c r="C28" t="s">
        <v>30</v>
      </c>
      <c r="D28">
        <v>1</v>
      </c>
      <c r="E28" t="s">
        <v>50</v>
      </c>
      <c r="F28" t="s">
        <v>51</v>
      </c>
      <c r="G28">
        <v>2.8500000000000001E-2</v>
      </c>
      <c r="H28" t="s">
        <v>33</v>
      </c>
      <c r="I28">
        <f>G28*$T$28</f>
        <v>2.2800000000000003E-3</v>
      </c>
      <c r="J28">
        <f t="shared" ref="J28:J32" si="14">I28*0.005</f>
        <v>1.1400000000000003E-5</v>
      </c>
      <c r="K28">
        <f t="shared" si="10"/>
        <v>0.66561388518024045</v>
      </c>
      <c r="L28">
        <f t="shared" si="11"/>
        <v>9.5087697882891504</v>
      </c>
      <c r="M28">
        <v>0</v>
      </c>
      <c r="N28" s="1">
        <f t="shared" si="12"/>
        <v>5.4720000000000004</v>
      </c>
      <c r="O28">
        <v>2.6899999999999998E-4</v>
      </c>
      <c r="P28" s="1">
        <f t="shared" si="13"/>
        <v>0.13680000000000003</v>
      </c>
      <c r="Q28">
        <v>0.4</v>
      </c>
      <c r="R28">
        <v>0</v>
      </c>
      <c r="S28">
        <v>0</v>
      </c>
      <c r="T28" s="17">
        <v>0.08</v>
      </c>
      <c r="U28" s="41">
        <f>(($W$31/100)*(1+$Z$28*$E$43)-$W$28)/((1+1/$V$31)*(14*10^(-6)-$J$43*$W$31/100))</f>
        <v>291.93591455273702</v>
      </c>
      <c r="V28" s="41">
        <f>$U$28/$V$31</f>
        <v>4170.5130650391002</v>
      </c>
      <c r="W28" s="23">
        <v>5.0000000000000001E-3</v>
      </c>
      <c r="X28" s="23">
        <v>1</v>
      </c>
      <c r="Y28" s="23">
        <v>0</v>
      </c>
      <c r="Z28" s="24">
        <v>2400</v>
      </c>
      <c r="AA28" s="25">
        <v>60.000000000000007</v>
      </c>
      <c r="AB28" s="1"/>
      <c r="AC28" s="1"/>
      <c r="AD28" s="1"/>
    </row>
    <row r="29" spans="1:46" x14ac:dyDescent="0.25">
      <c r="A29" s="52"/>
      <c r="B29">
        <v>1</v>
      </c>
      <c r="C29" t="s">
        <v>30</v>
      </c>
      <c r="D29">
        <v>2</v>
      </c>
      <c r="E29" t="s">
        <v>48</v>
      </c>
      <c r="F29" t="s">
        <v>49</v>
      </c>
      <c r="G29">
        <v>9.1999999999999998E-2</v>
      </c>
      <c r="H29" t="s">
        <v>33</v>
      </c>
      <c r="I29">
        <f>O29*$T$29</f>
        <v>7.8399999999999997E-3</v>
      </c>
      <c r="J29">
        <f t="shared" si="14"/>
        <v>3.9199999999999997E-5</v>
      </c>
      <c r="K29">
        <f t="shared" si="10"/>
        <v>2.2887775700934583</v>
      </c>
      <c r="L29">
        <f t="shared" si="11"/>
        <v>32.696822429906547</v>
      </c>
      <c r="M29">
        <v>0</v>
      </c>
      <c r="N29" s="1">
        <f t="shared" si="12"/>
        <v>18.815999999999999</v>
      </c>
      <c r="O29">
        <v>2.7999999999999998E-4</v>
      </c>
      <c r="P29" s="1">
        <f t="shared" si="13"/>
        <v>0.47040000000000004</v>
      </c>
      <c r="Q29">
        <v>1</v>
      </c>
      <c r="R29">
        <v>0</v>
      </c>
      <c r="S29">
        <v>0</v>
      </c>
      <c r="T29" s="17">
        <v>28</v>
      </c>
      <c r="U29" s="42">
        <v>175.5</v>
      </c>
      <c r="V29" s="43">
        <v>2130.5</v>
      </c>
      <c r="X29" s="44"/>
      <c r="Z29" s="1"/>
      <c r="AA29" s="1"/>
      <c r="AB29" s="1"/>
      <c r="AC29" s="1"/>
      <c r="AD29" s="1"/>
      <c r="AE29" s="1"/>
    </row>
    <row r="30" spans="1:46" x14ac:dyDescent="0.25">
      <c r="A30" s="52"/>
      <c r="B30">
        <v>1</v>
      </c>
      <c r="C30" t="s">
        <v>30</v>
      </c>
      <c r="D30">
        <v>2</v>
      </c>
      <c r="E30" t="s">
        <v>50</v>
      </c>
      <c r="F30" t="s">
        <v>52</v>
      </c>
      <c r="G30">
        <v>2.8500000000000001E-2</v>
      </c>
      <c r="H30" t="s">
        <v>33</v>
      </c>
      <c r="I30">
        <f>G30*$T$30</f>
        <v>2.2800000000000003E-3</v>
      </c>
      <c r="J30">
        <f t="shared" si="14"/>
        <v>1.1400000000000003E-5</v>
      </c>
      <c r="K30">
        <f t="shared" si="10"/>
        <v>0.66561388518024045</v>
      </c>
      <c r="L30">
        <f t="shared" si="11"/>
        <v>9.5087697882891504</v>
      </c>
      <c r="M30">
        <v>0</v>
      </c>
      <c r="N30" s="1">
        <f t="shared" si="12"/>
        <v>5.4720000000000004</v>
      </c>
      <c r="O30">
        <v>2.4800000000000001E-4</v>
      </c>
      <c r="P30" s="1">
        <f t="shared" si="13"/>
        <v>0.13680000000000003</v>
      </c>
      <c r="Q30">
        <v>0.5</v>
      </c>
      <c r="R30">
        <v>0</v>
      </c>
      <c r="S30">
        <v>0</v>
      </c>
      <c r="T30" s="17">
        <v>0.08</v>
      </c>
      <c r="V30" s="26" t="s">
        <v>136</v>
      </c>
      <c r="W30" s="26" t="s">
        <v>137</v>
      </c>
      <c r="Z30" s="1"/>
      <c r="AA30" s="1"/>
      <c r="AB30" s="1"/>
      <c r="AC30" s="1"/>
      <c r="AD30" s="1"/>
      <c r="AE30" s="1"/>
    </row>
    <row r="31" spans="1:46" x14ac:dyDescent="0.25">
      <c r="A31" s="52"/>
      <c r="B31">
        <v>1</v>
      </c>
      <c r="C31" t="s">
        <v>30</v>
      </c>
      <c r="D31">
        <v>2</v>
      </c>
      <c r="E31" t="s">
        <v>50</v>
      </c>
      <c r="F31" t="s">
        <v>51</v>
      </c>
      <c r="G31">
        <v>5.0000000000000001E-4</v>
      </c>
      <c r="H31" t="s">
        <v>33</v>
      </c>
      <c r="I31">
        <f>G31*$T$31</f>
        <v>4.0000000000000003E-5</v>
      </c>
      <c r="J31">
        <f t="shared" si="14"/>
        <v>2.0000000000000002E-7</v>
      </c>
      <c r="K31">
        <f t="shared" si="10"/>
        <v>1.1677436582109482E-2</v>
      </c>
      <c r="L31">
        <f t="shared" si="11"/>
        <v>0.16682052260156402</v>
      </c>
      <c r="M31">
        <v>0</v>
      </c>
      <c r="N31" s="1">
        <f t="shared" si="12"/>
        <v>9.6000000000000002E-2</v>
      </c>
      <c r="O31">
        <v>5.0000000000000004E-6</v>
      </c>
      <c r="P31" s="1">
        <f t="shared" si="13"/>
        <v>2.4000000000000007E-3</v>
      </c>
      <c r="Q31">
        <v>0.5</v>
      </c>
      <c r="R31">
        <v>0</v>
      </c>
      <c r="S31">
        <v>0</v>
      </c>
      <c r="T31" s="17">
        <v>0.08</v>
      </c>
      <c r="V31" s="18">
        <v>7.0000000000000007E-2</v>
      </c>
      <c r="W31" s="18">
        <v>4.5</v>
      </c>
      <c r="AM31" s="53" t="s">
        <v>67</v>
      </c>
      <c r="AN31" s="11" t="s">
        <v>57</v>
      </c>
      <c r="AO31" s="12">
        <v>0</v>
      </c>
    </row>
    <row r="32" spans="1:46" x14ac:dyDescent="0.25">
      <c r="A32" s="52"/>
      <c r="B32">
        <v>1</v>
      </c>
      <c r="C32" t="s">
        <v>30</v>
      </c>
      <c r="D32">
        <v>3</v>
      </c>
      <c r="E32" t="s">
        <v>48</v>
      </c>
      <c r="F32" t="s">
        <v>49</v>
      </c>
      <c r="G32">
        <v>6.0421565000000003E-2</v>
      </c>
      <c r="H32" t="s">
        <v>31</v>
      </c>
      <c r="I32">
        <f>O32*$T$32</f>
        <v>6.3840000000000008E-3</v>
      </c>
      <c r="J32">
        <f t="shared" si="14"/>
        <v>3.1920000000000006E-5</v>
      </c>
      <c r="K32">
        <f t="shared" si="10"/>
        <v>1.8637188785046734</v>
      </c>
      <c r="L32">
        <f t="shared" si="11"/>
        <v>26.62455540720962</v>
      </c>
      <c r="M32">
        <v>0</v>
      </c>
      <c r="N32" s="1">
        <f t="shared" si="12"/>
        <v>15.321600000000002</v>
      </c>
      <c r="O32">
        <v>2.2800000000000001E-4</v>
      </c>
      <c r="P32" s="1">
        <f t="shared" si="13"/>
        <v>0.3830400000000001</v>
      </c>
      <c r="Q32">
        <v>1.2</v>
      </c>
      <c r="R32">
        <v>0</v>
      </c>
      <c r="S32">
        <v>0</v>
      </c>
      <c r="T32" s="18">
        <v>28</v>
      </c>
      <c r="AM32" s="53"/>
      <c r="AN32" s="11" t="s">
        <v>58</v>
      </c>
      <c r="AO32" s="11">
        <v>0.106</v>
      </c>
    </row>
    <row r="33" spans="1:41" x14ac:dyDescent="0.25">
      <c r="A33" s="4"/>
      <c r="AM33" s="53"/>
      <c r="AN33" s="11" t="s">
        <v>59</v>
      </c>
      <c r="AO33" s="11">
        <v>1.28</v>
      </c>
    </row>
    <row r="34" spans="1:41" x14ac:dyDescent="0.25">
      <c r="A34" s="4"/>
      <c r="AM34" s="53"/>
      <c r="AN34" s="11" t="s">
        <v>60</v>
      </c>
      <c r="AO34" s="11">
        <v>0.8</v>
      </c>
    </row>
    <row r="35" spans="1:41" x14ac:dyDescent="0.25">
      <c r="A35" s="4"/>
      <c r="AM35" s="53"/>
      <c r="AN35" s="11" t="s">
        <v>70</v>
      </c>
      <c r="AO35" s="11">
        <f>210*3600*24/12</f>
        <v>1512000</v>
      </c>
    </row>
    <row r="36" spans="1:41" x14ac:dyDescent="0.25">
      <c r="A36" s="4"/>
      <c r="F36" s="1"/>
      <c r="AM36" s="11"/>
      <c r="AN36" s="11" t="s">
        <v>68</v>
      </c>
      <c r="AO36" s="11">
        <v>5</v>
      </c>
    </row>
    <row r="37" spans="1:41" x14ac:dyDescent="0.25">
      <c r="A37" s="52" t="s">
        <v>82</v>
      </c>
      <c r="B37" s="9" t="s">
        <v>0</v>
      </c>
      <c r="C37" s="9" t="s">
        <v>1</v>
      </c>
      <c r="D37" s="9" t="s">
        <v>44</v>
      </c>
      <c r="E37" s="9" t="s">
        <v>21</v>
      </c>
      <c r="F37" s="9" t="s">
        <v>22</v>
      </c>
      <c r="G37" s="9" t="s">
        <v>74</v>
      </c>
      <c r="H37" s="9" t="s">
        <v>75</v>
      </c>
      <c r="I37" s="9" t="s">
        <v>76</v>
      </c>
      <c r="J37" s="9" t="s">
        <v>24</v>
      </c>
      <c r="K37" s="9" t="s">
        <v>27</v>
      </c>
      <c r="L37" s="9" t="s">
        <v>53</v>
      </c>
      <c r="M37" s="9" t="s">
        <v>55</v>
      </c>
      <c r="R37" s="3"/>
      <c r="S37" s="2"/>
      <c r="AM37" s="13"/>
      <c r="AN37" s="11" t="s">
        <v>69</v>
      </c>
      <c r="AO37" s="11">
        <f>1/59</f>
        <v>1.6949152542372881E-2</v>
      </c>
    </row>
    <row r="38" spans="1:41" x14ac:dyDescent="0.25">
      <c r="A38" s="52"/>
      <c r="B38">
        <v>1</v>
      </c>
      <c r="C38" t="s">
        <v>30</v>
      </c>
      <c r="D38" t="s">
        <v>77</v>
      </c>
      <c r="E38" s="44">
        <f>SUM($K$39,$I$27:$I$32,$AI$17:$AI$24)*Z28</f>
        <v>124.22506218605774</v>
      </c>
      <c r="F38" s="44">
        <f>SUM($K$39,$I$27:$I$32,$AI$17:$AI$24)*U28</f>
        <v>15.110732141523915</v>
      </c>
      <c r="G38" s="44" t="s">
        <v>32</v>
      </c>
      <c r="H38" s="44" t="s">
        <v>32</v>
      </c>
      <c r="I38" s="44" t="s">
        <v>32</v>
      </c>
      <c r="J38" s="44" t="s">
        <v>32</v>
      </c>
      <c r="K38" s="44" t="s">
        <v>32</v>
      </c>
      <c r="L38" s="44" t="s">
        <v>32</v>
      </c>
      <c r="M38" s="44" t="s">
        <v>32</v>
      </c>
      <c r="AM38" s="14"/>
      <c r="AN38" s="11"/>
      <c r="AO38" s="11"/>
    </row>
    <row r="39" spans="1:41" x14ac:dyDescent="0.25">
      <c r="A39" s="52"/>
      <c r="B39">
        <v>1</v>
      </c>
      <c r="C39" t="s">
        <v>30</v>
      </c>
      <c r="D39" t="s">
        <v>78</v>
      </c>
      <c r="E39" s="44">
        <f>E40*$K$39</f>
        <v>56.465937357298984</v>
      </c>
      <c r="F39" s="44">
        <f>F40*$K$39</f>
        <v>38.698463307495345</v>
      </c>
      <c r="G39" s="44">
        <f t="shared" ref="G39" si="15">G40*$K$39</f>
        <v>33.075609664525935</v>
      </c>
      <c r="H39" s="44" t="s">
        <v>32</v>
      </c>
      <c r="I39" s="44" t="s">
        <v>32</v>
      </c>
      <c r="J39" s="44" t="s">
        <v>32</v>
      </c>
      <c r="K39" s="44">
        <f>SUM(AI17:AI24,I27:I32)/$O$40</f>
        <v>2.3527473898874576E-2</v>
      </c>
      <c r="L39" s="44">
        <f>K39*$W$28</f>
        <v>1.1763736949437288E-4</v>
      </c>
      <c r="M39" s="44">
        <f>M40*$K$39</f>
        <v>0.37643958238199321</v>
      </c>
      <c r="O39" s="26" t="s">
        <v>79</v>
      </c>
      <c r="P39" s="26" t="s">
        <v>139</v>
      </c>
      <c r="Q39" s="26" t="s">
        <v>138</v>
      </c>
      <c r="R39" s="53" t="s">
        <v>56</v>
      </c>
      <c r="S39" s="11" t="s">
        <v>57</v>
      </c>
      <c r="T39" s="12">
        <v>2.6499999999999999E-8</v>
      </c>
      <c r="AM39" s="14"/>
      <c r="AN39" s="11"/>
      <c r="AO39" s="11"/>
    </row>
    <row r="40" spans="1:41" x14ac:dyDescent="0.25">
      <c r="E40" s="27">
        <v>2400</v>
      </c>
      <c r="F40" s="32">
        <f>(($Q$40/100)*(1+$E$40*$E$43)-$W$28)/((1+1/$P$40)*(14*10^-6-$J$43*$Q$40/100))</f>
        <v>1644.8201568017239</v>
      </c>
      <c r="G40" s="32">
        <f>F40/$P$40</f>
        <v>1405.8291938476273</v>
      </c>
      <c r="H40" s="28"/>
      <c r="I40" s="28"/>
      <c r="J40" s="28"/>
      <c r="K40" s="28"/>
      <c r="L40" s="28"/>
      <c r="M40" s="29">
        <v>16</v>
      </c>
      <c r="O40" s="18">
        <v>1.2</v>
      </c>
      <c r="P40" s="18">
        <v>1.17</v>
      </c>
      <c r="Q40" s="18">
        <v>3.5</v>
      </c>
      <c r="R40" s="53"/>
      <c r="S40" s="11" t="s">
        <v>58</v>
      </c>
      <c r="T40" s="11">
        <v>0.106</v>
      </c>
      <c r="AM40" s="14" t="s">
        <v>83</v>
      </c>
      <c r="AN40" s="11"/>
      <c r="AO40" s="11"/>
    </row>
    <row r="41" spans="1:41" x14ac:dyDescent="0.25">
      <c r="F41" s="1"/>
      <c r="R41" s="53"/>
      <c r="S41" s="11" t="s">
        <v>59</v>
      </c>
      <c r="T41" s="11">
        <v>1.28</v>
      </c>
      <c r="AM41" s="15" t="s">
        <v>84</v>
      </c>
      <c r="AN41" s="11"/>
      <c r="AO41" s="11"/>
    </row>
    <row r="42" spans="1:41" x14ac:dyDescent="0.25">
      <c r="D42" s="40" t="s">
        <v>134</v>
      </c>
      <c r="F42" s="1"/>
      <c r="R42" s="53"/>
      <c r="S42" s="11" t="s">
        <v>60</v>
      </c>
      <c r="T42" s="11">
        <v>0.8</v>
      </c>
      <c r="AM42" s="15"/>
      <c r="AN42" s="11"/>
      <c r="AO42" s="11"/>
    </row>
    <row r="43" spans="1:41" x14ac:dyDescent="0.25">
      <c r="D43" s="30" t="s">
        <v>135</v>
      </c>
      <c r="E43" s="30">
        <f xml:space="preserve"> (0.000001*12) / 0.42</f>
        <v>2.8571428571428574E-5</v>
      </c>
      <c r="F43" s="31">
        <f>( 0.000001*14) / 0.145</f>
        <v>9.6551724137931033E-5</v>
      </c>
      <c r="J43" s="31">
        <f>( 0.000001*14) / 0.145</f>
        <v>9.6551724137931033E-5</v>
      </c>
      <c r="R43" s="53"/>
      <c r="S43" s="11" t="s">
        <v>61</v>
      </c>
      <c r="T43" s="11">
        <f>271*3600 * 24 /12</f>
        <v>1951200</v>
      </c>
      <c r="AM43" s="14" t="s">
        <v>85</v>
      </c>
      <c r="AN43" s="11"/>
      <c r="AO43" s="11"/>
    </row>
    <row r="44" spans="1:41" x14ac:dyDescent="0.25">
      <c r="D44" s="30" t="s">
        <v>86</v>
      </c>
      <c r="E44" s="30">
        <f>E38*E43</f>
        <v>3.5492874910302216E-3</v>
      </c>
      <c r="F44" s="31">
        <f>F38*F43</f>
        <v>1.4589672412505849E-3</v>
      </c>
      <c r="R44" s="15"/>
      <c r="S44" s="13" t="s">
        <v>62</v>
      </c>
      <c r="T44" s="11">
        <v>1.557936E-2</v>
      </c>
    </row>
  </sheetData>
  <mergeCells count="6">
    <mergeCell ref="A37:A39"/>
    <mergeCell ref="R39:R43"/>
    <mergeCell ref="AM31:AM35"/>
    <mergeCell ref="A3:A12"/>
    <mergeCell ref="A16:A24"/>
    <mergeCell ref="A26:A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selection activeCell="A22" sqref="A22:XFD22"/>
    </sheetView>
  </sheetViews>
  <sheetFormatPr baseColWidth="10" defaultRowHeight="15" x14ac:dyDescent="0.25"/>
  <cols>
    <col min="18" max="18" width="15.85546875" bestFit="1" customWidth="1"/>
  </cols>
  <sheetData>
    <row r="1" spans="1:21" s="9" customFormat="1" x14ac:dyDescent="0.25">
      <c r="A1" s="9" t="s">
        <v>116</v>
      </c>
    </row>
    <row r="2" spans="1:21" x14ac:dyDescent="0.25">
      <c r="A2" t="s">
        <v>87</v>
      </c>
      <c r="B2" s="33" t="s">
        <v>88</v>
      </c>
      <c r="C2" t="s">
        <v>89</v>
      </c>
      <c r="D2" t="s">
        <v>90</v>
      </c>
      <c r="E2" t="s">
        <v>91</v>
      </c>
      <c r="F2" t="s">
        <v>92</v>
      </c>
      <c r="G2" t="s">
        <v>93</v>
      </c>
      <c r="H2" t="s">
        <v>94</v>
      </c>
      <c r="I2" t="s">
        <v>95</v>
      </c>
      <c r="J2" t="s">
        <v>96</v>
      </c>
      <c r="K2" t="s">
        <v>97</v>
      </c>
      <c r="L2" t="s">
        <v>98</v>
      </c>
      <c r="M2" t="s">
        <v>99</v>
      </c>
      <c r="N2" t="s">
        <v>100</v>
      </c>
      <c r="O2" t="s">
        <v>101</v>
      </c>
      <c r="P2" t="s">
        <v>102</v>
      </c>
      <c r="Q2" t="s">
        <v>103</v>
      </c>
      <c r="R2" t="s">
        <v>104</v>
      </c>
      <c r="S2" t="s">
        <v>105</v>
      </c>
      <c r="T2" t="s">
        <v>106</v>
      </c>
      <c r="U2" t="s">
        <v>107</v>
      </c>
    </row>
    <row r="3" spans="1:21" x14ac:dyDescent="0.25">
      <c r="A3">
        <v>9</v>
      </c>
      <c r="B3" s="34">
        <v>38778</v>
      </c>
      <c r="C3">
        <v>560.5</v>
      </c>
      <c r="D3" t="s">
        <v>108</v>
      </c>
      <c r="E3" t="s">
        <v>109</v>
      </c>
      <c r="F3" t="s">
        <v>110</v>
      </c>
      <c r="G3">
        <v>13</v>
      </c>
      <c r="H3" t="s">
        <v>111</v>
      </c>
      <c r="I3">
        <v>0</v>
      </c>
      <c r="J3" t="s">
        <v>112</v>
      </c>
      <c r="K3">
        <v>0.1222</v>
      </c>
      <c r="L3" t="s">
        <v>112</v>
      </c>
      <c r="M3" t="s">
        <v>112</v>
      </c>
      <c r="N3">
        <v>1048.3494685029141</v>
      </c>
      <c r="O3" t="s">
        <v>112</v>
      </c>
      <c r="P3" t="s">
        <v>112</v>
      </c>
      <c r="Q3">
        <v>4.5149959061800562</v>
      </c>
      <c r="S3" t="s">
        <v>112</v>
      </c>
      <c r="T3">
        <v>5.2628681209053259</v>
      </c>
      <c r="U3" t="s">
        <v>112</v>
      </c>
    </row>
    <row r="4" spans="1:21" x14ac:dyDescent="0.25">
      <c r="A4">
        <v>9</v>
      </c>
      <c r="B4" s="34">
        <v>38778</v>
      </c>
      <c r="C4">
        <v>560.5</v>
      </c>
      <c r="D4" t="s">
        <v>108</v>
      </c>
      <c r="E4" t="s">
        <v>109</v>
      </c>
      <c r="F4" t="s">
        <v>110</v>
      </c>
      <c r="G4">
        <v>13</v>
      </c>
      <c r="H4" t="s">
        <v>111</v>
      </c>
      <c r="I4">
        <v>1</v>
      </c>
      <c r="J4">
        <v>2.9239999999999999E-2</v>
      </c>
      <c r="K4" t="s">
        <v>112</v>
      </c>
      <c r="L4" t="s">
        <v>112</v>
      </c>
      <c r="M4">
        <v>711.56859999999995</v>
      </c>
      <c r="O4" t="s">
        <v>112</v>
      </c>
      <c r="P4">
        <v>3.4486828505757954</v>
      </c>
      <c r="Q4" t="s">
        <v>112</v>
      </c>
      <c r="S4">
        <v>1.4171435691630612</v>
      </c>
      <c r="T4" t="s">
        <v>112</v>
      </c>
      <c r="U4" t="s">
        <v>112</v>
      </c>
    </row>
    <row r="5" spans="1:21" x14ac:dyDescent="0.25">
      <c r="A5">
        <v>9</v>
      </c>
      <c r="B5" s="34">
        <v>38778</v>
      </c>
      <c r="C5">
        <v>560.5</v>
      </c>
      <c r="D5" t="s">
        <v>108</v>
      </c>
      <c r="E5" t="s">
        <v>109</v>
      </c>
      <c r="F5" t="s">
        <v>110</v>
      </c>
      <c r="G5">
        <v>13</v>
      </c>
      <c r="H5" t="s">
        <v>111</v>
      </c>
      <c r="I5">
        <v>2</v>
      </c>
      <c r="J5">
        <v>4.7030000000000002E-2</v>
      </c>
      <c r="K5" t="s">
        <v>112</v>
      </c>
      <c r="L5" t="s">
        <v>112</v>
      </c>
      <c r="M5">
        <v>971.88424000000009</v>
      </c>
      <c r="O5" t="s">
        <v>112</v>
      </c>
      <c r="P5">
        <v>3.8437093539165703</v>
      </c>
      <c r="Q5" t="s">
        <v>112</v>
      </c>
      <c r="S5">
        <v>1.8599915861861933</v>
      </c>
      <c r="T5" t="s">
        <v>112</v>
      </c>
      <c r="U5" t="s">
        <v>112</v>
      </c>
    </row>
    <row r="6" spans="1:21" x14ac:dyDescent="0.25">
      <c r="A6">
        <v>9</v>
      </c>
      <c r="B6" s="34">
        <v>38778</v>
      </c>
      <c r="C6">
        <v>560.5</v>
      </c>
      <c r="D6" t="s">
        <v>108</v>
      </c>
      <c r="E6" t="s">
        <v>109</v>
      </c>
      <c r="F6" t="s">
        <v>110</v>
      </c>
      <c r="G6">
        <v>13</v>
      </c>
      <c r="H6" t="s">
        <v>111</v>
      </c>
      <c r="I6">
        <v>3</v>
      </c>
      <c r="J6">
        <v>6.4000000000000001E-2</v>
      </c>
      <c r="K6" t="s">
        <v>112</v>
      </c>
      <c r="L6" t="s">
        <v>112</v>
      </c>
      <c r="M6">
        <v>1284.3416999999999</v>
      </c>
      <c r="O6" t="s">
        <v>112</v>
      </c>
      <c r="Q6" t="s">
        <v>112</v>
      </c>
      <c r="S6" t="s">
        <v>112</v>
      </c>
      <c r="T6" t="s">
        <v>112</v>
      </c>
      <c r="U6" t="s">
        <v>112</v>
      </c>
    </row>
    <row r="7" spans="1:21" x14ac:dyDescent="0.25">
      <c r="A7">
        <v>9</v>
      </c>
      <c r="B7" s="34">
        <v>38778</v>
      </c>
      <c r="C7">
        <v>560.5</v>
      </c>
      <c r="D7" t="s">
        <v>108</v>
      </c>
      <c r="E7" t="s">
        <v>109</v>
      </c>
      <c r="F7" t="s">
        <v>110</v>
      </c>
      <c r="G7">
        <v>13</v>
      </c>
      <c r="H7" t="s">
        <v>111</v>
      </c>
      <c r="I7">
        <v>4</v>
      </c>
      <c r="J7">
        <v>7.2099999999999997E-2</v>
      </c>
      <c r="K7" t="s">
        <v>112</v>
      </c>
      <c r="L7" t="s">
        <v>112</v>
      </c>
      <c r="M7">
        <v>1413.0789</v>
      </c>
      <c r="O7" t="s">
        <v>112</v>
      </c>
      <c r="P7">
        <v>5.2033840646377376</v>
      </c>
      <c r="Q7" t="s">
        <v>112</v>
      </c>
      <c r="S7">
        <v>2.6549401527429275</v>
      </c>
      <c r="T7" t="s">
        <v>112</v>
      </c>
      <c r="U7" t="s">
        <v>112</v>
      </c>
    </row>
    <row r="8" spans="1:21" x14ac:dyDescent="0.25">
      <c r="A8">
        <v>9</v>
      </c>
      <c r="B8" s="34">
        <v>38778</v>
      </c>
      <c r="C8">
        <v>560.5</v>
      </c>
      <c r="D8" t="s">
        <v>108</v>
      </c>
      <c r="E8" t="s">
        <v>109</v>
      </c>
      <c r="F8" t="s">
        <v>110</v>
      </c>
      <c r="G8">
        <v>15</v>
      </c>
      <c r="H8" t="s">
        <v>111</v>
      </c>
      <c r="I8">
        <v>0</v>
      </c>
      <c r="J8" t="s">
        <v>112</v>
      </c>
      <c r="K8">
        <v>0.13350000000000001</v>
      </c>
      <c r="L8" t="s">
        <v>112</v>
      </c>
      <c r="M8" t="s">
        <v>112</v>
      </c>
      <c r="N8">
        <v>1048.3494685029141</v>
      </c>
      <c r="O8" t="s">
        <v>112</v>
      </c>
      <c r="P8" t="s">
        <v>112</v>
      </c>
      <c r="Q8">
        <v>3.8042527967534845</v>
      </c>
      <c r="S8" t="s">
        <v>112</v>
      </c>
      <c r="T8">
        <v>4.8444508594242537</v>
      </c>
      <c r="U8" t="s">
        <v>112</v>
      </c>
    </row>
    <row r="9" spans="1:21" x14ac:dyDescent="0.25">
      <c r="A9">
        <v>9</v>
      </c>
      <c r="B9" s="34">
        <v>38778</v>
      </c>
      <c r="C9">
        <v>560.5</v>
      </c>
      <c r="D9" t="s">
        <v>108</v>
      </c>
      <c r="E9" t="s">
        <v>109</v>
      </c>
      <c r="F9" t="s">
        <v>110</v>
      </c>
      <c r="G9">
        <v>15</v>
      </c>
      <c r="H9" t="s">
        <v>111</v>
      </c>
      <c r="I9">
        <v>1</v>
      </c>
      <c r="J9">
        <v>3.9489999999999997E-2</v>
      </c>
      <c r="K9" t="s">
        <v>112</v>
      </c>
      <c r="L9" t="s">
        <v>112</v>
      </c>
      <c r="M9">
        <v>886.39970000000005</v>
      </c>
      <c r="O9" t="s">
        <v>112</v>
      </c>
      <c r="P9">
        <v>3.2939067464694229</v>
      </c>
      <c r="Q9" t="s">
        <v>112</v>
      </c>
      <c r="S9">
        <v>1.4674686534537129</v>
      </c>
      <c r="T9" t="s">
        <v>112</v>
      </c>
      <c r="U9" t="s">
        <v>112</v>
      </c>
    </row>
    <row r="10" spans="1:21" x14ac:dyDescent="0.25">
      <c r="A10">
        <v>9</v>
      </c>
      <c r="B10" s="34">
        <v>38778</v>
      </c>
      <c r="C10">
        <v>560.5</v>
      </c>
      <c r="D10" t="s">
        <v>108</v>
      </c>
      <c r="E10" t="s">
        <v>109</v>
      </c>
      <c r="F10" t="s">
        <v>110</v>
      </c>
      <c r="G10">
        <v>15</v>
      </c>
      <c r="H10" t="s">
        <v>111</v>
      </c>
      <c r="I10">
        <v>2</v>
      </c>
      <c r="J10">
        <v>5.9129999999999995E-2</v>
      </c>
      <c r="K10" t="s">
        <v>112</v>
      </c>
      <c r="L10" t="s">
        <v>112</v>
      </c>
      <c r="M10">
        <v>1308.4568000000002</v>
      </c>
      <c r="O10" t="s">
        <v>112</v>
      </c>
      <c r="P10">
        <v>4.0880429117045445</v>
      </c>
      <c r="Q10" t="s">
        <v>112</v>
      </c>
      <c r="S10">
        <v>1.8474127488892995</v>
      </c>
      <c r="T10" t="s">
        <v>112</v>
      </c>
      <c r="U10" t="s">
        <v>112</v>
      </c>
    </row>
    <row r="11" spans="1:21" x14ac:dyDescent="0.25">
      <c r="A11">
        <v>9</v>
      </c>
      <c r="B11" s="34">
        <v>38778</v>
      </c>
      <c r="C11">
        <v>560.5</v>
      </c>
      <c r="D11" t="s">
        <v>108</v>
      </c>
      <c r="E11" t="s">
        <v>109</v>
      </c>
      <c r="F11" t="s">
        <v>110</v>
      </c>
      <c r="G11">
        <v>15</v>
      </c>
      <c r="H11" t="s">
        <v>111</v>
      </c>
      <c r="I11">
        <v>3</v>
      </c>
      <c r="J11">
        <v>7.2749999999999995E-2</v>
      </c>
      <c r="K11" t="s">
        <v>112</v>
      </c>
      <c r="L11" t="s">
        <v>112</v>
      </c>
      <c r="M11">
        <v>1424.8432700000001</v>
      </c>
      <c r="O11" t="s">
        <v>112</v>
      </c>
      <c r="Q11" t="s">
        <v>112</v>
      </c>
      <c r="S11" t="s">
        <v>112</v>
      </c>
      <c r="T11" t="s">
        <v>112</v>
      </c>
      <c r="U11" t="s">
        <v>112</v>
      </c>
    </row>
    <row r="12" spans="1:21" x14ac:dyDescent="0.25">
      <c r="A12">
        <v>9</v>
      </c>
      <c r="B12" s="34">
        <v>38778</v>
      </c>
      <c r="C12">
        <v>560.5</v>
      </c>
      <c r="D12" t="s">
        <v>108</v>
      </c>
      <c r="E12" t="s">
        <v>109</v>
      </c>
      <c r="F12" t="s">
        <v>110</v>
      </c>
      <c r="G12">
        <v>15</v>
      </c>
      <c r="H12" t="s">
        <v>111</v>
      </c>
      <c r="I12">
        <v>4</v>
      </c>
      <c r="J12">
        <v>6.9199999999999998E-2</v>
      </c>
      <c r="K12" t="s">
        <v>112</v>
      </c>
      <c r="L12" t="s">
        <v>112</v>
      </c>
      <c r="M12">
        <v>1375.0716999999997</v>
      </c>
      <c r="O12" t="s">
        <v>112</v>
      </c>
      <c r="P12">
        <v>5.4102365362519462</v>
      </c>
      <c r="Q12" t="s">
        <v>112</v>
      </c>
      <c r="S12">
        <v>2.7226825212724162</v>
      </c>
      <c r="T12" t="s">
        <v>112</v>
      </c>
      <c r="U12" t="s">
        <v>112</v>
      </c>
    </row>
    <row r="13" spans="1:21" x14ac:dyDescent="0.25">
      <c r="A13">
        <v>9</v>
      </c>
      <c r="B13" s="34">
        <v>38778</v>
      </c>
      <c r="C13">
        <v>560.5</v>
      </c>
      <c r="D13" t="s">
        <v>108</v>
      </c>
      <c r="E13" t="s">
        <v>109</v>
      </c>
      <c r="F13" t="s">
        <v>110</v>
      </c>
      <c r="G13">
        <v>18</v>
      </c>
      <c r="H13" t="s">
        <v>111</v>
      </c>
      <c r="I13">
        <v>0</v>
      </c>
      <c r="J13" t="s">
        <v>112</v>
      </c>
      <c r="K13">
        <v>0.1295</v>
      </c>
      <c r="L13" t="s">
        <v>112</v>
      </c>
      <c r="M13" t="s">
        <v>112</v>
      </c>
      <c r="N13">
        <v>1048.3494685029141</v>
      </c>
      <c r="O13" t="s">
        <v>112</v>
      </c>
      <c r="P13" t="s">
        <v>112</v>
      </c>
      <c r="Q13">
        <v>4.2281222780031662</v>
      </c>
      <c r="S13" t="s">
        <v>112</v>
      </c>
      <c r="T13">
        <v>5.222894191793908</v>
      </c>
      <c r="U13" t="s">
        <v>112</v>
      </c>
    </row>
    <row r="14" spans="1:21" x14ac:dyDescent="0.25">
      <c r="A14">
        <v>9</v>
      </c>
      <c r="B14" s="34">
        <v>38778</v>
      </c>
      <c r="C14">
        <v>560.5</v>
      </c>
      <c r="D14" t="s">
        <v>108</v>
      </c>
      <c r="E14" t="s">
        <v>109</v>
      </c>
      <c r="F14" t="s">
        <v>110</v>
      </c>
      <c r="G14">
        <v>18</v>
      </c>
      <c r="H14" t="s">
        <v>111</v>
      </c>
      <c r="I14">
        <v>1</v>
      </c>
      <c r="J14">
        <v>2.8170000000000001E-2</v>
      </c>
      <c r="K14" t="s">
        <v>112</v>
      </c>
      <c r="L14" t="s">
        <v>112</v>
      </c>
      <c r="M14">
        <v>707.21</v>
      </c>
      <c r="O14" t="s">
        <v>112</v>
      </c>
      <c r="P14">
        <v>3.5123305469386961</v>
      </c>
      <c r="Q14" t="s">
        <v>112</v>
      </c>
      <c r="S14">
        <v>1.3990519295154631</v>
      </c>
      <c r="T14" t="s">
        <v>112</v>
      </c>
      <c r="U14" t="s">
        <v>112</v>
      </c>
    </row>
    <row r="15" spans="1:21" x14ac:dyDescent="0.25">
      <c r="A15">
        <v>9</v>
      </c>
      <c r="B15" s="34">
        <v>38778</v>
      </c>
      <c r="C15">
        <v>560.5</v>
      </c>
      <c r="D15" t="s">
        <v>108</v>
      </c>
      <c r="E15" t="s">
        <v>109</v>
      </c>
      <c r="F15" t="s">
        <v>110</v>
      </c>
      <c r="G15">
        <v>18</v>
      </c>
      <c r="H15" t="s">
        <v>111</v>
      </c>
      <c r="I15">
        <v>2</v>
      </c>
      <c r="J15">
        <v>4.6429999999999992E-2</v>
      </c>
      <c r="K15" t="s">
        <v>112</v>
      </c>
      <c r="L15" t="s">
        <v>112</v>
      </c>
      <c r="M15">
        <v>1180.7425600000001</v>
      </c>
      <c r="O15" t="s">
        <v>112</v>
      </c>
      <c r="P15">
        <v>4.4818314971899937</v>
      </c>
      <c r="Q15" t="s">
        <v>112</v>
      </c>
      <c r="S15">
        <v>1.7623777058949357</v>
      </c>
      <c r="T15" t="s">
        <v>112</v>
      </c>
      <c r="U15" t="s">
        <v>112</v>
      </c>
    </row>
    <row r="16" spans="1:21" x14ac:dyDescent="0.25">
      <c r="A16">
        <v>9</v>
      </c>
      <c r="B16" s="34">
        <v>38778</v>
      </c>
      <c r="C16">
        <v>560.5</v>
      </c>
      <c r="D16" t="s">
        <v>108</v>
      </c>
      <c r="E16" t="s">
        <v>109</v>
      </c>
      <c r="F16" t="s">
        <v>110</v>
      </c>
      <c r="G16">
        <v>18</v>
      </c>
      <c r="H16" t="s">
        <v>111</v>
      </c>
      <c r="I16">
        <v>3</v>
      </c>
      <c r="J16">
        <v>6.2600000000000003E-2</v>
      </c>
      <c r="K16" t="s">
        <v>112</v>
      </c>
      <c r="L16" t="s">
        <v>112</v>
      </c>
      <c r="M16">
        <v>1391.5812000000001</v>
      </c>
      <c r="O16" t="s">
        <v>112</v>
      </c>
      <c r="P16">
        <v>5.254109400234233</v>
      </c>
      <c r="Q16" t="s">
        <v>112</v>
      </c>
      <c r="S16">
        <v>2.3635505312565521</v>
      </c>
      <c r="T16" t="s">
        <v>112</v>
      </c>
      <c r="U16" t="s">
        <v>112</v>
      </c>
    </row>
    <row r="17" spans="1:21" x14ac:dyDescent="0.25">
      <c r="A17">
        <v>9</v>
      </c>
      <c r="B17" s="34">
        <v>38778</v>
      </c>
      <c r="C17">
        <v>560.5</v>
      </c>
      <c r="D17" t="s">
        <v>108</v>
      </c>
      <c r="E17" t="s">
        <v>109</v>
      </c>
      <c r="F17" t="s">
        <v>110</v>
      </c>
      <c r="G17">
        <v>18</v>
      </c>
      <c r="H17" t="s">
        <v>111</v>
      </c>
      <c r="I17">
        <v>4</v>
      </c>
      <c r="J17">
        <v>7.1400000000000005E-2</v>
      </c>
      <c r="K17" t="s">
        <v>112</v>
      </c>
      <c r="L17" t="s">
        <v>112</v>
      </c>
      <c r="M17">
        <v>1523.9175999999998</v>
      </c>
      <c r="O17" t="s">
        <v>112</v>
      </c>
      <c r="P17">
        <v>5.7779741075223594</v>
      </c>
      <c r="Q17" t="s">
        <v>112</v>
      </c>
      <c r="S17">
        <v>2.707149988143037</v>
      </c>
      <c r="T17" t="s">
        <v>112</v>
      </c>
      <c r="U17" t="s">
        <v>112</v>
      </c>
    </row>
    <row r="19" spans="1:21" x14ac:dyDescent="0.25">
      <c r="I19" s="35" t="s">
        <v>114</v>
      </c>
      <c r="J19" s="36">
        <f>SUM(J3:K17)</f>
        <v>1.04674</v>
      </c>
    </row>
    <row r="20" spans="1:21" x14ac:dyDescent="0.25">
      <c r="I20" s="37" t="s">
        <v>115</v>
      </c>
      <c r="J20" s="38">
        <f>(SUMPRODUCT(P3:P17,J3:J17)+SUMPRODUCT(K3:K17,Q3:Q17))/J19</f>
        <v>3.8773662250209906</v>
      </c>
    </row>
    <row r="22" spans="1:21" s="39" customFormat="1" x14ac:dyDescent="0.25">
      <c r="A22" s="9" t="s">
        <v>117</v>
      </c>
    </row>
    <row r="24" spans="1:21" x14ac:dyDescent="0.25">
      <c r="A24" t="s">
        <v>118</v>
      </c>
      <c r="D24" t="s">
        <v>120</v>
      </c>
    </row>
    <row r="25" spans="1:21" x14ac:dyDescent="0.25">
      <c r="A25" t="s">
        <v>119</v>
      </c>
      <c r="D25" t="s">
        <v>121</v>
      </c>
    </row>
    <row r="28" spans="1:21" x14ac:dyDescent="0.25">
      <c r="B28" t="s">
        <v>114</v>
      </c>
      <c r="C28">
        <v>0.4</v>
      </c>
    </row>
    <row r="29" spans="1:21" x14ac:dyDescent="0.25">
      <c r="B29" t="s">
        <v>123</v>
      </c>
      <c r="C29">
        <v>0.18</v>
      </c>
    </row>
    <row r="30" spans="1:21" x14ac:dyDescent="0.25">
      <c r="B30" t="s">
        <v>115</v>
      </c>
      <c r="C30">
        <v>4</v>
      </c>
    </row>
    <row r="31" spans="1:21" x14ac:dyDescent="0.25">
      <c r="B31" t="s">
        <v>122</v>
      </c>
      <c r="C31">
        <v>3</v>
      </c>
    </row>
    <row r="34" spans="1:6" s="39" customFormat="1" x14ac:dyDescent="0.25">
      <c r="A34" s="9" t="s">
        <v>124</v>
      </c>
    </row>
    <row r="36" spans="1:6" x14ac:dyDescent="0.25">
      <c r="A36" t="s">
        <v>125</v>
      </c>
    </row>
    <row r="38" spans="1:6" x14ac:dyDescent="0.25">
      <c r="B38" t="s">
        <v>113</v>
      </c>
      <c r="C38">
        <v>1</v>
      </c>
      <c r="D38" t="s">
        <v>126</v>
      </c>
      <c r="E38">
        <f>C38*10^6/(250*10000)</f>
        <v>0.4</v>
      </c>
      <c r="F38" t="s">
        <v>129</v>
      </c>
    </row>
    <row r="39" spans="1:6" x14ac:dyDescent="0.25">
      <c r="B39" t="s">
        <v>115</v>
      </c>
      <c r="C39">
        <v>4.4000000000000004</v>
      </c>
      <c r="E39" t="s">
        <v>127</v>
      </c>
    </row>
    <row r="41" spans="1:6" x14ac:dyDescent="0.25">
      <c r="A41" t="s">
        <v>128</v>
      </c>
    </row>
    <row r="44" spans="1:6" s="39" customFormat="1" x14ac:dyDescent="0.25">
      <c r="A44" s="9" t="s">
        <v>131</v>
      </c>
    </row>
    <row r="46" spans="1:6" x14ac:dyDescent="0.25">
      <c r="A46" t="s">
        <v>132</v>
      </c>
    </row>
    <row r="48" spans="1:6" x14ac:dyDescent="0.25">
      <c r="B48" t="s">
        <v>114</v>
      </c>
      <c r="C48">
        <v>0.05</v>
      </c>
      <c r="D48" t="s">
        <v>133</v>
      </c>
    </row>
    <row r="49" spans="2:3" x14ac:dyDescent="0.25">
      <c r="B49" t="s">
        <v>123</v>
      </c>
      <c r="C49">
        <v>0.04</v>
      </c>
    </row>
    <row r="50" spans="2:3" x14ac:dyDescent="0.25">
      <c r="B50" t="s">
        <v>115</v>
      </c>
      <c r="C50">
        <v>5</v>
      </c>
    </row>
    <row r="51" spans="2:3" x14ac:dyDescent="0.25">
      <c r="B51" t="s">
        <v>122</v>
      </c>
      <c r="C51">
        <v>2.8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18" sqref="A18"/>
    </sheetView>
  </sheetViews>
  <sheetFormatPr baseColWidth="10" defaultRowHeight="15" x14ac:dyDescent="0.25"/>
  <sheetData>
    <row r="1" spans="1:12" s="47" customFormat="1" x14ac:dyDescent="0.25">
      <c r="A1" s="46" t="s">
        <v>130</v>
      </c>
    </row>
    <row r="3" spans="1:12" s="39" customFormat="1" x14ac:dyDescent="0.25">
      <c r="A3" s="9" t="s">
        <v>131</v>
      </c>
    </row>
    <row r="4" spans="1:12" x14ac:dyDescent="0.25">
      <c r="A4" t="s">
        <v>140</v>
      </c>
    </row>
    <row r="8" spans="1:12" s="39" customFormat="1" x14ac:dyDescent="0.25">
      <c r="A8" s="9" t="s">
        <v>141</v>
      </c>
    </row>
    <row r="9" spans="1:12" x14ac:dyDescent="0.25">
      <c r="A9" t="s">
        <v>142</v>
      </c>
      <c r="G9" t="s">
        <v>153</v>
      </c>
      <c r="K9">
        <v>1</v>
      </c>
      <c r="L9" t="s">
        <v>154</v>
      </c>
    </row>
    <row r="10" spans="1:12" x14ac:dyDescent="0.25">
      <c r="G10">
        <v>14</v>
      </c>
      <c r="K10">
        <f>0.1</f>
        <v>0.1</v>
      </c>
      <c r="L10" t="s">
        <v>155</v>
      </c>
    </row>
    <row r="11" spans="1:12" x14ac:dyDescent="0.25">
      <c r="D11" t="s">
        <v>147</v>
      </c>
      <c r="E11" t="s">
        <v>156</v>
      </c>
      <c r="K11">
        <f>K10*0.8</f>
        <v>8.0000000000000016E-2</v>
      </c>
      <c r="L11" t="s">
        <v>27</v>
      </c>
    </row>
    <row r="12" spans="1:12" x14ac:dyDescent="0.25">
      <c r="A12" t="s">
        <v>144</v>
      </c>
      <c r="B12">
        <v>70</v>
      </c>
      <c r="C12" t="s">
        <v>145</v>
      </c>
      <c r="D12">
        <f>B12*$G$20/$G$10*10^3</f>
        <v>755</v>
      </c>
      <c r="E12">
        <f>D12/K10</f>
        <v>7550</v>
      </c>
      <c r="G12" t="s">
        <v>148</v>
      </c>
    </row>
    <row r="13" spans="1:12" x14ac:dyDescent="0.25">
      <c r="A13" t="s">
        <v>143</v>
      </c>
      <c r="B13">
        <v>40</v>
      </c>
      <c r="C13" t="s">
        <v>146</v>
      </c>
      <c r="D13">
        <f>B13*$G$16</f>
        <v>50</v>
      </c>
      <c r="E13">
        <f>D13/K11</f>
        <v>624.99999999999989</v>
      </c>
      <c r="G13">
        <v>129.75</v>
      </c>
      <c r="H13" t="s">
        <v>149</v>
      </c>
    </row>
    <row r="15" spans="1:12" s="48" customFormat="1" ht="30" x14ac:dyDescent="0.25">
      <c r="C15" s="49" t="s">
        <v>136</v>
      </c>
      <c r="D15" s="50">
        <f>D13/D12</f>
        <v>6.6225165562913912E-2</v>
      </c>
      <c r="G15" s="48" t="s">
        <v>150</v>
      </c>
    </row>
    <row r="16" spans="1:12" x14ac:dyDescent="0.25">
      <c r="G16">
        <v>1.25</v>
      </c>
    </row>
    <row r="17" spans="1:7" x14ac:dyDescent="0.25">
      <c r="A17" s="51" t="s">
        <v>157</v>
      </c>
    </row>
    <row r="18" spans="1:7" x14ac:dyDescent="0.25">
      <c r="G18" s="45" t="s">
        <v>151</v>
      </c>
    </row>
    <row r="19" spans="1:7" x14ac:dyDescent="0.25">
      <c r="G19" s="45" t="s">
        <v>152</v>
      </c>
    </row>
    <row r="20" spans="1:7" x14ac:dyDescent="0.25">
      <c r="G20">
        <v>0.151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N content</vt:lpstr>
      <vt:lpstr>Conc Shoot</vt:lpstr>
    </vt:vector>
  </TitlesOfParts>
  <Company>INRA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mngauthier</dc:creator>
  <cp:lastModifiedBy>mngauthier</cp:lastModifiedBy>
  <dcterms:created xsi:type="dcterms:W3CDTF">2018-08-23T07:17:26Z</dcterms:created>
  <dcterms:modified xsi:type="dcterms:W3CDTF">2018-10-01T15:19:09Z</dcterms:modified>
</cp:coreProperties>
</file>