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example\Scenarii_monoculms\inputs\"/>
    </mc:Choice>
  </mc:AlternateContent>
  <bookViews>
    <workbookView xWindow="0" yWindow="0" windowWidth="20490" windowHeight="7320"/>
  </bookViews>
  <sheets>
    <sheet name="INPUTS" sheetId="15" r:id="rId1"/>
    <sheet name="Fit leaf_L" sheetId="2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6" i="15" l="1"/>
  <c r="AS7" i="15"/>
  <c r="AS8" i="15"/>
  <c r="AS9" i="15"/>
  <c r="AS10" i="15"/>
  <c r="AS11" i="15"/>
  <c r="AS12" i="15"/>
  <c r="AS5" i="15"/>
  <c r="BF8" i="15" l="1"/>
  <c r="D7" i="21"/>
  <c r="D8" i="21"/>
  <c r="D9" i="21"/>
  <c r="D10" i="21"/>
  <c r="D11" i="21"/>
  <c r="D6" i="21"/>
  <c r="C7" i="21"/>
  <c r="C8" i="21"/>
  <c r="C9" i="21"/>
  <c r="C10" i="21"/>
  <c r="C11" i="21"/>
  <c r="C6" i="21"/>
  <c r="G19" i="15" l="1"/>
  <c r="G17" i="15" l="1"/>
  <c r="G18" i="15"/>
  <c r="AB16" i="15"/>
  <c r="E28" i="15" s="1"/>
  <c r="AA18" i="15"/>
  <c r="G16" i="15" l="1"/>
  <c r="G15" i="15" l="1"/>
  <c r="BA6" i="15" l="1"/>
  <c r="BA7" i="15"/>
  <c r="BA8" i="15"/>
  <c r="BA9" i="15"/>
  <c r="BA10" i="15"/>
  <c r="BA11" i="15"/>
  <c r="BA12" i="15"/>
  <c r="BA5" i="15"/>
  <c r="AW15" i="15"/>
  <c r="AA16" i="15" l="1"/>
  <c r="AA17" i="15"/>
  <c r="AA19" i="15"/>
  <c r="AA20" i="15"/>
  <c r="AA15" i="15"/>
  <c r="AV15" i="15"/>
  <c r="T31" i="15"/>
  <c r="J31" i="15"/>
  <c r="G31" i="15"/>
  <c r="F31" i="15"/>
  <c r="E31" i="15"/>
  <c r="BA25" i="15"/>
  <c r="BB23" i="15"/>
  <c r="J20" i="15"/>
  <c r="J19" i="15"/>
  <c r="K19" i="15" s="1"/>
  <c r="J18" i="15"/>
  <c r="J17" i="15"/>
  <c r="AX16" i="15"/>
  <c r="J16" i="15"/>
  <c r="O16" i="15" s="1"/>
  <c r="J15" i="15"/>
  <c r="BH12" i="15"/>
  <c r="BF12" i="15"/>
  <c r="AI12" i="15" s="1"/>
  <c r="AL12" i="15" s="1"/>
  <c r="BC12" i="15"/>
  <c r="AM12" i="15"/>
  <c r="BH11" i="15"/>
  <c r="BF11" i="15"/>
  <c r="AI11" i="15" s="1"/>
  <c r="BC11" i="15"/>
  <c r="AM11" i="15"/>
  <c r="BH10" i="15"/>
  <c r="BF10" i="15"/>
  <c r="AI10" i="15" s="1"/>
  <c r="AK10" i="15" s="1"/>
  <c r="BC10" i="15"/>
  <c r="AM10" i="15"/>
  <c r="BH9" i="15"/>
  <c r="BF9" i="15"/>
  <c r="AI9" i="15" s="1"/>
  <c r="AK9" i="15" s="1"/>
  <c r="BC9" i="15"/>
  <c r="AM9" i="15"/>
  <c r="BH8" i="15"/>
  <c r="AI8" i="15"/>
  <c r="AK8" i="15" s="1"/>
  <c r="AG8" i="15" s="1"/>
  <c r="BC8" i="15"/>
  <c r="AM8" i="15"/>
  <c r="BH7" i="15"/>
  <c r="BF7" i="15"/>
  <c r="BC7" i="15"/>
  <c r="AM7" i="15"/>
  <c r="BH6" i="15"/>
  <c r="AJ6" i="15" s="1"/>
  <c r="AM6" i="15" s="1"/>
  <c r="BF6" i="15"/>
  <c r="AI6" i="15" s="1"/>
  <c r="AK6" i="15" s="1"/>
  <c r="AG6" i="15" s="1"/>
  <c r="BH5" i="15"/>
  <c r="AJ5" i="15" s="1"/>
  <c r="AM5" i="15" s="1"/>
  <c r="BF5" i="15"/>
  <c r="J5" i="15"/>
  <c r="K5" i="15" s="1"/>
  <c r="G5" i="15"/>
  <c r="E2" i="15"/>
  <c r="E5" i="15" s="1"/>
  <c r="W5" i="15" s="1"/>
  <c r="N19" i="15" l="1"/>
  <c r="AI7" i="15"/>
  <c r="AK7" i="15" s="1"/>
  <c r="O20" i="15"/>
  <c r="N17" i="15"/>
  <c r="W16" i="15"/>
  <c r="X16" i="15" s="1"/>
  <c r="R16" i="15" s="1"/>
  <c r="W20" i="15"/>
  <c r="X20" i="15" s="1"/>
  <c r="AE9" i="15"/>
  <c r="AG9" i="15"/>
  <c r="AX6" i="15"/>
  <c r="AX9" i="15"/>
  <c r="AX7" i="15"/>
  <c r="AX8" i="15"/>
  <c r="AX10" i="15"/>
  <c r="AX11" i="15"/>
  <c r="AX12" i="15"/>
  <c r="AX5" i="15"/>
  <c r="N15" i="15"/>
  <c r="AE10" i="15"/>
  <c r="AG10" i="15"/>
  <c r="O18" i="15"/>
  <c r="N18" i="15"/>
  <c r="W15" i="15"/>
  <c r="X15" i="15" s="1"/>
  <c r="O19" i="15"/>
  <c r="AN12" i="15"/>
  <c r="N16" i="15"/>
  <c r="E8" i="15"/>
  <c r="W8" i="15" s="1"/>
  <c r="E6" i="15"/>
  <c r="W6" i="15" s="1"/>
  <c r="E9" i="15"/>
  <c r="W9" i="15" s="1"/>
  <c r="AL9" i="15"/>
  <c r="AN9" i="15" s="1"/>
  <c r="E11" i="15"/>
  <c r="W11" i="15" s="1"/>
  <c r="N20" i="15"/>
  <c r="E7" i="15"/>
  <c r="W7" i="15" s="1"/>
  <c r="W18" i="15"/>
  <c r="X18" i="15" s="1"/>
  <c r="R18" i="15" s="1"/>
  <c r="AX15" i="15"/>
  <c r="AE8" i="15"/>
  <c r="AE6" i="15"/>
  <c r="BC5" i="15"/>
  <c r="J6" i="15"/>
  <c r="BD5" i="15"/>
  <c r="AL11" i="15"/>
  <c r="AN11" i="15" s="1"/>
  <c r="AK11" i="15"/>
  <c r="AG11" i="15" s="1"/>
  <c r="W17" i="15"/>
  <c r="X17" i="15" s="1"/>
  <c r="K15" i="15"/>
  <c r="K20" i="15"/>
  <c r="AL6" i="15"/>
  <c r="AN6" i="15" s="1"/>
  <c r="AL8" i="15"/>
  <c r="AN8" i="15" s="1"/>
  <c r="E10" i="15"/>
  <c r="W10" i="15" s="1"/>
  <c r="AL10" i="15"/>
  <c r="AN10" i="15" s="1"/>
  <c r="E12" i="15"/>
  <c r="W12" i="15" s="1"/>
  <c r="O15" i="15"/>
  <c r="K16" i="15"/>
  <c r="O17" i="15"/>
  <c r="K18" i="15"/>
  <c r="W19" i="15"/>
  <c r="M20" i="15"/>
  <c r="K17" i="15"/>
  <c r="AK12" i="15"/>
  <c r="AG12" i="15" s="1"/>
  <c r="M16" i="15" l="1"/>
  <c r="AG7" i="15"/>
  <c r="AE7" i="15"/>
  <c r="AL7" i="15"/>
  <c r="AN7" i="15" s="1"/>
  <c r="L16" i="15"/>
  <c r="L20" i="15"/>
  <c r="AD20" i="15" s="1"/>
  <c r="AE20" i="15" s="1"/>
  <c r="M18" i="15"/>
  <c r="L15" i="15"/>
  <c r="M15" i="15"/>
  <c r="L18" i="15"/>
  <c r="BE5" i="15"/>
  <c r="AI5" i="15" s="1"/>
  <c r="AK5" i="15" s="1"/>
  <c r="AG5" i="15" s="1"/>
  <c r="AE12" i="15"/>
  <c r="AE11" i="15"/>
  <c r="AD16" i="15"/>
  <c r="AE16" i="15" s="1"/>
  <c r="AY5" i="15"/>
  <c r="AY9" i="15"/>
  <c r="AH9" i="15" s="1"/>
  <c r="AY12" i="15"/>
  <c r="AH12" i="15" s="1"/>
  <c r="AY7" i="15"/>
  <c r="AH7" i="15" s="1"/>
  <c r="AY11" i="15"/>
  <c r="AH11" i="15" s="1"/>
  <c r="M17" i="15"/>
  <c r="BC6" i="15"/>
  <c r="J7" i="15"/>
  <c r="K6" i="15"/>
  <c r="BD6" i="15"/>
  <c r="X19" i="15"/>
  <c r="R19" i="15" s="1"/>
  <c r="L19" i="15"/>
  <c r="F28" i="15"/>
  <c r="L17" i="15"/>
  <c r="AD18" i="15" l="1"/>
  <c r="AE18" i="15" s="1"/>
  <c r="AD15" i="15"/>
  <c r="AE15" i="15" s="1"/>
  <c r="BE6" i="15"/>
  <c r="AF9" i="15"/>
  <c r="AU9" i="15" s="1"/>
  <c r="AV9" i="15" s="1"/>
  <c r="AL5" i="15"/>
  <c r="AN5" i="15" s="1"/>
  <c r="AF11" i="15"/>
  <c r="AU11" i="15" s="1"/>
  <c r="AV11" i="15" s="1"/>
  <c r="AE5" i="15"/>
  <c r="AF8" i="15"/>
  <c r="AY8" i="15"/>
  <c r="AH8" i="15" s="1"/>
  <c r="AY6" i="15"/>
  <c r="AC15" i="15" s="1"/>
  <c r="Q15" i="15" s="1"/>
  <c r="AF6" i="15"/>
  <c r="AF12" i="15"/>
  <c r="AU12" i="15" s="1"/>
  <c r="AV12" i="15" s="1"/>
  <c r="AF7" i="15"/>
  <c r="AU7" i="15" s="1"/>
  <c r="AV7" i="15" s="1"/>
  <c r="AY10" i="15"/>
  <c r="AH10" i="15" s="1"/>
  <c r="AF10" i="15"/>
  <c r="G28" i="15"/>
  <c r="J8" i="15"/>
  <c r="K7" i="15"/>
  <c r="BD7" i="15"/>
  <c r="BE7" i="15" s="1"/>
  <c r="AH5" i="15"/>
  <c r="AF5" i="15"/>
  <c r="AD17" i="15"/>
  <c r="AE17" i="15" s="1"/>
  <c r="M19" i="15"/>
  <c r="AC19" i="15" l="1"/>
  <c r="Q19" i="15" s="1"/>
  <c r="AD19" i="15"/>
  <c r="AE19" i="15" s="1"/>
  <c r="AU10" i="15"/>
  <c r="AV10" i="15" s="1"/>
  <c r="AU5" i="15"/>
  <c r="AV5" i="15" s="1"/>
  <c r="AH6" i="15"/>
  <c r="AU6" i="15" s="1"/>
  <c r="AV6" i="15" s="1"/>
  <c r="AC20" i="15"/>
  <c r="Q20" i="15" s="1"/>
  <c r="AC16" i="15"/>
  <c r="Q16" i="15" s="1"/>
  <c r="AC18" i="15"/>
  <c r="Q18" i="15" s="1"/>
  <c r="AC17" i="15"/>
  <c r="Q17" i="15" s="1"/>
  <c r="AU8" i="15"/>
  <c r="AV8" i="15" s="1"/>
  <c r="K8" i="15"/>
  <c r="J9" i="15"/>
  <c r="BD8" i="15"/>
  <c r="BE8" i="15" s="1"/>
  <c r="P33" i="15" l="1" a="1"/>
  <c r="P33" i="15"/>
  <c r="K27" i="15" s="1"/>
  <c r="G27" i="15" s="1"/>
  <c r="Y23" i="15"/>
  <c r="J10" i="15"/>
  <c r="K9" i="15"/>
  <c r="BD9" i="15"/>
  <c r="BE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BD10" i="15"/>
  <c r="BE10" i="15" s="1"/>
  <c r="J11" i="15"/>
  <c r="P34" i="15" l="1"/>
  <c r="P38" i="15" s="1"/>
  <c r="P39" i="15"/>
  <c r="BD11" i="15"/>
  <c r="BE11" i="15" s="1"/>
  <c r="J12" i="15"/>
  <c r="K11" i="15"/>
  <c r="P40" i="15" l="1"/>
  <c r="P44" i="15"/>
  <c r="P35" i="15"/>
  <c r="P43" i="15" s="1"/>
  <c r="K12" i="15"/>
  <c r="BD12" i="15"/>
  <c r="BE12" i="15" s="1"/>
</calcChain>
</file>

<file path=xl/comments1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<sst xmlns="http://schemas.openxmlformats.org/spreadsheetml/2006/main" count="355" uniqueCount="152">
  <si>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</si>
  <si>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</si>
  <si>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</si>
  <si>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</si>
  <si>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</si>
  <si>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</si>
  <si>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</si>
  <si>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</si>
  <si>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</si>
  <si>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</si>
  <si>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</si>
  <si>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</si>
  <si>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</si>
  <si>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</si>
  <si>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</si>
  <si>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</si>
  <si>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</si>
  <si>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</si>
  <si>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</si>
  <si>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</si>
  <si>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</si>
  <si>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</si>
  <si>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</si>
  <si>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</si>
  <si>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</si>
  <si>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</si>
  <si>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</si>
  <si>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</si>
  <si>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</si>
  <si>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</si>
  <si>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</si>
  <si>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</si>
  <si>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</si>
  <si>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</si>
  <si>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</si>
  <si>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</si>
  <si>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</si>
  <si>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</si>
  <si>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</si>
  <si>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</si>
  <si>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</si>
  <si>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</si>
  <si>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</si>
  <si>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</si>
  <si>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</si>
  <si>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</si>
  <si>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</si>
  <si>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</si>
  <si>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</si>
  <si>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</si>
  <si>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</si>
  <si>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</si>
  <si>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</si>
  <si>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</si>
  <si>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</si>
  <si>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</si>
  <si>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</si>
  <si>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</si>
  <si>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</si>
  <si>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</si>
  <si>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</si>
  <si>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</si>
  <si>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</si>
  <si>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</si>
  <si>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</si>
  <si>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</si>
  <si>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</si>
  <si>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</si>
  <si>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</si>
  <si>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</si>
  <si>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</si>
  <si>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</si>
  <si>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</si>
  <si>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</si>
  <si>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</si>
  <si>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</si>
  <si>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</si>
  <si>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</si>
  <si>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</si>
  <si>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</si>
  <si>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</si>
  <si>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</si>
  <si>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</si>
  <si>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</si>
  <si>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</si>
  <si>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</si>
  <si>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</si>
  <si>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</si>
  <si>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</si>
  <si>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</si>
  <si>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</si>
  <si>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</si>
  <si>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</si>
  <si>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</si>
  <si>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</si>
  <si>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</si>
  <si>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</si>
  <si>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</si>
  <si>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</si>
  <si>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</si>
  <si>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</si>
  <si>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</si>
  <si>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</si>
  <si>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</si>
  <si>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</si>
  <si>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</si>
  <si>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</si>
  <si>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</si>
  <si>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</si>
  <si>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</si>
  <si>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</si>
  <si>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</si>
  <si>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</si>
  <si>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</si>
  <si>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</si>
  <si>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</si>
  <si>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</si>
  <si>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</si>
  <si>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</si>
  <si>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</si>
  <si>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</si>
  <si>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</si>
  <si>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</si>
  <si>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</si>
  <si>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</si>
  <si>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</si>
  <si>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</si>
  <si>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</si>
  <si>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</si>
  <si>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</si>
  <si>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</si>
  <si>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</si>
  <si>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</si>
  <si>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%Fructans</t>
  </si>
  <si>
    <t>fructans</t>
  </si>
  <si>
    <t>leaf_Wmax_int</t>
  </si>
  <si>
    <t>Wmax_init</t>
  </si>
  <si>
    <t>RER_Wmax_int</t>
  </si>
  <si>
    <t>mean_conc_sucrose</t>
  </si>
  <si>
    <t>Valeurs médianes des observations de Ljutovac 2002 le 17/12/19 (F4 pointante)</t>
  </si>
  <si>
    <t>ln(leaf_L)</t>
  </si>
  <si>
    <t>a</t>
  </si>
  <si>
    <t>b</t>
  </si>
  <si>
    <t>c</t>
  </si>
  <si>
    <t>d</t>
  </si>
  <si>
    <t>fit</t>
  </si>
  <si>
    <t>Fit</t>
  </si>
  <si>
    <t>is_over</t>
  </si>
  <si>
    <t>leaf_is_remobilizing</t>
  </si>
  <si>
    <t>internode_is_remobilizing</t>
  </si>
  <si>
    <t>leaf_Lmax_em</t>
  </si>
  <si>
    <t>internode_Lmax_lig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</si>
</sst>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E+00"/>
    <numFmt numFmtId="165" formatCode="0.000"/>
    <numFmt numFmtId="166" formatCode="0.0"/>
    <numFmt numFmtId="167" formatCode="0.0000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95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2" fillId="0" borderId="0" xfId="0" applyFont="1"/>
    <xf numFmtId="11" fontId="12" fillId="0" borderId="0" xfId="0" applyNumberFormat="1" applyFont="1"/>
    <xf numFmtId="0" fontId="13" fillId="0" borderId="0" xfId="0" applyFont="1"/>
    <xf numFmtId="11" fontId="13" fillId="0" borderId="0" xfId="0" applyNumberFormat="1" applyFont="1"/>
    <xf numFmtId="9" fontId="12" fillId="0" borderId="0" xfId="1" applyFont="1"/>
    <xf numFmtId="0" fontId="12" fillId="0" borderId="2" xfId="0" applyFont="1" applyBorder="1"/>
    <xf numFmtId="0" fontId="1" fillId="0" borderId="0" xfId="0" applyFont="1"/>
    <xf numFmtId="0" fontId="15" fillId="0" borderId="1" xfId="0" applyFont="1" applyBorder="1"/>
    <xf numFmtId="0" fontId="16" fillId="0" borderId="0" xfId="0" applyFont="1"/>
    <xf numFmtId="0" fontId="12" fillId="0" borderId="0" xfId="0" applyFont="1" applyBorder="1"/>
    <xf numFmtId="0" fontId="13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3" fillId="0" borderId="0" xfId="1" applyFont="1"/>
    <xf numFmtId="1" fontId="13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4" fillId="0" borderId="15" xfId="0" applyFont="1" applyBorder="1"/>
    <xf numFmtId="0" fontId="0" fillId="0" borderId="16" xfId="0" applyBorder="1"/>
    <xf numFmtId="0" fontId="12" fillId="0" borderId="17" xfId="0" applyFont="1" applyBorder="1"/>
    <xf numFmtId="0" fontId="14" fillId="0" borderId="18" xfId="0" applyFont="1" applyBorder="1"/>
    <xf numFmtId="0" fontId="0" fillId="0" borderId="19" xfId="0" applyBorder="1"/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2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2" fillId="0" borderId="4" xfId="0" applyNumberFormat="1" applyFont="1" applyBorder="1"/>
    <xf numFmtId="2" fontId="12" fillId="0" borderId="0" xfId="0" applyNumberFormat="1" applyFont="1"/>
    <xf numFmtId="0" fontId="13" fillId="0" borderId="2" xfId="0" applyFont="1" applyBorder="1"/>
    <xf numFmtId="165" fontId="13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2" fillId="0" borderId="7" xfId="0" applyFont="1" applyBorder="1"/>
    <xf numFmtId="0" fontId="0" fillId="0" borderId="20" xfId="0" applyBorder="1"/>
    <xf numFmtId="0" fontId="1" fillId="0" borderId="8" xfId="0" applyFont="1" applyBorder="1"/>
    <xf numFmtId="1" fontId="13" fillId="0" borderId="0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3" fillId="0" borderId="3" xfId="0" applyNumberFormat="1" applyFont="1" applyBorder="1"/>
    <xf numFmtId="1" fontId="13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0" fontId="4" fillId="0" borderId="0" xfId="0" applyFont="1" applyAlignment="1">
      <alignment horizontal="center" vertical="center"/>
    </xf>
    <xf numFmtId="16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  <xf numFmtId="167" fontId="0" fillId="0" borderId="0" xfId="0" applyNumberFormat="1"/>
    <xf numFmtId="0" fontId="2" fillId="3" borderId="21" xfId="0" applyFont="1" applyFill="1" applyBorder="1"/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167" fontId="0" fillId="3" borderId="0" xfId="0" applyNumberForma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leaf_L'!$B$3</c:f>
              <c:strCache>
                <c:ptCount val="1"/>
                <c:pt idx="0">
                  <c:v>leaf_L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leaf_L'!$A$4:$A$11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'Fit leaf_L'!$B$4:$B$11</c:f>
              <c:numCache>
                <c:formatCode>General</c:formatCode>
                <c:ptCount val="8"/>
                <c:pt idx="0">
                  <c:v>9.25</c:v>
                </c:pt>
                <c:pt idx="1">
                  <c:v>2.6</c:v>
                </c:pt>
                <c:pt idx="2">
                  <c:v>0.2</c:v>
                </c:pt>
                <c:pt idx="3">
                  <c:v>7.2000000000000008E-2</c:v>
                </c:pt>
                <c:pt idx="4">
                  <c:v>3.1E-2</c:v>
                </c:pt>
                <c:pt idx="5">
                  <c:v>1.6E-2</c:v>
                </c:pt>
                <c:pt idx="6">
                  <c:v>6.9999999999999993E-3</c:v>
                </c:pt>
                <c:pt idx="7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E-4303-AA42-410826D5F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leaf_L'!$C$3</c:f>
              <c:strCache>
                <c:ptCount val="1"/>
                <c:pt idx="0">
                  <c:v>ln(leaf_L)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622900262467191"/>
                  <c:y val="-8.41378681831437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'Fit leaf_L'!$A$6:$A$11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'Fit leaf_L'!$C$6:$C$11</c:f>
              <c:numCache>
                <c:formatCode>General</c:formatCode>
                <c:ptCount val="6"/>
                <c:pt idx="0">
                  <c:v>-1.6094379124341003</c:v>
                </c:pt>
                <c:pt idx="1">
                  <c:v>-2.6310891599660815</c:v>
                </c:pt>
                <c:pt idx="2">
                  <c:v>-3.473768074496991</c:v>
                </c:pt>
                <c:pt idx="3">
                  <c:v>-4.1351665567423561</c:v>
                </c:pt>
                <c:pt idx="4">
                  <c:v>-4.9618451299268242</c:v>
                </c:pt>
                <c:pt idx="5">
                  <c:v>-5.2983173665480363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2-4A1F-BB10-780CDD41A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114300</xdr:rowOff>
    </xdr:from>
    <xdr:to>
      <xdr:col>11</xdr:col>
      <xdr:colOff>238125</xdr:colOff>
      <xdr:row>17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10</xdr:row>
      <xdr:rowOff>152400</xdr:rowOff>
    </xdr:from>
    <xdr:to>
      <xdr:col>10</xdr:col>
      <xdr:colOff>371475</xdr:colOff>
      <xdr:row>25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abSelected="1" topLeftCell="B4" workbookViewId="0">
      <selection activeCell="M14" sqref="M14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50" max="50" width="12" bestFit="1" customWidth="1"/>
    <col min="51" max="52" width="12" customWidth="1"/>
  </cols>
  <sheetData>
    <row r="1" spans="1:60" x14ac:dyDescent="0.25">
      <c r="A1" s="46" t="s">
        <v>96</v>
      </c>
      <c r="B1" s="47" t="s">
        <v>97</v>
      </c>
      <c r="C1" s="48"/>
      <c r="E1" s="52" t="s">
        <v>120</v>
      </c>
      <c r="W1" s="81" t="s">
        <v>136</v>
      </c>
      <c r="X1" s="82" t="s">
        <v>137</v>
      </c>
    </row>
    <row r="2" spans="1:60" s="27" customFormat="1" ht="15.75" thickBot="1" x14ac:dyDescent="0.3">
      <c r="A2" s="49" t="s">
        <v>96</v>
      </c>
      <c r="B2" s="50" t="s">
        <v>98</v>
      </c>
      <c r="C2" s="51"/>
      <c r="E2" s="53">
        <f xml:space="preserve"> 76.1/12*24*3600</f>
        <v>547920</v>
      </c>
      <c r="L2" s="90" t="s">
        <v>146</v>
      </c>
      <c r="W2" s="83">
        <v>9.9999999999999995E-7</v>
      </c>
      <c r="X2" s="83">
        <v>9.9999999999999995E-7</v>
      </c>
    </row>
    <row r="4" spans="1:60" s="2" customFormat="1" ht="15" customHeight="1" x14ac:dyDescent="0.25">
      <c r="A4" s="91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147</v>
      </c>
      <c r="AQ4" s="5" t="s">
        <v>148</v>
      </c>
      <c r="AR4" s="5" t="s">
        <v>149</v>
      </c>
      <c r="AS4" s="5" t="s">
        <v>150</v>
      </c>
      <c r="AT4" s="85" t="s">
        <v>151</v>
      </c>
      <c r="AU4" s="12" t="s">
        <v>77</v>
      </c>
      <c r="AV4" s="12" t="s">
        <v>107</v>
      </c>
      <c r="AW4" s="12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25">
      <c r="A5" s="91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6">
        <f>J5-M5</f>
        <v>2.8899999999999999E-2</v>
      </c>
      <c r="L5" s="36">
        <v>9.2499999999999999E-2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>AK5*$AV$15</f>
        <v>8.9088436646547198</v>
      </c>
      <c r="AF5" s="1">
        <f>AK5*$AX5</f>
        <v>0.99652622317307915</v>
      </c>
      <c r="AG5" s="24">
        <f>AK5*$BA5</f>
        <v>8.9088436646547198</v>
      </c>
      <c r="AH5" s="26">
        <f>AK5*$AY5</f>
        <v>9.9652622317307902</v>
      </c>
      <c r="AI5" s="1">
        <f>BE5</f>
        <v>2.0180134110471437E-3</v>
      </c>
      <c r="AJ5" s="1">
        <f>BH5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>AK5+AE5*$E$31+AF5*$F$31+AH5*$J$31</f>
        <v>3.3011513455652687E-3</v>
      </c>
      <c r="AV5" s="56">
        <f>(1-AK5/AU5)*100</f>
        <v>38.829284515098252</v>
      </c>
      <c r="AW5" s="13">
        <v>4.5999999999999996</v>
      </c>
      <c r="AX5" s="13">
        <f>(($AW5/100)*(1+($AV$15+$BA5)*$E$31)-$Y$16)/(((1+1/$X$23)*(14*10^(-6)))-(($J$31/$X$23+$F$31)*$AW5/100))</f>
        <v>493.49156696102204</v>
      </c>
      <c r="AY5" s="13">
        <f>$AX5/$X$23</f>
        <v>4934.91566961022</v>
      </c>
      <c r="AZ5" s="13">
        <v>10</v>
      </c>
      <c r="BA5" s="68">
        <f>$AZ5/100/(1-$X$33)*$X$32*10^6/$X$30</f>
        <v>4411.7647058823532</v>
      </c>
      <c r="BB5" s="7">
        <v>851425</v>
      </c>
      <c r="BC5" s="8">
        <f>$T$27+$T$28*$T$30*(J5)^$T$29</f>
        <v>9.1058115591388438E-4</v>
      </c>
      <c r="BD5" s="7">
        <f>J5*Z5</f>
        <v>2.6054999999999997E-3</v>
      </c>
      <c r="BE5" s="8">
        <f>((BD5-BC5)/($T$31-BB5))*(F5-$T$31)+BD5</f>
        <v>2.0180134110471437E-3</v>
      </c>
      <c r="BF5" s="8">
        <f>$T$27+$T$28*$T$30*(L5)^$T$29</f>
        <v>4.0277279389003447E-3</v>
      </c>
      <c r="BG5" s="7"/>
      <c r="BH5" s="7">
        <f>$BC$20*$BB$22*$BB$24*(M5)^$BB$21</f>
        <v>1.3244862745926676E-6</v>
      </c>
    </row>
    <row r="6" spans="1:60" x14ac:dyDescent="0.25">
      <c r="A6" s="91"/>
      <c r="B6">
        <v>1</v>
      </c>
      <c r="C6" t="s">
        <v>30</v>
      </c>
      <c r="D6">
        <v>4</v>
      </c>
      <c r="E6">
        <f t="shared" ref="E6:E11" si="0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6">
        <f t="shared" ref="K6:K12" si="1">J6-M6</f>
        <v>2.8930000000000001E-2</v>
      </c>
      <c r="L6" s="36">
        <v>2.6499999999999999E-2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>AK6*$AV$15</f>
        <v>3.5881220853167113</v>
      </c>
      <c r="AF6" s="1">
        <f>AK6*$AX6</f>
        <v>0.67583627559825854</v>
      </c>
      <c r="AG6" s="24">
        <f>AK6*$BA6</f>
        <v>1.7940610426583556</v>
      </c>
      <c r="AH6" s="26">
        <f>AK6*$AY6</f>
        <v>6.7583627559825858</v>
      </c>
      <c r="AI6" s="1">
        <f>BF6</f>
        <v>8.1313887523147316E-4</v>
      </c>
      <c r="AJ6" s="1">
        <f>BH6</f>
        <v>1.6879744031468265E-7</v>
      </c>
      <c r="AK6">
        <f t="shared" ref="AK6:AK12" si="3">AI6+AJ6</f>
        <v>8.1330767267178783E-4</v>
      </c>
      <c r="AL6">
        <f t="shared" ref="AL6:AM12" si="4">AI6*0.005</f>
        <v>4.0656943761573658E-6</v>
      </c>
      <c r="AM6">
        <f t="shared" si="4"/>
        <v>8.4398720157341326E-10</v>
      </c>
      <c r="AN6">
        <f t="shared" ref="AN6:AN12" si="5">AL6+AM6</f>
        <v>4.066538363358939E-6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6">T6</f>
        <v>0.1331</v>
      </c>
      <c r="AT6" t="s">
        <v>32</v>
      </c>
      <c r="AU6" s="55">
        <f>AK6+AE6*$E$31+AF6*$F$31+AH6*$J$31</f>
        <v>1.612515340843685E-3</v>
      </c>
      <c r="AV6" s="56">
        <f>(1-AK6/AU6)*100</f>
        <v>49.562794717583479</v>
      </c>
      <c r="AW6" s="13">
        <v>6.5</v>
      </c>
      <c r="AX6" s="13">
        <f>(($AW6/100)*(1+($AV$15+$BA6)*$E$31)-$Y$16)/(((1+1/$X$23)*(14*10^(-6)))-(($J$31/$X$23+$F$31)*$AW6/100))</f>
        <v>830.97245766546928</v>
      </c>
      <c r="AY6" s="13">
        <f>$AX6/$X$23</f>
        <v>8309.724576654693</v>
      </c>
      <c r="AZ6" s="13">
        <v>5</v>
      </c>
      <c r="BA6" s="68">
        <f>$AZ6/100/(1-$X$33)*$X$32*10^6/$X$30</f>
        <v>2205.8823529411766</v>
      </c>
      <c r="BB6" s="7">
        <v>818263</v>
      </c>
      <c r="BC6" s="8">
        <f>$T$27+$T$28*$T$30*(J6)^$T$29</f>
        <v>9.1017858127080242E-4</v>
      </c>
      <c r="BD6" s="7" t="e">
        <f>J6*Z6</f>
        <v>#VALUE!</v>
      </c>
      <c r="BE6" s="8" t="e">
        <f>((BD6-BC6)/($T$31-BB6))*(F6-$T$31)+BD6</f>
        <v>#VALUE!</v>
      </c>
      <c r="BF6" s="8">
        <f>$T$27+$T$28*$T$30*(L6)^$T$29</f>
        <v>8.1313887523147316E-4</v>
      </c>
      <c r="BG6" s="7"/>
      <c r="BH6" s="7">
        <f>$BC$20*$BB$22*$BB$24*(M6)^$BB$21</f>
        <v>1.6879744031468265E-7</v>
      </c>
    </row>
    <row r="7" spans="1:60" x14ac:dyDescent="0.25">
      <c r="A7" s="91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6">
        <f t="shared" si="1"/>
        <v>2.894E-2</v>
      </c>
      <c r="L7" s="94">
        <v>1.9677388526365687E-3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>AK7*$AV$15</f>
        <v>0.12873040793583418</v>
      </c>
      <c r="AF7" s="1">
        <f>AK7*$AX7</f>
        <v>5.3069049208309536E-2</v>
      </c>
      <c r="AG7" s="24">
        <f>AK7*$BA7</f>
        <v>0</v>
      </c>
      <c r="AH7" s="26">
        <f>AK7*$AY7</f>
        <v>0.53069049208309527</v>
      </c>
      <c r="AI7" s="1">
        <f>BF7</f>
        <v>2.9178892465455746E-5</v>
      </c>
      <c r="AJ7" s="1">
        <v>0</v>
      </c>
      <c r="AK7">
        <f t="shared" si="3"/>
        <v>2.9178892465455746E-5</v>
      </c>
      <c r="AL7">
        <f t="shared" si="4"/>
        <v>1.4589446232727874E-7</v>
      </c>
      <c r="AM7">
        <f t="shared" si="4"/>
        <v>0</v>
      </c>
      <c r="AN7">
        <f t="shared" si="5"/>
        <v>1.4589446232727874E-7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6"/>
        <v>NA</v>
      </c>
      <c r="AT7" t="s">
        <v>32</v>
      </c>
      <c r="AU7" s="55">
        <f>AK7+AE7*$E$31+AF7*$F$31+AH7*$J$31</f>
        <v>8.7563453056915228E-5</v>
      </c>
      <c r="AV7" s="56">
        <f>(1-AK7/AU7)*100</f>
        <v>66.676859526668281</v>
      </c>
      <c r="AW7" s="13">
        <v>9.5</v>
      </c>
      <c r="AX7" s="13">
        <f>(($AW7/100)*(1+($AV$15+$BA7)*$E$31)-$Y$16)/(((1+1/$X$23)*(14*10^(-6)))-(($J$31/$X$23+$F$31)*$AW7/100))</f>
        <v>1818.7478935719314</v>
      </c>
      <c r="AY7" s="13">
        <f>$AX7/$X$23</f>
        <v>18187.478935719311</v>
      </c>
      <c r="AZ7" s="13">
        <v>0</v>
      </c>
      <c r="BA7" s="68">
        <f>$AZ7/100/(1-$X$33)*$X$32*10^6/$X$30</f>
        <v>0</v>
      </c>
      <c r="BB7" s="7"/>
      <c r="BC7" s="8" t="e">
        <f>$T$27+$T$28*$T$30*(T7*$T$32)^$T$29</f>
        <v>#VALUE!</v>
      </c>
      <c r="BD7" s="7" t="e">
        <f>J7*Z7</f>
        <v>#VALUE!</v>
      </c>
      <c r="BE7" s="8" t="e">
        <f>BC7+((BD7-BC7)/$T$31)*F7</f>
        <v>#VALUE!</v>
      </c>
      <c r="BF7" s="8">
        <f>$T$27+$T$28*$T$30*(L7)^$T$29</f>
        <v>2.9178892465455746E-5</v>
      </c>
      <c r="BG7" s="7"/>
      <c r="BH7" s="7">
        <f>$BC$20*$BB$22*$BB$24*(M7)^$BB$21</f>
        <v>0</v>
      </c>
    </row>
    <row r="8" spans="1:60" x14ac:dyDescent="0.25">
      <c r="A8" s="91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7">J7-M8</f>
        <v>2.894E-2</v>
      </c>
      <c r="K8" s="36">
        <f t="shared" si="1"/>
        <v>2.894E-2</v>
      </c>
      <c r="L8" s="94">
        <v>7.5411160325070082E-4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>AK8*$AV$15</f>
        <v>3.7798204342272199E-2</v>
      </c>
      <c r="AF8" s="1">
        <f>AK8*$AX8</f>
        <v>1.5582291693083372E-2</v>
      </c>
      <c r="AG8" s="24">
        <f>AK8*$BA8</f>
        <v>0</v>
      </c>
      <c r="AH8" s="26">
        <f>AK8*$AY8</f>
        <v>0.15582291693083369</v>
      </c>
      <c r="AI8" s="1">
        <f t="shared" ref="AI8:AI12" si="8">BF8</f>
        <v>8.5675929842483652E-6</v>
      </c>
      <c r="AJ8" s="1">
        <v>0</v>
      </c>
      <c r="AK8">
        <f t="shared" si="3"/>
        <v>8.5675929842483652E-6</v>
      </c>
      <c r="AL8">
        <f t="shared" si="4"/>
        <v>4.2837964921241826E-8</v>
      </c>
      <c r="AM8">
        <f t="shared" si="4"/>
        <v>0</v>
      </c>
      <c r="AN8">
        <f t="shared" si="5"/>
        <v>4.2837964921241826E-8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6"/>
        <v>NA</v>
      </c>
      <c r="AT8" t="s">
        <v>32</v>
      </c>
      <c r="AU8" s="55">
        <f>AK8+AE8*$E$31+AF8*$F$31+AH8*$J$31</f>
        <v>2.5710640901642957E-5</v>
      </c>
      <c r="AV8" s="56">
        <f>(1-AK8/AU8)*100</f>
        <v>66.676859526668281</v>
      </c>
      <c r="AW8" s="13">
        <v>9.5</v>
      </c>
      <c r="AX8" s="13">
        <f>(($AW8/100)*(1+($AV$15+$BA8)*$E$31)-$Y$16)/(((1+1/$X$23)*(14*10^(-6)))-(($J$31/$X$23+$F$31)*$AW8/100))</f>
        <v>1818.7478935719314</v>
      </c>
      <c r="AY8" s="13">
        <f>$AX8/$X$23</f>
        <v>18187.478935719311</v>
      </c>
      <c r="AZ8" s="13">
        <v>0</v>
      </c>
      <c r="BA8" s="68">
        <f>$AZ8/100/(1-$X$33)*$X$32*10^6/$X$30</f>
        <v>0</v>
      </c>
      <c r="BB8" s="7"/>
      <c r="BC8" s="8" t="e">
        <f>$T$27+$T$28*$T$30*(T8*$T$32)^$T$29</f>
        <v>#VALUE!</v>
      </c>
      <c r="BD8" s="7" t="e">
        <f>J8*Z8</f>
        <v>#VALUE!</v>
      </c>
      <c r="BE8" s="8" t="e">
        <f>BC8+((BD8-BC8)/$T$31)*F8</f>
        <v>#VALUE!</v>
      </c>
      <c r="BF8" s="8">
        <f>$T$27+$T$28*$T$30*(L8)^$T$29</f>
        <v>8.5675929842483652E-6</v>
      </c>
      <c r="BG8" s="7"/>
      <c r="BH8" s="7">
        <f>$BC$20*$BB$22*$BB$24*(M8)^$BB$21</f>
        <v>0</v>
      </c>
    </row>
    <row r="9" spans="1:60" x14ac:dyDescent="0.25">
      <c r="A9" s="91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7"/>
        <v>2.894E-2</v>
      </c>
      <c r="K9" s="36">
        <f t="shared" si="1"/>
        <v>2.894E-2</v>
      </c>
      <c r="L9" s="94">
        <v>3.1376376813217782E-4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>AK9*$AV$15</f>
        <v>1.2381691922498196E-2</v>
      </c>
      <c r="AF9" s="1">
        <f>AK9*$AX9</f>
        <v>5.1043465833240436E-3</v>
      </c>
      <c r="AG9" s="24">
        <f>AK9*$BA9</f>
        <v>0</v>
      </c>
      <c r="AH9" s="26">
        <f>AK9*$AY9</f>
        <v>5.1043465833240424E-2</v>
      </c>
      <c r="AI9" s="1">
        <f t="shared" si="8"/>
        <v>2.8065168357662577E-6</v>
      </c>
      <c r="AJ9" s="1">
        <v>0</v>
      </c>
      <c r="AK9">
        <f t="shared" si="3"/>
        <v>2.8065168357662577E-6</v>
      </c>
      <c r="AL9">
        <f t="shared" si="4"/>
        <v>1.4032584178831289E-8</v>
      </c>
      <c r="AM9">
        <f t="shared" si="4"/>
        <v>0</v>
      </c>
      <c r="AN9">
        <f t="shared" si="5"/>
        <v>1.4032584178831289E-8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6"/>
        <v>NA</v>
      </c>
      <c r="AT9" t="s">
        <v>32</v>
      </c>
      <c r="AU9" s="55">
        <f>AK9+AE9*$E$31+AF9*$F$31+AH9*$J$31</f>
        <v>8.4221258737971998E-6</v>
      </c>
      <c r="AV9" s="56">
        <f>(1-AK9/AU9)*100</f>
        <v>66.676859526668281</v>
      </c>
      <c r="AW9" s="13">
        <v>9.5</v>
      </c>
      <c r="AX9" s="13">
        <f>(($AW9/100)*(1+($AV$15+$BA9)*$E$31)-$Y$16)/(((1+1/$X$23)*(14*10^(-6)))-(($J$31/$X$23+$F$31)*$AW9/100))</f>
        <v>1818.7478935719314</v>
      </c>
      <c r="AY9" s="13">
        <f>$AX9/$X$23</f>
        <v>18187.478935719311</v>
      </c>
      <c r="AZ9" s="13">
        <v>0</v>
      </c>
      <c r="BA9" s="68">
        <f>$AZ9/100/(1-$X$33)*$X$32*10^6/$X$30</f>
        <v>0</v>
      </c>
      <c r="BB9" s="7"/>
      <c r="BC9" s="8" t="e">
        <f>$T$27+$T$28*$T$30*(T9*$T$32)^$T$29</f>
        <v>#VALUE!</v>
      </c>
      <c r="BD9" s="7" t="e">
        <f>J9*Z9</f>
        <v>#VALUE!</v>
      </c>
      <c r="BE9" s="8" t="e">
        <f>BC9+((BD9-BC9)/$T$31)*F9</f>
        <v>#VALUE!</v>
      </c>
      <c r="BF9" s="8">
        <f>$T$27+$T$28*$T$30*(L9)^$T$29</f>
        <v>2.8065168357662577E-6</v>
      </c>
      <c r="BG9" s="7"/>
      <c r="BH9" s="7">
        <f>$BC$20*$BB$22*$BB$24*(M9)^$BB$21</f>
        <v>0</v>
      </c>
    </row>
    <row r="10" spans="1:60" x14ac:dyDescent="0.25">
      <c r="A10" s="91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7"/>
        <v>2.894E-2</v>
      </c>
      <c r="K10" s="36">
        <f t="shared" si="1"/>
        <v>2.894E-2</v>
      </c>
      <c r="L10" s="94">
        <v>1.4587358230165945E-4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>AK10*$AV$15</f>
        <v>4.7183998739784598E-3</v>
      </c>
      <c r="AF10" s="1">
        <f>AK10*$AX10</f>
        <v>1.9451580952144349E-3</v>
      </c>
      <c r="AG10" s="24">
        <f>AK10*$BA10</f>
        <v>0</v>
      </c>
      <c r="AH10" s="26">
        <f>AK10*$AY10</f>
        <v>1.9451580952144346E-2</v>
      </c>
      <c r="AI10" s="1">
        <f t="shared" si="8"/>
        <v>1.0695039714351174E-6</v>
      </c>
      <c r="AJ10" s="1">
        <v>0</v>
      </c>
      <c r="AK10">
        <f t="shared" si="3"/>
        <v>1.0695039714351174E-6</v>
      </c>
      <c r="AL10">
        <f t="shared" si="4"/>
        <v>5.3475198571755876E-9</v>
      </c>
      <c r="AM10">
        <f t="shared" si="4"/>
        <v>0</v>
      </c>
      <c r="AN10">
        <f t="shared" si="5"/>
        <v>5.3475198571755876E-9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6"/>
        <v>NA</v>
      </c>
      <c r="AT10" t="s">
        <v>32</v>
      </c>
      <c r="AU10" s="55">
        <f>AK10+AE10*$E$31+AF10*$F$31+AH10*$J$31</f>
        <v>3.2094933317915637E-6</v>
      </c>
      <c r="AV10" s="56">
        <f>(1-AK10/AU10)*100</f>
        <v>66.676859526668281</v>
      </c>
      <c r="AW10" s="13">
        <v>9.5</v>
      </c>
      <c r="AX10" s="13">
        <f>(($AW10/100)*(1+($AV$15+$BA10)*$E$31)-$Y$16)/(((1+1/$X$23)*(14*10^(-6)))-(($J$31/$X$23+$F$31)*$AW10/100))</f>
        <v>1818.7478935719314</v>
      </c>
      <c r="AY10" s="13">
        <f>$AX10/$X$23</f>
        <v>18187.478935719311</v>
      </c>
      <c r="AZ10" s="13">
        <v>0</v>
      </c>
      <c r="BA10" s="68">
        <f>$AZ10/100/(1-$X$33)*$X$32*10^6/$X$30</f>
        <v>0</v>
      </c>
      <c r="BB10" s="7"/>
      <c r="BC10" s="8" t="e">
        <f>$T$27+$T$28*$T$30*(T10*$T$32)^$T$29</f>
        <v>#VALUE!</v>
      </c>
      <c r="BD10" s="7" t="e">
        <f>J10*Z10</f>
        <v>#VALUE!</v>
      </c>
      <c r="BE10" s="8" t="e">
        <f>BC10+((BD10-BC10)/$T$31)*F10</f>
        <v>#VALUE!</v>
      </c>
      <c r="BF10" s="8">
        <f>$T$27+$T$28*$T$30*(L10)^$T$29</f>
        <v>1.0695039714351174E-6</v>
      </c>
      <c r="BG10" s="7"/>
      <c r="BH10" s="7">
        <f>$BC$20*$BB$22*$BB$24*(M10)^$BB$21</f>
        <v>0</v>
      </c>
    </row>
    <row r="11" spans="1:60" x14ac:dyDescent="0.25">
      <c r="A11" s="91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7"/>
        <v>2.894E-2</v>
      </c>
      <c r="K11" s="36">
        <f t="shared" si="1"/>
        <v>2.894E-2</v>
      </c>
      <c r="L11" s="94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>AK11*$AV$15</f>
        <v>2.1815845434399943E-3</v>
      </c>
      <c r="AF11" s="1">
        <f>AK11*$AX11</f>
        <v>8.9935718642026317E-4</v>
      </c>
      <c r="AG11" s="24">
        <f>AK11*$BA11</f>
        <v>0</v>
      </c>
      <c r="AH11" s="26">
        <f>AK11*$AY11</f>
        <v>8.9935718642026301E-3</v>
      </c>
      <c r="AI11" s="1">
        <f t="shared" si="8"/>
        <v>4.944924965130653E-7</v>
      </c>
      <c r="AJ11" s="1">
        <v>0</v>
      </c>
      <c r="AK11">
        <f t="shared" si="3"/>
        <v>4.944924965130653E-7</v>
      </c>
      <c r="AL11">
        <f t="shared" si="4"/>
        <v>2.4724624825653264E-9</v>
      </c>
      <c r="AM11">
        <f t="shared" si="4"/>
        <v>0</v>
      </c>
      <c r="AN11">
        <f t="shared" si="5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6"/>
        <v>NA</v>
      </c>
      <c r="AT11" t="s">
        <v>32</v>
      </c>
      <c r="AU11" s="55">
        <f>AK11+AE11*$E$31+AF11*$F$31+AH11*$J$31</f>
        <v>1.4839312546451142E-6</v>
      </c>
      <c r="AV11" s="56">
        <f>(1-AK11/AU11)*100</f>
        <v>66.676859526668281</v>
      </c>
      <c r="AW11" s="13">
        <v>9.5</v>
      </c>
      <c r="AX11" s="13">
        <f>(($AW11/100)*(1+($AV$15+$BA11)*$E$31)-$Y$16)/(((1+1/$X$23)*(14*10^(-6)))-(($J$31/$X$23+$F$31)*$AW11/100))</f>
        <v>1818.7478935719314</v>
      </c>
      <c r="AY11" s="13">
        <f>$AX11/$X$23</f>
        <v>18187.478935719311</v>
      </c>
      <c r="AZ11" s="13">
        <v>0</v>
      </c>
      <c r="BA11" s="68">
        <f>$AZ11/100/(1-$X$33)*$X$32*10^6/$X$30</f>
        <v>0</v>
      </c>
      <c r="BB11" s="7"/>
      <c r="BC11" s="8" t="e">
        <f>$T$27+$T$28*$T$30*(T11*$T$32)^$T$29</f>
        <v>#VALUE!</v>
      </c>
      <c r="BD11" s="7" t="e">
        <f>J11*Z11</f>
        <v>#VALUE!</v>
      </c>
      <c r="BE11" s="8" t="e">
        <f>BC11+((BD11-BC11)/$T$31)*F11</f>
        <v>#VALUE!</v>
      </c>
      <c r="BF11" s="8">
        <f>$T$27+$T$28*$T$30*(L11)^$T$29</f>
        <v>4.944924965130653E-7</v>
      </c>
      <c r="BG11" s="7"/>
      <c r="BH11" s="7">
        <f>$BC$20*$BB$22*$BB$24*(M11)^$BB$21</f>
        <v>0</v>
      </c>
    </row>
    <row r="12" spans="1:60" x14ac:dyDescent="0.25">
      <c r="A12" s="9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7"/>
        <v>2.894E-2</v>
      </c>
      <c r="K12" s="36">
        <f t="shared" si="1"/>
        <v>2.894E-2</v>
      </c>
      <c r="L12" s="94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>AK12*$AV$15</f>
        <v>1.2664631346800649E-3</v>
      </c>
      <c r="AF12" s="1">
        <f>AK12*$AX12</f>
        <v>5.2209882259013124E-4</v>
      </c>
      <c r="AG12" s="24">
        <f>AK12*$BA12</f>
        <v>0</v>
      </c>
      <c r="AH12" s="26">
        <f>AK12*$AY12</f>
        <v>5.2209882259013117E-3</v>
      </c>
      <c r="AI12" s="1">
        <f t="shared" si="8"/>
        <v>2.8706497719414803E-7</v>
      </c>
      <c r="AJ12" s="1">
        <v>0</v>
      </c>
      <c r="AK12">
        <f t="shared" si="3"/>
        <v>2.8706497719414803E-7</v>
      </c>
      <c r="AL12">
        <f t="shared" si="4"/>
        <v>1.4353248859707402E-9</v>
      </c>
      <c r="AM12">
        <f t="shared" si="4"/>
        <v>0</v>
      </c>
      <c r="AN12">
        <f t="shared" si="5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6"/>
        <v>NA</v>
      </c>
      <c r="AT12" t="s">
        <v>32</v>
      </c>
      <c r="AU12" s="58">
        <f>AK12+AE12*$E$31+AF12*$F$31+AH12*$J$31</f>
        <v>8.6145835331422058E-7</v>
      </c>
      <c r="AV12" s="57">
        <f>(1-AK12/AU12)*100</f>
        <v>66.676859526668281</v>
      </c>
      <c r="AW12" s="14">
        <v>9.5</v>
      </c>
      <c r="AX12" s="13">
        <f>(($AW12/100)*(1+($AV$15+$BA12)*$E$31)-$Y$16)/(((1+1/$X$23)*(14*10^(-6)))-(($J$31/$X$23+$F$31)*$AW12/100))</f>
        <v>1818.7478935719314</v>
      </c>
      <c r="AY12" s="14">
        <f>$AX12/$X$23</f>
        <v>18187.478935719311</v>
      </c>
      <c r="AZ12" s="14">
        <v>0</v>
      </c>
      <c r="BA12" s="68">
        <f>$AZ12/100/(1-$X$33)*$X$32*10^6/$X$30</f>
        <v>0</v>
      </c>
      <c r="BB12" s="7"/>
      <c r="BC12" s="8" t="e">
        <f>$T$27+$T$28*$T$30*(T12*$T$32)^$T$29</f>
        <v>#VALUE!</v>
      </c>
      <c r="BD12" s="7" t="e">
        <f>J12*Z12</f>
        <v>#VALUE!</v>
      </c>
      <c r="BE12" s="8" t="e">
        <f>BC12+((BD12-BC12)/$T$31)*F12</f>
        <v>#VALUE!</v>
      </c>
      <c r="BF12" s="8">
        <f>$T$27+$T$28*$T$30*(L12)^$T$29</f>
        <v>2.8706497719414803E-7</v>
      </c>
      <c r="BG12" s="7"/>
      <c r="BH12" s="7">
        <f>$BC$20*$BB$22*$BB$24*(M12)^$BB$21</f>
        <v>0</v>
      </c>
    </row>
    <row r="13" spans="1:60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x14ac:dyDescent="0.25">
      <c r="A14" s="91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35" t="s">
        <v>37</v>
      </c>
      <c r="J14" s="5" t="s">
        <v>27</v>
      </c>
      <c r="K14" s="5" t="s">
        <v>43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44</v>
      </c>
      <c r="Q14" s="5" t="s">
        <v>45</v>
      </c>
      <c r="R14" s="5" t="s">
        <v>84</v>
      </c>
      <c r="S14" s="5" t="s">
        <v>66</v>
      </c>
      <c r="T14" s="5" t="s">
        <v>64</v>
      </c>
      <c r="U14" s="12" t="s">
        <v>62</v>
      </c>
      <c r="V14" s="12" t="s">
        <v>91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25">
      <c r="A15" s="91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36">
        <v>8.2000000000000003E-2</v>
      </c>
      <c r="I15" s="36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9">J15*$X15</f>
        <v>16.239747221660625</v>
      </c>
      <c r="N15">
        <f t="shared" ref="N15:N20" si="10">AA15*$J15</f>
        <v>0</v>
      </c>
      <c r="O15" s="1">
        <f t="shared" ref="O15:O20" si="11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3">
        <v>21</v>
      </c>
      <c r="V15" s="13">
        <v>4.3</v>
      </c>
      <c r="W15" s="13">
        <f t="shared" ref="W15:W20" si="12">(($V15/100)*(1+$AB$16*$E$31)-$Y$16)/(((1+1/$X$23)*(14*10^(-6)))-(($J$31/$X$23+$F$31)*$V15/100))</f>
        <v>395.90503059926971</v>
      </c>
      <c r="X15" s="13">
        <f>$W15/$X$23</f>
        <v>3959.0503059926968</v>
      </c>
      <c r="Y15" s="64" t="s">
        <v>43</v>
      </c>
      <c r="Z15" s="64" t="s">
        <v>27</v>
      </c>
      <c r="AA15" s="73">
        <f t="shared" ref="AA15:AA20" si="13">IF(F15="HiddenElement",$AA$22/100/(1-$X$33)*$X$32*10^6/$X$30,0)</f>
        <v>0</v>
      </c>
      <c r="AB15" s="72" t="s">
        <v>21</v>
      </c>
      <c r="AC15" s="13">
        <f>ROUND(X15/$AY$6*120,0)</f>
        <v>57</v>
      </c>
      <c r="AD15" s="13">
        <f>J15+L15*$F$31+M15*$J$31+O15*$E$31</f>
        <v>6.293064121245898E-3</v>
      </c>
      <c r="AE15" s="56">
        <f>(1-J15/AD15)*100</f>
        <v>34.818239239744116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25">
      <c r="A16" s="91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36">
        <v>2.8500000000000001E-2</v>
      </c>
      <c r="I16" s="36" t="s">
        <v>33</v>
      </c>
      <c r="J16">
        <f>H16*$U$16</f>
        <v>1.7099999999999999E-3</v>
      </c>
      <c r="K16">
        <f t="shared" ref="K16:K20" si="14">J16*0.005</f>
        <v>8.5499999999999995E-6</v>
      </c>
      <c r="L16">
        <f>J16*$W16</f>
        <v>0.19277131424832977</v>
      </c>
      <c r="M16">
        <f t="shared" si="9"/>
        <v>1.9277131424832974</v>
      </c>
      <c r="N16">
        <f t="shared" si="10"/>
        <v>0</v>
      </c>
      <c r="O16" s="1">
        <f t="shared" si="11"/>
        <v>7.5441176470588234</v>
      </c>
      <c r="P16">
        <v>2.6861000000000002E-4</v>
      </c>
      <c r="Q16" s="1">
        <f t="shared" ref="Q16:Q20" si="15">J16*$AC16</f>
        <v>2.7359999999999999E-2</v>
      </c>
      <c r="R16">
        <f>X16</f>
        <v>1127.3176271832149</v>
      </c>
      <c r="S16">
        <v>0</v>
      </c>
      <c r="T16">
        <v>0</v>
      </c>
      <c r="U16" s="13">
        <v>0.06</v>
      </c>
      <c r="V16" s="13">
        <v>1.8</v>
      </c>
      <c r="W16" s="13">
        <f t="shared" si="12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3">
        <f t="shared" si="13"/>
        <v>0</v>
      </c>
      <c r="AB16" s="42">
        <f>$AB$17/100/(1-$X$33)*$X$32*10^6/$X$30</f>
        <v>4411.7647058823532</v>
      </c>
      <c r="AC16" s="13">
        <f t="shared" ref="AC16:AC20" si="16">ROUND(X16/$AY$6*120,0)</f>
        <v>16</v>
      </c>
      <c r="AD16" s="13">
        <f t="shared" ref="AD16:AD20" si="17">J16+L16*$F$31+M16*$J$31+O16*$E$31</f>
        <v>2.1242656885690431E-3</v>
      </c>
      <c r="AE16" s="56">
        <f t="shared" ref="AE16:AE20" si="18">(1-J16/AD16)*100</f>
        <v>19.501594871030591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25">
      <c r="A17" s="91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36">
        <v>9.1999999999999998E-2</v>
      </c>
      <c r="I17" s="36" t="s">
        <v>33</v>
      </c>
      <c r="J17">
        <f>P17*$U$17</f>
        <v>5.0624699999999995E-3</v>
      </c>
      <c r="K17">
        <f t="shared" si="14"/>
        <v>2.5312349999999998E-5</v>
      </c>
      <c r="L17">
        <f t="shared" ref="L17:L20" si="19">J17*$W17</f>
        <v>2.3758024102824513</v>
      </c>
      <c r="M17">
        <f t="shared" si="9"/>
        <v>23.758024102824514</v>
      </c>
      <c r="N17">
        <f t="shared" si="10"/>
        <v>0</v>
      </c>
      <c r="O17" s="1">
        <f t="shared" si="11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3">
        <v>21</v>
      </c>
      <c r="V17" s="13">
        <v>4.8</v>
      </c>
      <c r="W17" s="13">
        <f t="shared" si="12"/>
        <v>469.29708428542818</v>
      </c>
      <c r="X17" s="13">
        <f t="shared" ref="X17:X20" si="20">$W17/$X$23</f>
        <v>4692.9708428542817</v>
      </c>
      <c r="Z17" s="24"/>
      <c r="AA17" s="73">
        <f t="shared" si="13"/>
        <v>0</v>
      </c>
      <c r="AB17" s="39">
        <v>10</v>
      </c>
      <c r="AC17" s="13">
        <f t="shared" si="16"/>
        <v>68</v>
      </c>
      <c r="AD17" s="13">
        <f t="shared" si="17"/>
        <v>8.1497066913228666E-3</v>
      </c>
      <c r="AE17" s="56">
        <f t="shared" si="18"/>
        <v>37.88156811348685</v>
      </c>
      <c r="AF17" s="1"/>
      <c r="AG17" s="1"/>
    </row>
    <row r="18" spans="1:55" x14ac:dyDescent="0.25">
      <c r="A18" s="91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36">
        <v>2.8500000000000001E-2</v>
      </c>
      <c r="I18" s="36" t="s">
        <v>33</v>
      </c>
      <c r="J18">
        <f>H18*$U$18</f>
        <v>2.2800000000000003E-3</v>
      </c>
      <c r="K18">
        <f t="shared" si="14"/>
        <v>1.1400000000000003E-5</v>
      </c>
      <c r="L18">
        <f t="shared" si="19"/>
        <v>0.36572238936056839</v>
      </c>
      <c r="M18">
        <f t="shared" si="9"/>
        <v>3.6572238936056838</v>
      </c>
      <c r="N18">
        <f t="shared" si="10"/>
        <v>3.0176470588235293</v>
      </c>
      <c r="O18" s="1">
        <f t="shared" si="11"/>
        <v>10.058823529411766</v>
      </c>
      <c r="P18">
        <v>2.4800000000000001E-4</v>
      </c>
      <c r="Q18" s="1">
        <f t="shared" si="15"/>
        <v>5.2440000000000007E-2</v>
      </c>
      <c r="R18">
        <f>X18</f>
        <v>1604.0455673709137</v>
      </c>
      <c r="S18">
        <v>0</v>
      </c>
      <c r="T18">
        <v>0</v>
      </c>
      <c r="U18" s="13">
        <v>0.08</v>
      </c>
      <c r="V18" s="13">
        <v>2.2999999999999998</v>
      </c>
      <c r="W18" s="13">
        <f t="shared" si="12"/>
        <v>160.40455673709138</v>
      </c>
      <c r="X18" s="13">
        <f t="shared" si="20"/>
        <v>1604.0455673709137</v>
      </c>
      <c r="AA18" s="73">
        <f>IF(F18="HiddenElement",$AA$22/100/(1-$X$33)*$X$32*10^6/$X$30,0)</f>
        <v>1323.5294117647056</v>
      </c>
      <c r="AB18" s="40" t="s">
        <v>104</v>
      </c>
      <c r="AC18" s="13">
        <f t="shared" si="16"/>
        <v>23</v>
      </c>
      <c r="AD18" s="13">
        <f t="shared" si="17"/>
        <v>2.9444020852838065E-3</v>
      </c>
      <c r="AE18" s="56">
        <f t="shared" si="18"/>
        <v>22.564923744773314</v>
      </c>
      <c r="AF18" s="1"/>
      <c r="AG18" s="1"/>
    </row>
    <row r="19" spans="1:55" x14ac:dyDescent="0.25">
      <c r="A19" s="91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36">
        <v>5.0000000000000001E-4</v>
      </c>
      <c r="I19" s="36" t="s">
        <v>33</v>
      </c>
      <c r="J19">
        <f>H19*$U$19</f>
        <v>4.0000000000000003E-5</v>
      </c>
      <c r="K19">
        <f t="shared" si="14"/>
        <v>2.0000000000000002E-7</v>
      </c>
      <c r="L19">
        <f t="shared" si="19"/>
        <v>6.4161822694836562E-3</v>
      </c>
      <c r="M19">
        <f t="shared" si="9"/>
        <v>6.4161822694836557E-2</v>
      </c>
      <c r="N19">
        <f t="shared" si="10"/>
        <v>0</v>
      </c>
      <c r="O19" s="1">
        <f t="shared" si="11"/>
        <v>0.17647058823529413</v>
      </c>
      <c r="P19">
        <v>4.7099999999999998E-6</v>
      </c>
      <c r="Q19" s="1">
        <f t="shared" si="15"/>
        <v>9.2000000000000003E-4</v>
      </c>
      <c r="R19">
        <f>X19</f>
        <v>1604.0455673709137</v>
      </c>
      <c r="S19">
        <v>0</v>
      </c>
      <c r="T19">
        <v>0</v>
      </c>
      <c r="U19" s="13">
        <v>0.08</v>
      </c>
      <c r="V19" s="13">
        <v>2.2999999999999998</v>
      </c>
      <c r="W19" s="13">
        <f t="shared" si="12"/>
        <v>160.40455673709138</v>
      </c>
      <c r="X19" s="13">
        <f t="shared" si="20"/>
        <v>1604.0455673709137</v>
      </c>
      <c r="AA19" s="73">
        <f t="shared" si="13"/>
        <v>0</v>
      </c>
      <c r="AB19" s="1"/>
      <c r="AC19" s="13">
        <f t="shared" si="16"/>
        <v>23</v>
      </c>
      <c r="AD19" s="13">
        <f t="shared" si="17"/>
        <v>5.1656176934803615E-5</v>
      </c>
      <c r="AE19" s="56">
        <f t="shared" si="18"/>
        <v>22.564923744773303</v>
      </c>
      <c r="BA19" s="63" t="s">
        <v>57</v>
      </c>
      <c r="BB19" s="7" t="s">
        <v>47</v>
      </c>
      <c r="BC19" s="8">
        <v>0</v>
      </c>
    </row>
    <row r="20" spans="1:55" x14ac:dyDescent="0.25">
      <c r="A20" s="91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36">
        <v>6.0421565000000003E-2</v>
      </c>
      <c r="I20" s="36" t="s">
        <v>31</v>
      </c>
      <c r="J20">
        <f>P20*$U$20</f>
        <v>4.0322099999999996E-3</v>
      </c>
      <c r="K20">
        <f t="shared" si="14"/>
        <v>2.0161049999999999E-5</v>
      </c>
      <c r="L20">
        <f t="shared" si="19"/>
        <v>2.0843008232103681</v>
      </c>
      <c r="M20">
        <f t="shared" si="9"/>
        <v>20.843008232103678</v>
      </c>
      <c r="N20">
        <f t="shared" si="10"/>
        <v>0</v>
      </c>
      <c r="O20" s="1">
        <f t="shared" si="11"/>
        <v>17.789161764705881</v>
      </c>
      <c r="P20">
        <v>1.9201E-4</v>
      </c>
      <c r="Q20" s="1">
        <f t="shared" si="15"/>
        <v>0.30241574999999998</v>
      </c>
      <c r="R20">
        <v>0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12"/>
        <v>516.91276575633913</v>
      </c>
      <c r="X20" s="14">
        <f t="shared" si="20"/>
        <v>5169.127657563391</v>
      </c>
      <c r="AA20" s="74">
        <f t="shared" si="13"/>
        <v>0</v>
      </c>
      <c r="AC20" s="14">
        <f t="shared" si="16"/>
        <v>75</v>
      </c>
      <c r="AD20" s="14">
        <f t="shared" si="17"/>
        <v>6.689085819105817E-3</v>
      </c>
      <c r="AE20" s="57">
        <f t="shared" si="18"/>
        <v>39.719565437732463</v>
      </c>
      <c r="BA20" s="63"/>
      <c r="BB20" s="7" t="s">
        <v>48</v>
      </c>
      <c r="BC20" s="7">
        <v>0.106</v>
      </c>
    </row>
    <row r="21" spans="1:55" x14ac:dyDescent="0.25">
      <c r="A21" s="2"/>
      <c r="V21" s="75"/>
      <c r="W21" s="15"/>
      <c r="X21" s="45"/>
      <c r="Z21" s="1"/>
      <c r="AN21" s="63"/>
      <c r="AO21" s="84"/>
      <c r="AP21" s="86"/>
      <c r="AQ21" s="86"/>
      <c r="AR21" s="86"/>
      <c r="AS21" s="86"/>
      <c r="AT21" s="86"/>
      <c r="AU21" s="63"/>
      <c r="AV21" s="63"/>
      <c r="AW21" s="63"/>
      <c r="AX21" s="63"/>
      <c r="AY21" s="77"/>
      <c r="AZ21" s="77"/>
      <c r="BA21" s="7" t="s">
        <v>49</v>
      </c>
      <c r="BB21" s="7">
        <v>1.28</v>
      </c>
    </row>
    <row r="22" spans="1:55" x14ac:dyDescent="0.25">
      <c r="A22" s="2"/>
      <c r="V22" s="27"/>
      <c r="W22" s="76"/>
      <c r="X22" s="17" t="s">
        <v>80</v>
      </c>
      <c r="Y22" s="33" t="s">
        <v>81</v>
      </c>
      <c r="AA22" s="39">
        <v>3</v>
      </c>
      <c r="AN22" s="63"/>
      <c r="AO22" s="84"/>
      <c r="AP22" s="86"/>
      <c r="AQ22" s="86"/>
      <c r="AR22" s="86"/>
      <c r="AS22" s="86"/>
      <c r="AT22" s="86"/>
      <c r="AU22" s="63"/>
      <c r="AV22" s="63"/>
      <c r="AW22" s="63"/>
      <c r="AX22" s="63"/>
      <c r="AY22" s="77"/>
      <c r="AZ22" s="77"/>
      <c r="BA22" s="7" t="s">
        <v>50</v>
      </c>
      <c r="BB22" s="7">
        <v>0.8</v>
      </c>
    </row>
    <row r="23" spans="1:55" x14ac:dyDescent="0.25">
      <c r="A23" s="2"/>
      <c r="X23" s="14">
        <v>0.1</v>
      </c>
      <c r="Y23" s="59">
        <f>(SUMPRODUCT(V15:V20,AD15:AD20)+SUMPRODUCT(AW5:AW12,AU5:AU12))/SUM(AD15:AD20,AU5:AU12)</f>
        <v>4.4061871887392909</v>
      </c>
      <c r="AA23" s="40" t="s">
        <v>104</v>
      </c>
      <c r="AN23" s="63"/>
      <c r="AO23" s="84"/>
      <c r="AP23" s="86"/>
      <c r="AQ23" s="86"/>
      <c r="AR23" s="86"/>
      <c r="AS23" s="86"/>
      <c r="AT23" s="86"/>
      <c r="AU23" s="63"/>
      <c r="AV23" s="63"/>
      <c r="AW23" s="63"/>
      <c r="AX23" s="63"/>
      <c r="AY23" s="77"/>
      <c r="AZ23" s="77"/>
      <c r="BA23" s="7" t="s">
        <v>60</v>
      </c>
      <c r="BB23" s="7">
        <f>210*3600*24/12</f>
        <v>1512000</v>
      </c>
    </row>
    <row r="24" spans="1:55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25">
      <c r="A25" s="91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25">
      <c r="A26" s="91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25">
      <c r="A27" s="91"/>
      <c r="B27">
        <v>1</v>
      </c>
      <c r="C27" t="s">
        <v>30</v>
      </c>
      <c r="D27" t="s">
        <v>68</v>
      </c>
      <c r="E27" s="24">
        <f>E28*$K$27</f>
        <v>149.40821075064164</v>
      </c>
      <c r="F27" s="24">
        <f>F28*$K$27</f>
        <v>2.0336023403363006</v>
      </c>
      <c r="G27" s="24">
        <f>G28*$K$27</f>
        <v>20.336023403363001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3.3865861103478771E-2</v>
      </c>
      <c r="L27" s="24">
        <f>K27*$Y$16</f>
        <v>1.6932930551739387E-4</v>
      </c>
      <c r="M27" s="24">
        <f>M28*$K$27</f>
        <v>8.4664652758696928</v>
      </c>
      <c r="N27" s="61" t="s">
        <v>112</v>
      </c>
      <c r="O27" s="17" t="s">
        <v>69</v>
      </c>
      <c r="P27" s="17" t="s">
        <v>83</v>
      </c>
      <c r="Q27" s="17" t="s">
        <v>82</v>
      </c>
      <c r="R27" s="92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25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SUM(AK5:AK12,J15:J20)/K27</f>
        <v>0.59356706071351761</v>
      </c>
      <c r="O28" s="14">
        <v>0.8</v>
      </c>
      <c r="P28" s="14">
        <v>0.1</v>
      </c>
      <c r="Q28" s="14">
        <v>1.2</v>
      </c>
      <c r="R28" s="92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25">
      <c r="F29" s="1"/>
      <c r="R29" s="92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25">
      <c r="D30" s="23" t="s">
        <v>78</v>
      </c>
      <c r="F30" s="1"/>
      <c r="O30" s="28" t="s">
        <v>116</v>
      </c>
      <c r="P30" s="54">
        <f>K27+SUM(J15:J20)+SUM(AK5:AK12)</f>
        <v>5.3967520737202901E-2</v>
      </c>
      <c r="R30" s="92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2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92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25">
      <c r="O33" s="28" t="s">
        <v>92</v>
      </c>
      <c r="P33" s="54">
        <f t="array" ref="P33">SUM(J15:J20,AK5:AK12)+SUM(AF5:AF12*F31,L15:L20*F31)+SUM(AH5:AH12*J31,M15:M20*J31)+SUM(AE5:AE12*E31,O15:O20*E31)+SUM(N15:N20*E31,AG5:AG12*E31)</f>
        <v>3.1685114136390059E-2</v>
      </c>
      <c r="W33" s="28" t="s">
        <v>105</v>
      </c>
      <c r="X33" s="41">
        <v>0.2</v>
      </c>
    </row>
    <row r="34" spans="1:24" x14ac:dyDescent="0.25">
      <c r="O34" s="28" t="s">
        <v>93</v>
      </c>
      <c r="P34" s="29">
        <f>K27+E27*E31+F27*F31+G27*G31</f>
        <v>3.9606392670487579E-2</v>
      </c>
    </row>
    <row r="35" spans="1:24" ht="15" customHeight="1" x14ac:dyDescent="0.25">
      <c r="A35" s="93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7.1291506806877639E-2</v>
      </c>
      <c r="Q35" s="25"/>
    </row>
    <row r="36" spans="1:24" x14ac:dyDescent="0.25">
      <c r="A36" s="93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25">
      <c r="O37" s="28" t="s">
        <v>114</v>
      </c>
      <c r="P37" s="32">
        <f>1-SUM($AK$5:$AK$12,$J$15:$J$20)/$P$33</f>
        <v>0.36558033065004591</v>
      </c>
    </row>
    <row r="38" spans="1:24" x14ac:dyDescent="0.25">
      <c r="O38" s="28" t="s">
        <v>115</v>
      </c>
      <c r="P38" s="32">
        <f>1-$K$27/$P$34</f>
        <v>0.14493952061648685</v>
      </c>
    </row>
    <row r="39" spans="1:24" x14ac:dyDescent="0.25">
      <c r="O39" s="28" t="s">
        <v>94</v>
      </c>
      <c r="P39" s="32">
        <f>1-SUM($AK$5:$AK$12,$J$15:$J$20)/($P$33+N28/(1+N28)*P32)</f>
        <v>0.36558033065004591</v>
      </c>
    </row>
    <row r="40" spans="1:24" x14ac:dyDescent="0.25">
      <c r="O40" s="28" t="s">
        <v>95</v>
      </c>
      <c r="P40" s="32">
        <f>1-$K$27/($P$34+1/(1+N28)*P32)</f>
        <v>0.14493952061648685</v>
      </c>
    </row>
    <row r="42" spans="1:24" x14ac:dyDescent="0.25">
      <c r="O42" s="28" t="s">
        <v>110</v>
      </c>
      <c r="P42" s="60" t="e">
        <f>(F26*14*10^-6)/(E26*E31+F26*F31)*100</f>
        <v>#DIV/0!</v>
      </c>
    </row>
    <row r="43" spans="1:24" x14ac:dyDescent="0.25">
      <c r="O43" s="28" t="s">
        <v>109</v>
      </c>
      <c r="P43" s="60" t="e">
        <f>($Y$23*$P$33+$Q$28*$P$34+$P$32*$P$42)/$P$35</f>
        <v>#DIV/0!</v>
      </c>
    </row>
    <row r="44" spans="1:24" x14ac:dyDescent="0.25">
      <c r="O44" s="28" t="s">
        <v>113</v>
      </c>
      <c r="P44" s="60">
        <f>($Y$23*$P$33+$Q$28*$P$34)/($P$33+$P$34)</f>
        <v>2.6249720838841291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baseColWidth="10" defaultRowHeight="15" x14ac:dyDescent="0.25"/>
  <sheetData>
    <row r="1" spans="1:4" x14ac:dyDescent="0.25">
      <c r="A1" s="2" t="s">
        <v>139</v>
      </c>
    </row>
    <row r="3" spans="1:4" x14ac:dyDescent="0.25">
      <c r="A3" s="87" t="s">
        <v>2</v>
      </c>
      <c r="B3" s="87" t="s">
        <v>9</v>
      </c>
      <c r="C3" s="87" t="s">
        <v>140</v>
      </c>
      <c r="D3" s="88" t="s">
        <v>145</v>
      </c>
    </row>
    <row r="4" spans="1:4" x14ac:dyDescent="0.25">
      <c r="A4">
        <v>3</v>
      </c>
      <c r="B4">
        <v>9.25</v>
      </c>
    </row>
    <row r="5" spans="1:4" x14ac:dyDescent="0.25">
      <c r="A5">
        <v>4</v>
      </c>
      <c r="B5">
        <v>2.6</v>
      </c>
    </row>
    <row r="6" spans="1:4" x14ac:dyDescent="0.25">
      <c r="A6">
        <v>5</v>
      </c>
      <c r="B6">
        <v>0.2</v>
      </c>
      <c r="C6">
        <f>LN(B6)</f>
        <v>-1.6094379124341003</v>
      </c>
      <c r="D6" s="89">
        <f>EXP($B$17*A6^3+$B$18*A6^2+$B$19*A6+$B$20)</f>
        <v>0.19677388526365688</v>
      </c>
    </row>
    <row r="7" spans="1:4" x14ac:dyDescent="0.25">
      <c r="A7">
        <v>6</v>
      </c>
      <c r="B7">
        <v>7.2000000000000008E-2</v>
      </c>
      <c r="C7">
        <f t="shared" ref="C7:C11" si="0">LN(B7)</f>
        <v>-2.6310891599660815</v>
      </c>
      <c r="D7" s="89">
        <f t="shared" ref="D7:D11" si="1">EXP($B$17*A7^3+$B$18*A7^2+$B$19*A7+$B$20)</f>
        <v>7.5411160325070087E-2</v>
      </c>
    </row>
    <row r="8" spans="1:4" x14ac:dyDescent="0.25">
      <c r="A8">
        <v>7</v>
      </c>
      <c r="B8">
        <v>3.1E-2</v>
      </c>
      <c r="C8">
        <f t="shared" si="0"/>
        <v>-3.473768074496991</v>
      </c>
      <c r="D8" s="89">
        <f t="shared" si="1"/>
        <v>3.1376376813217782E-2</v>
      </c>
    </row>
    <row r="9" spans="1:4" x14ac:dyDescent="0.25">
      <c r="A9">
        <v>8</v>
      </c>
      <c r="B9">
        <v>1.6E-2</v>
      </c>
      <c r="C9">
        <f t="shared" si="0"/>
        <v>-4.1351665567423561</v>
      </c>
      <c r="D9" s="89">
        <f t="shared" si="1"/>
        <v>1.4587358230165945E-2</v>
      </c>
    </row>
    <row r="10" spans="1:4" x14ac:dyDescent="0.25">
      <c r="A10">
        <v>9</v>
      </c>
      <c r="B10">
        <v>6.9999999999999993E-3</v>
      </c>
      <c r="C10">
        <f t="shared" si="0"/>
        <v>-4.9618451299268242</v>
      </c>
      <c r="D10" s="89">
        <f t="shared" si="1"/>
        <v>7.7994660715105801E-3</v>
      </c>
    </row>
    <row r="11" spans="1:4" x14ac:dyDescent="0.25">
      <c r="A11">
        <v>10</v>
      </c>
      <c r="B11">
        <v>5.0000000000000001E-3</v>
      </c>
      <c r="C11">
        <f t="shared" si="0"/>
        <v>-5.2983173665480363</v>
      </c>
      <c r="D11" s="89">
        <f t="shared" si="1"/>
        <v>4.9359999623829953E-3</v>
      </c>
    </row>
    <row r="17" spans="1:2" x14ac:dyDescent="0.25">
      <c r="A17" t="s">
        <v>141</v>
      </c>
      <c r="B17">
        <v>4.7999999999999996E-3</v>
      </c>
    </row>
    <row r="18" spans="1:2" x14ac:dyDescent="0.25">
      <c r="A18" t="s">
        <v>142</v>
      </c>
      <c r="B18">
        <v>-4.53E-2</v>
      </c>
    </row>
    <row r="19" spans="1:2" x14ac:dyDescent="0.25">
      <c r="A19" t="s">
        <v>143</v>
      </c>
      <c r="B19">
        <v>-0.89759999999999995</v>
      </c>
    </row>
    <row r="20" spans="1:2" x14ac:dyDescent="0.25">
      <c r="A20" t="s">
        <v>144</v>
      </c>
      <c r="B20">
        <v>3.3948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INPUTS</vt:lpstr>
      <vt:lpstr>Fit leaf_L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2020-01-30T20:36:57Z</dcterms:modified>
</cp:coreProperties>
</file>