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ntiago\Google Drive\2019-20 OpenBiome Marina\public_16S_paper\data_figures\"/>
    </mc:Choice>
  </mc:AlternateContent>
  <xr:revisionPtr revIDLastSave="0" documentId="13_ncr:1_{41A4B655-0D17-48B6-ADDD-FA3DA48BD4BC}" xr6:coauthVersionLast="45" xr6:coauthVersionMax="45" xr10:uidLastSave="{00000000-0000-0000-0000-000000000000}"/>
  <bookViews>
    <workbookView xWindow="1080" yWindow="1080" windowWidth="17970" windowHeight="14325" xr2:uid="{730B0D4C-5406-488B-AF59-2063678BBAB3}"/>
  </bookViews>
  <sheets>
    <sheet name="Sheet1" sheetId="1" r:id="rId1"/>
  </sheets>
  <definedNames>
    <definedName name="_xlnm._FilterDatabase" localSheetId="0" hidden="1">Sheet1!$A$1:$O$90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" i="1" l="1"/>
  <c r="I89" i="1"/>
  <c r="F88" i="1"/>
  <c r="H88" i="1"/>
  <c r="B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1" i="1"/>
  <c r="E28" i="1"/>
  <c r="E29" i="1"/>
  <c r="E35" i="1"/>
  <c r="E5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4" i="1"/>
  <c r="E34" i="1" s="1"/>
  <c r="D33" i="1"/>
  <c r="E33" i="1" s="1"/>
  <c r="D32" i="1"/>
  <c r="E32" i="1" s="1"/>
  <c r="D31" i="1"/>
  <c r="E31" i="1" s="1"/>
  <c r="D30" i="1"/>
  <c r="E30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0" i="1"/>
  <c r="E20" i="1" s="1"/>
  <c r="D19" i="1"/>
  <c r="E19" i="1" s="1"/>
  <c r="I20" i="1" l="1"/>
  <c r="I21" i="1"/>
  <c r="I86" i="1"/>
  <c r="I78" i="1"/>
  <c r="I70" i="1"/>
  <c r="I65" i="1"/>
  <c r="I36" i="1"/>
  <c r="I44" i="1"/>
  <c r="I52" i="1"/>
  <c r="D88" i="1"/>
  <c r="I55" i="1"/>
  <c r="I47" i="1"/>
  <c r="I15" i="1"/>
  <c r="I7" i="1"/>
  <c r="I33" i="1"/>
  <c r="I39" i="1"/>
  <c r="I29" i="1"/>
  <c r="I58" i="1"/>
  <c r="E88" i="1"/>
  <c r="G88" i="1"/>
  <c r="I30" i="1"/>
  <c r="I14" i="1"/>
  <c r="I6" i="1"/>
  <c r="I54" i="1"/>
  <c r="I81" i="1"/>
  <c r="I73" i="1"/>
  <c r="I84" i="1"/>
  <c r="I76" i="1"/>
  <c r="I68" i="1"/>
  <c r="I35" i="1"/>
  <c r="I27" i="1"/>
  <c r="I11" i="1"/>
  <c r="I3" i="1"/>
  <c r="I83" i="1"/>
  <c r="I75" i="1"/>
  <c r="I63" i="1"/>
  <c r="I38" i="1"/>
  <c r="I28" i="1"/>
  <c r="I66" i="1"/>
  <c r="I64" i="1"/>
  <c r="I46" i="1"/>
  <c r="I31" i="1"/>
  <c r="I22" i="1"/>
  <c r="I23" i="1"/>
  <c r="I2" i="1"/>
  <c r="I80" i="1"/>
  <c r="I72" i="1"/>
  <c r="I62" i="1"/>
  <c r="I53" i="1"/>
  <c r="I45" i="1"/>
  <c r="I37" i="1"/>
  <c r="I13" i="1"/>
  <c r="I5" i="1"/>
  <c r="I87" i="1"/>
  <c r="I79" i="1"/>
  <c r="I71" i="1"/>
  <c r="I85" i="1"/>
  <c r="I77" i="1"/>
  <c r="I69" i="1"/>
  <c r="I12" i="1"/>
  <c r="I4" i="1"/>
  <c r="I59" i="1"/>
  <c r="I26" i="1"/>
  <c r="I82" i="1"/>
  <c r="I74" i="1"/>
  <c r="I49" i="1"/>
  <c r="I41" i="1"/>
  <c r="I25" i="1"/>
  <c r="I17" i="1"/>
  <c r="I9" i="1"/>
  <c r="I43" i="1"/>
  <c r="I19" i="1"/>
  <c r="I67" i="1"/>
  <c r="I18" i="1"/>
  <c r="I10" i="1"/>
  <c r="I56" i="1"/>
  <c r="I48" i="1"/>
  <c r="I40" i="1"/>
  <c r="I32" i="1"/>
  <c r="I24" i="1"/>
  <c r="I16" i="1"/>
  <c r="I8" i="1"/>
  <c r="I61" i="1"/>
  <c r="I51" i="1"/>
  <c r="I50" i="1"/>
  <c r="I42" i="1"/>
  <c r="I34" i="1"/>
  <c r="I60" i="1"/>
  <c r="I88" i="1" l="1"/>
</calcChain>
</file>

<file path=xl/sharedStrings.xml><?xml version="1.0" encoding="utf-8"?>
<sst xmlns="http://schemas.openxmlformats.org/spreadsheetml/2006/main" count="726" uniqueCount="233">
  <si>
    <t>Donor age</t>
  </si>
  <si>
    <t>Donor Sex</t>
  </si>
  <si>
    <t>Donor BMI</t>
  </si>
  <si>
    <t>List of medications taken by donor (If any)</t>
  </si>
  <si>
    <t>List of dietary supplements taken by donor (if any)</t>
  </si>
  <si>
    <t>List of probiotics taken by donor (if any)</t>
  </si>
  <si>
    <t>Donor's known allergies (if any)</t>
  </si>
  <si>
    <t>Donor's average weekly alcohol usage (if known)</t>
  </si>
  <si>
    <t>FT-10022</t>
  </si>
  <si>
    <t>F</t>
  </si>
  <si>
    <t>Vitamin C/ 100mg</t>
  </si>
  <si>
    <t>occassionally</t>
  </si>
  <si>
    <t>Vegan, avoids fried food,bread,beer, yeast</t>
  </si>
  <si>
    <t>3-4</t>
  </si>
  <si>
    <t>FT-10023</t>
  </si>
  <si>
    <t xml:space="preserve">Doesn't eat meatbut eats fish, eggs </t>
  </si>
  <si>
    <t>FT-10024</t>
  </si>
  <si>
    <t>Doesn't each much meat but not a vegan</t>
  </si>
  <si>
    <t>FT-10026</t>
  </si>
  <si>
    <t>M</t>
  </si>
  <si>
    <t>Seasonal allergies</t>
  </si>
  <si>
    <t>FT-10027</t>
  </si>
  <si>
    <t>Multi vitamins</t>
  </si>
  <si>
    <t>Avoids McDonald's and soda</t>
  </si>
  <si>
    <t>Cats, Latex</t>
  </si>
  <si>
    <t>FT-10029</t>
  </si>
  <si>
    <t>MVI, Fish oil</t>
  </si>
  <si>
    <t>2-4</t>
  </si>
  <si>
    <t>FT-10031</t>
  </si>
  <si>
    <t>Kombucha, garlic</t>
  </si>
  <si>
    <t>FT-10032</t>
  </si>
  <si>
    <t>Paleo diet</t>
  </si>
  <si>
    <t>FT-10033</t>
  </si>
  <si>
    <t>Avoids strawberries and raw tomatoes</t>
  </si>
  <si>
    <t>Penecillian</t>
  </si>
  <si>
    <t>FT-10034</t>
  </si>
  <si>
    <t xml:space="preserve">Jolessa 015MG-0.03 MG tablet </t>
  </si>
  <si>
    <t>Penecillian and Amoxicillin</t>
  </si>
  <si>
    <t>FT-10035</t>
  </si>
  <si>
    <t>Vegan, avoids tomatoes b/c of taste</t>
  </si>
  <si>
    <t>Mold</t>
  </si>
  <si>
    <t>FT-10037</t>
  </si>
  <si>
    <t>Viorele- Birth control</t>
  </si>
  <si>
    <t>MVI</t>
  </si>
  <si>
    <t>FT-10038</t>
  </si>
  <si>
    <t>Vitamin B12 and D</t>
  </si>
  <si>
    <t>Vegetarian</t>
  </si>
  <si>
    <t>FT-10039</t>
  </si>
  <si>
    <t xml:space="preserve">Fish oil, men's one a day </t>
  </si>
  <si>
    <t>Accutane</t>
  </si>
  <si>
    <t>avoids dairy</t>
  </si>
  <si>
    <t>Zithromax</t>
  </si>
  <si>
    <t>FT-10040</t>
  </si>
  <si>
    <t>Liver oil, men's multi vitamin</t>
  </si>
  <si>
    <t xml:space="preserve">5-6 meals a day, eats fruits and veggies and lean protein, avoids cilantro </t>
  </si>
  <si>
    <t>FT-10042</t>
  </si>
  <si>
    <t>Yakult probiotic drink</t>
  </si>
  <si>
    <t>Accutane, Amoxicillin</t>
  </si>
  <si>
    <t>FT-10044</t>
  </si>
  <si>
    <t>Implanon- Birth control implant</t>
  </si>
  <si>
    <t>FT-10045</t>
  </si>
  <si>
    <t>Ginko Baloba</t>
  </si>
  <si>
    <t xml:space="preserve">Keefer Yogurt </t>
  </si>
  <si>
    <t>FT-10046</t>
  </si>
  <si>
    <t>FT-10047</t>
  </si>
  <si>
    <t>Birth control</t>
  </si>
  <si>
    <t>Ceclor</t>
  </si>
  <si>
    <t>FT-10048</t>
  </si>
  <si>
    <t>FT-10051</t>
  </si>
  <si>
    <t>Zyrtec</t>
  </si>
  <si>
    <t>FT-10052</t>
  </si>
  <si>
    <t>Protein shake supplements</t>
  </si>
  <si>
    <t>FT-10053</t>
  </si>
  <si>
    <t>Avoids milk</t>
  </si>
  <si>
    <t>FT-10054</t>
  </si>
  <si>
    <t xml:space="preserve">avoids processed foodsDust </t>
  </si>
  <si>
    <t>FT-10056</t>
  </si>
  <si>
    <t>Multivitamins</t>
  </si>
  <si>
    <t>FT-10057</t>
  </si>
  <si>
    <t>Vitamin C 500mg</t>
  </si>
  <si>
    <t>FT-10058</t>
  </si>
  <si>
    <t xml:space="preserve">Fortified Whey isolate 100g daily </t>
  </si>
  <si>
    <t>FT-10059</t>
  </si>
  <si>
    <t xml:space="preserve">summer allergies </t>
  </si>
  <si>
    <t>FT-10060</t>
  </si>
  <si>
    <t xml:space="preserve">CLA- 3g L-Carnite-3g  Green tea- 4 cups </t>
  </si>
  <si>
    <t>Pencillin</t>
  </si>
  <si>
    <t>FT-10062</t>
  </si>
  <si>
    <t xml:space="preserve">Whey protein shake, Equate- One's daily men's multi vitamin </t>
  </si>
  <si>
    <t>FT-10063</t>
  </si>
  <si>
    <t>Fish oil, Multivitamins, Calcuim</t>
  </si>
  <si>
    <t>FT-10064</t>
  </si>
  <si>
    <t>FT-10065</t>
  </si>
  <si>
    <t>FT-10066</t>
  </si>
  <si>
    <t>Vitamins C,D,E, Fish oil, protein powder</t>
  </si>
  <si>
    <t>FT-10067</t>
  </si>
  <si>
    <t>Avoids candy, and snack foods</t>
  </si>
  <si>
    <t>Bees</t>
  </si>
  <si>
    <t>FT-10069</t>
  </si>
  <si>
    <t>FT-10073</t>
  </si>
  <si>
    <t>Multvitamins</t>
  </si>
  <si>
    <t>FT-10074</t>
  </si>
  <si>
    <t>Lutera- oral contraceptive</t>
  </si>
  <si>
    <t xml:space="preserve">Penicillin, Sulfad rugs </t>
  </si>
  <si>
    <t>FT-10077</t>
  </si>
  <si>
    <t xml:space="preserve">One-a-days for men 3x weekly </t>
  </si>
  <si>
    <t>Dust</t>
  </si>
  <si>
    <t>FT-10078</t>
  </si>
  <si>
    <t>multivitamin</t>
  </si>
  <si>
    <t>FT-10079</t>
  </si>
  <si>
    <t>multivitamins</t>
  </si>
  <si>
    <t>Avoids soda</t>
  </si>
  <si>
    <t>FT-10080</t>
  </si>
  <si>
    <t>vitamin d</t>
  </si>
  <si>
    <t>FT-10081</t>
  </si>
  <si>
    <t>FT-10082</t>
  </si>
  <si>
    <t>FT-10083</t>
  </si>
  <si>
    <t xml:space="preserve">Benzol peroxide </t>
  </si>
  <si>
    <t>FT-10084</t>
  </si>
  <si>
    <t>vitamin c</t>
  </si>
  <si>
    <t>vegetarian</t>
  </si>
  <si>
    <t>FT-10086</t>
  </si>
  <si>
    <t>pollen</t>
  </si>
  <si>
    <t>FT-10087</t>
  </si>
  <si>
    <t>avoids sugar</t>
  </si>
  <si>
    <t>benzoyl peroxide</t>
  </si>
  <si>
    <t>FT-10088</t>
  </si>
  <si>
    <t>FT-10089</t>
  </si>
  <si>
    <t>avoids red meat</t>
  </si>
  <si>
    <t>FT-10090</t>
  </si>
  <si>
    <t>Advil</t>
  </si>
  <si>
    <t xml:space="preserve">Vitamin D, Fish Oil 3x week </t>
  </si>
  <si>
    <t>FT-10093</t>
  </si>
  <si>
    <t>birth control</t>
  </si>
  <si>
    <t>FT-10094</t>
  </si>
  <si>
    <t xml:space="preserve">femdoplolius </t>
  </si>
  <si>
    <t>cat dander</t>
  </si>
  <si>
    <t>FT-10095</t>
  </si>
  <si>
    <t>FT-10100</t>
  </si>
  <si>
    <t>N/A</t>
  </si>
  <si>
    <t>FT-10110</t>
  </si>
  <si>
    <t>FT-10120</t>
  </si>
  <si>
    <t>plant based vegan and gluten free</t>
  </si>
  <si>
    <t>FT-10122</t>
  </si>
  <si>
    <t>probiotic/kombucha</t>
  </si>
  <si>
    <t>no specific diet, avoids fast food</t>
  </si>
  <si>
    <t>FT-10123</t>
  </si>
  <si>
    <t>fermented food/kombucha</t>
  </si>
  <si>
    <t>pescatarian and kosher</t>
  </si>
  <si>
    <t>FT-10131</t>
  </si>
  <si>
    <t>lacto-ovo vegetarian</t>
  </si>
  <si>
    <t>FT-10133</t>
  </si>
  <si>
    <t>FT-10140</t>
  </si>
  <si>
    <t>FT-10142</t>
  </si>
  <si>
    <t>Zinc</t>
  </si>
  <si>
    <t>Kombucha and probiotic gummies</t>
  </si>
  <si>
    <t>Mostly vegetarian</t>
  </si>
  <si>
    <t>Seasonal/ pollen</t>
  </si>
  <si>
    <t>FT-10145</t>
  </si>
  <si>
    <t>occasional advil 1/2-3 months and topical abx every few months</t>
  </si>
  <si>
    <t>FT-10164</t>
  </si>
  <si>
    <t>D3 2000 IU/day and multivitamin</t>
  </si>
  <si>
    <t>FT-10324</t>
  </si>
  <si>
    <t>FT-10335</t>
  </si>
  <si>
    <t>Daily multivitamins</t>
  </si>
  <si>
    <t>No red meat</t>
  </si>
  <si>
    <t xml:space="preserve">Asthma, Dogs, Cats </t>
  </si>
  <si>
    <t>FT-10398</t>
  </si>
  <si>
    <t>FT-10420</t>
  </si>
  <si>
    <t>FT-10439</t>
  </si>
  <si>
    <t xml:space="preserve">Fish oil, Multivitamins </t>
  </si>
  <si>
    <t>FT-10449</t>
  </si>
  <si>
    <t xml:space="preserve">Pencillin and cats </t>
  </si>
  <si>
    <t>FT-10527</t>
  </si>
  <si>
    <t xml:space="preserve">Zinc, Vitamin D, Multi Vitamins- Daily </t>
  </si>
  <si>
    <t>FT-10620</t>
  </si>
  <si>
    <t xml:space="preserve">Nature made daily </t>
  </si>
  <si>
    <t xml:space="preserve">Seasonal allergies and cats </t>
  </si>
  <si>
    <t>FT-10629</t>
  </si>
  <si>
    <t>FT-10668</t>
  </si>
  <si>
    <t>Multivitamin-daily</t>
  </si>
  <si>
    <t>FT-10727</t>
  </si>
  <si>
    <t xml:space="preserve">Vitamin D </t>
  </si>
  <si>
    <t>FT-10728</t>
  </si>
  <si>
    <t>FT-10752</t>
  </si>
  <si>
    <t>FT-10785</t>
  </si>
  <si>
    <t>FT-10847</t>
  </si>
  <si>
    <t>FT-10874</t>
  </si>
  <si>
    <t>FT-10908</t>
  </si>
  <si>
    <t>FT-10911</t>
  </si>
  <si>
    <t xml:space="preserve">Loratadine 2-4x a month </t>
  </si>
  <si>
    <t xml:space="preserve">Cats, mild dust allergies </t>
  </si>
  <si>
    <t>FT-10959</t>
  </si>
  <si>
    <t>FT-11094</t>
  </si>
  <si>
    <t>Publication Donor Code</t>
  </si>
  <si>
    <t>Height (in)</t>
  </si>
  <si>
    <t>Height (cm)</t>
  </si>
  <si>
    <t>Weight (lbs)</t>
  </si>
  <si>
    <t>Weight (kgs)</t>
  </si>
  <si>
    <t>Donor Waist circumference (in)</t>
  </si>
  <si>
    <t>Information on donor's normal diet, including foods avoided (if any)</t>
  </si>
  <si>
    <t>&lt; 1</t>
  </si>
  <si>
    <t>0-5</t>
  </si>
  <si>
    <t>0-4</t>
  </si>
  <si>
    <t>3-5</t>
  </si>
  <si>
    <t>2</t>
  </si>
  <si>
    <t>0</t>
  </si>
  <si>
    <t>7-10</t>
  </si>
  <si>
    <t>1-2</t>
  </si>
  <si>
    <t>3</t>
  </si>
  <si>
    <t>1</t>
  </si>
  <si>
    <t>4-5</t>
  </si>
  <si>
    <t>10</t>
  </si>
  <si>
    <t>2-5</t>
  </si>
  <si>
    <t>5-6</t>
  </si>
  <si>
    <t>7</t>
  </si>
  <si>
    <t>2-3</t>
  </si>
  <si>
    <t>4-6</t>
  </si>
  <si>
    <t>5</t>
  </si>
  <si>
    <t>4</t>
  </si>
  <si>
    <t>0-1</t>
  </si>
  <si>
    <t>6</t>
  </si>
  <si>
    <t>8</t>
  </si>
  <si>
    <t>Averages</t>
  </si>
  <si>
    <t>71% male</t>
  </si>
  <si>
    <t>Most common medication: contraceptive</t>
  </si>
  <si>
    <t>11.5% on medication</t>
  </si>
  <si>
    <t>44% take dietary supplement</t>
  </si>
  <si>
    <t>Most common supplement: multivitamin</t>
  </si>
  <si>
    <t>8.1% take a probiotic</t>
  </si>
  <si>
    <t>Generally a fermented food or kombucha</t>
  </si>
  <si>
    <t>30.2% have some type of allergy</t>
  </si>
  <si>
    <t>29.1% follow some type of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</si>
</sst>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42BD-D900-456C-AB6D-04F17400ECE6}">
  <dimension ref="A1:O89"/>
  <sheetViews>
    <sheetView tabSelected="1" topLeftCell="A83" workbookViewId="0">
      <selection activeCell="F94" sqref="F94"/>
    </sheetView>
  </sheetViews>
  <sheetFormatPr defaultRowHeight="15" x14ac:dyDescent="0.25"/>
  <cols>
    <col min="1" max="1" width="22.28515625" bestFit="1" customWidth="1"/>
    <col min="2" max="3" width="10" bestFit="1" customWidth="1"/>
    <col min="4" max="4" width="12" bestFit="1" customWidth="1"/>
    <col min="5" max="5" width="11.28515625" bestFit="1" customWidth="1"/>
    <col min="6" max="6" width="12" bestFit="1" customWidth="1"/>
    <col min="7" max="7" width="12.28515625" bestFit="1" customWidth="1"/>
    <col min="8" max="8" width="29.28515625" bestFit="1" customWidth="1"/>
    <col min="10" max="10" width="39.85546875" customWidth="1"/>
    <col min="11" max="11" width="46" customWidth="1"/>
    <col min="12" max="12" width="38.7109375" customWidth="1"/>
    <col min="13" max="13" width="67.5703125" customWidth="1"/>
    <col min="14" max="14" width="29.7109375" bestFit="1" customWidth="1"/>
    <col min="15" max="15" width="9.140625" style="5"/>
  </cols>
  <sheetData>
    <row r="1" spans="1:15" s="3" customFormat="1" x14ac:dyDescent="0.25">
      <c r="A1" s="3" t="s">
        <v>194</v>
      </c>
      <c r="B1" s="3" t="s">
        <v>0</v>
      </c>
      <c r="C1" s="3" t="s">
        <v>1</v>
      </c>
      <c r="D1" s="3" t="s">
        <v>195</v>
      </c>
      <c r="E1" s="3" t="s">
        <v>196</v>
      </c>
      <c r="F1" s="3" t="s">
        <v>197</v>
      </c>
      <c r="G1" s="3" t="s">
        <v>198</v>
      </c>
      <c r="H1" s="3" t="s">
        <v>199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200</v>
      </c>
      <c r="N1" s="3" t="s">
        <v>6</v>
      </c>
      <c r="O1" s="4" t="s">
        <v>7</v>
      </c>
    </row>
    <row r="2" spans="1:15" x14ac:dyDescent="0.25">
      <c r="A2" t="s">
        <v>8</v>
      </c>
      <c r="B2">
        <v>30</v>
      </c>
      <c r="C2" t="s">
        <v>9</v>
      </c>
      <c r="D2">
        <v>63</v>
      </c>
      <c r="E2" s="1">
        <f>D2*2.54</f>
        <v>160.02000000000001</v>
      </c>
      <c r="F2">
        <v>115</v>
      </c>
      <c r="G2" s="2">
        <f>F2/2.20462</f>
        <v>52.16318458509857</v>
      </c>
      <c r="H2" t="s">
        <v>139</v>
      </c>
      <c r="I2" s="1">
        <f>G2/(E2/100)^2</f>
        <v>20.371150872536763</v>
      </c>
      <c r="J2" t="s">
        <v>139</v>
      </c>
      <c r="K2" t="s">
        <v>10</v>
      </c>
      <c r="L2" t="s">
        <v>11</v>
      </c>
      <c r="M2" t="s">
        <v>12</v>
      </c>
      <c r="N2" t="s">
        <v>139</v>
      </c>
      <c r="O2" s="5" t="s">
        <v>13</v>
      </c>
    </row>
    <row r="3" spans="1:15" x14ac:dyDescent="0.25">
      <c r="A3" t="s">
        <v>14</v>
      </c>
      <c r="B3">
        <v>23</v>
      </c>
      <c r="C3" t="s">
        <v>9</v>
      </c>
      <c r="D3">
        <v>64</v>
      </c>
      <c r="E3" s="1">
        <f t="shared" ref="E3:E66" si="0">D3*2.54</f>
        <v>162.56</v>
      </c>
      <c r="F3">
        <v>145</v>
      </c>
      <c r="G3" s="2">
        <f t="shared" ref="G3:G66" si="1">F3/2.20462</f>
        <v>65.770971868167763</v>
      </c>
      <c r="H3" t="s">
        <v>139</v>
      </c>
      <c r="I3" s="1">
        <f t="shared" ref="I3:I17" si="2">G3/(E3/100)^2</f>
        <v>24.888967355000148</v>
      </c>
      <c r="J3" t="s">
        <v>139</v>
      </c>
      <c r="K3" t="s">
        <v>139</v>
      </c>
      <c r="L3" t="s">
        <v>139</v>
      </c>
      <c r="M3" t="s">
        <v>15</v>
      </c>
      <c r="N3" t="s">
        <v>139</v>
      </c>
      <c r="O3" s="5">
        <v>3</v>
      </c>
    </row>
    <row r="4" spans="1:15" x14ac:dyDescent="0.25">
      <c r="A4" t="s">
        <v>16</v>
      </c>
      <c r="B4">
        <v>24</v>
      </c>
      <c r="C4" t="s">
        <v>9</v>
      </c>
      <c r="D4">
        <v>69</v>
      </c>
      <c r="E4" s="1">
        <f t="shared" si="0"/>
        <v>175.26</v>
      </c>
      <c r="F4">
        <v>150</v>
      </c>
      <c r="G4" s="2">
        <f t="shared" si="1"/>
        <v>68.038936415345958</v>
      </c>
      <c r="H4" t="s">
        <v>139</v>
      </c>
      <c r="I4" s="1">
        <f t="shared" si="2"/>
        <v>22.150926772718119</v>
      </c>
      <c r="J4" t="s">
        <v>139</v>
      </c>
      <c r="K4" t="s">
        <v>139</v>
      </c>
      <c r="L4" t="s">
        <v>139</v>
      </c>
      <c r="M4" t="s">
        <v>17</v>
      </c>
      <c r="N4" t="s">
        <v>139</v>
      </c>
      <c r="O4" s="5">
        <v>4</v>
      </c>
    </row>
    <row r="5" spans="1:15" x14ac:dyDescent="0.25">
      <c r="A5" t="s">
        <v>18</v>
      </c>
      <c r="B5">
        <v>28</v>
      </c>
      <c r="C5" t="s">
        <v>19</v>
      </c>
      <c r="D5">
        <v>67</v>
      </c>
      <c r="E5" s="1">
        <f t="shared" si="0"/>
        <v>170.18</v>
      </c>
      <c r="F5">
        <v>168.2</v>
      </c>
      <c r="G5" s="2">
        <f t="shared" si="1"/>
        <v>76.294327367074601</v>
      </c>
      <c r="H5" t="s">
        <v>139</v>
      </c>
      <c r="I5" s="1">
        <f t="shared" si="2"/>
        <v>26.343605242114833</v>
      </c>
      <c r="J5" t="s">
        <v>139</v>
      </c>
      <c r="K5" t="s">
        <v>139</v>
      </c>
      <c r="L5" t="s">
        <v>139</v>
      </c>
      <c r="M5" t="s">
        <v>139</v>
      </c>
      <c r="N5" t="s">
        <v>20</v>
      </c>
      <c r="O5" s="5">
        <v>5</v>
      </c>
    </row>
    <row r="6" spans="1:15" x14ac:dyDescent="0.25">
      <c r="A6" t="s">
        <v>21</v>
      </c>
      <c r="B6">
        <v>24</v>
      </c>
      <c r="C6" t="s">
        <v>9</v>
      </c>
      <c r="D6">
        <v>62</v>
      </c>
      <c r="E6" s="1">
        <f t="shared" si="0"/>
        <v>157.47999999999999</v>
      </c>
      <c r="F6">
        <v>110.2</v>
      </c>
      <c r="G6" s="2">
        <f t="shared" si="1"/>
        <v>49.985938619807499</v>
      </c>
      <c r="H6" t="s">
        <v>139</v>
      </c>
      <c r="I6" s="1">
        <f t="shared" si="2"/>
        <v>20.155660722534147</v>
      </c>
      <c r="J6" t="s">
        <v>139</v>
      </c>
      <c r="K6" t="s">
        <v>22</v>
      </c>
      <c r="L6" t="s">
        <v>139</v>
      </c>
      <c r="M6" t="s">
        <v>23</v>
      </c>
      <c r="N6" t="s">
        <v>24</v>
      </c>
      <c r="O6" s="5">
        <v>0</v>
      </c>
    </row>
    <row r="7" spans="1:15" x14ac:dyDescent="0.25">
      <c r="A7" t="s">
        <v>25</v>
      </c>
      <c r="B7">
        <v>26</v>
      </c>
      <c r="C7" t="s">
        <v>9</v>
      </c>
      <c r="D7">
        <v>66</v>
      </c>
      <c r="E7" s="1">
        <f t="shared" si="0"/>
        <v>167.64000000000001</v>
      </c>
      <c r="F7">
        <v>130.6</v>
      </c>
      <c r="G7" s="2">
        <f t="shared" si="1"/>
        <v>59.239233972294549</v>
      </c>
      <c r="H7" t="s">
        <v>139</v>
      </c>
      <c r="I7" s="1">
        <f t="shared" si="2"/>
        <v>21.079200252306965</v>
      </c>
      <c r="J7" t="s">
        <v>139</v>
      </c>
      <c r="K7" t="s">
        <v>26</v>
      </c>
      <c r="L7" t="s">
        <v>139</v>
      </c>
      <c r="M7" t="s">
        <v>139</v>
      </c>
      <c r="N7" t="s">
        <v>139</v>
      </c>
      <c r="O7" s="5" t="s">
        <v>27</v>
      </c>
    </row>
    <row r="8" spans="1:15" x14ac:dyDescent="0.25">
      <c r="A8" t="s">
        <v>28</v>
      </c>
      <c r="B8">
        <v>25</v>
      </c>
      <c r="C8" t="s">
        <v>9</v>
      </c>
      <c r="D8">
        <v>66</v>
      </c>
      <c r="E8" s="1">
        <f t="shared" si="0"/>
        <v>167.64000000000001</v>
      </c>
      <c r="F8">
        <v>142</v>
      </c>
      <c r="G8" s="2">
        <f t="shared" si="1"/>
        <v>64.410193139860837</v>
      </c>
      <c r="H8" t="s">
        <v>139</v>
      </c>
      <c r="I8" s="1">
        <f t="shared" si="2"/>
        <v>22.919191698526713</v>
      </c>
      <c r="J8" t="s">
        <v>139</v>
      </c>
      <c r="K8" t="s">
        <v>139</v>
      </c>
      <c r="L8" t="s">
        <v>29</v>
      </c>
      <c r="M8" t="s">
        <v>139</v>
      </c>
      <c r="N8" t="s">
        <v>139</v>
      </c>
      <c r="O8" s="5">
        <v>1</v>
      </c>
    </row>
    <row r="9" spans="1:15" x14ac:dyDescent="0.25">
      <c r="A9" t="s">
        <v>30</v>
      </c>
      <c r="B9">
        <v>43</v>
      </c>
      <c r="C9" t="s">
        <v>19</v>
      </c>
      <c r="D9">
        <v>69</v>
      </c>
      <c r="E9" s="1">
        <f t="shared" si="0"/>
        <v>175.26</v>
      </c>
      <c r="F9">
        <v>175</v>
      </c>
      <c r="G9" s="2">
        <f t="shared" si="1"/>
        <v>79.378759151236949</v>
      </c>
      <c r="H9" t="s">
        <v>139</v>
      </c>
      <c r="I9" s="1">
        <f t="shared" si="2"/>
        <v>25.842747901504474</v>
      </c>
      <c r="J9" t="s">
        <v>139</v>
      </c>
      <c r="K9" t="s">
        <v>139</v>
      </c>
      <c r="L9" t="s">
        <v>139</v>
      </c>
      <c r="M9" t="s">
        <v>31</v>
      </c>
      <c r="N9" t="s">
        <v>139</v>
      </c>
      <c r="O9" s="5">
        <v>5</v>
      </c>
    </row>
    <row r="10" spans="1:15" x14ac:dyDescent="0.25">
      <c r="A10" t="s">
        <v>32</v>
      </c>
      <c r="B10">
        <v>34</v>
      </c>
      <c r="C10" t="s">
        <v>19</v>
      </c>
      <c r="D10">
        <v>68</v>
      </c>
      <c r="E10" s="1">
        <f t="shared" si="0"/>
        <v>172.72</v>
      </c>
      <c r="F10">
        <v>170.4</v>
      </c>
      <c r="G10" s="2">
        <f t="shared" si="1"/>
        <v>77.292231767833016</v>
      </c>
      <c r="H10" t="s">
        <v>139</v>
      </c>
      <c r="I10" s="1">
        <f t="shared" si="2"/>
        <v>25.908996290341449</v>
      </c>
      <c r="J10" t="s">
        <v>139</v>
      </c>
      <c r="K10" t="s">
        <v>139</v>
      </c>
      <c r="L10" t="s">
        <v>139</v>
      </c>
      <c r="M10" t="s">
        <v>33</v>
      </c>
      <c r="N10" t="s">
        <v>34</v>
      </c>
      <c r="O10" s="5" t="s">
        <v>201</v>
      </c>
    </row>
    <row r="11" spans="1:15" x14ac:dyDescent="0.25">
      <c r="A11" t="s">
        <v>35</v>
      </c>
      <c r="B11">
        <v>25</v>
      </c>
      <c r="C11" t="s">
        <v>9</v>
      </c>
      <c r="D11">
        <v>65</v>
      </c>
      <c r="E11" s="1">
        <f t="shared" si="0"/>
        <v>165.1</v>
      </c>
      <c r="F11">
        <v>144.6</v>
      </c>
      <c r="G11" s="2">
        <f t="shared" si="1"/>
        <v>65.5895347043935</v>
      </c>
      <c r="H11" t="s">
        <v>139</v>
      </c>
      <c r="I11" s="1">
        <f t="shared" si="2"/>
        <v>24.062480975094477</v>
      </c>
      <c r="J11" t="s">
        <v>36</v>
      </c>
      <c r="K11" t="s">
        <v>139</v>
      </c>
      <c r="L11" t="s">
        <v>139</v>
      </c>
      <c r="M11" t="s">
        <v>139</v>
      </c>
      <c r="N11" t="s">
        <v>37</v>
      </c>
      <c r="O11" s="5" t="s">
        <v>204</v>
      </c>
    </row>
    <row r="12" spans="1:15" x14ac:dyDescent="0.25">
      <c r="A12" t="s">
        <v>38</v>
      </c>
      <c r="B12">
        <v>19</v>
      </c>
      <c r="C12" t="s">
        <v>19</v>
      </c>
      <c r="D12">
        <v>73</v>
      </c>
      <c r="E12" s="1">
        <f t="shared" si="0"/>
        <v>185.42000000000002</v>
      </c>
      <c r="F12">
        <v>165</v>
      </c>
      <c r="G12" s="2">
        <f t="shared" si="1"/>
        <v>74.842830056880558</v>
      </c>
      <c r="H12" t="s">
        <v>139</v>
      </c>
      <c r="I12" s="1">
        <f t="shared" si="2"/>
        <v>21.768928241959479</v>
      </c>
      <c r="J12" t="s">
        <v>139</v>
      </c>
      <c r="K12" t="s">
        <v>139</v>
      </c>
      <c r="L12" t="s">
        <v>139</v>
      </c>
      <c r="M12" t="s">
        <v>39</v>
      </c>
      <c r="N12" t="s">
        <v>40</v>
      </c>
      <c r="O12" s="5" t="s">
        <v>205</v>
      </c>
    </row>
    <row r="13" spans="1:15" x14ac:dyDescent="0.25">
      <c r="A13" t="s">
        <v>41</v>
      </c>
      <c r="B13">
        <v>26</v>
      </c>
      <c r="C13" t="s">
        <v>9</v>
      </c>
      <c r="D13">
        <v>62</v>
      </c>
      <c r="E13" s="1">
        <f t="shared" si="0"/>
        <v>157.47999999999999</v>
      </c>
      <c r="F13">
        <v>117.4</v>
      </c>
      <c r="G13" s="2">
        <f t="shared" si="1"/>
        <v>53.251807567744109</v>
      </c>
      <c r="H13" t="s">
        <v>139</v>
      </c>
      <c r="I13" s="1">
        <f t="shared" si="2"/>
        <v>21.472545996601717</v>
      </c>
      <c r="J13" t="s">
        <v>42</v>
      </c>
      <c r="K13" t="s">
        <v>43</v>
      </c>
      <c r="L13" t="s">
        <v>139</v>
      </c>
      <c r="M13" t="s">
        <v>139</v>
      </c>
      <c r="N13" t="s">
        <v>139</v>
      </c>
      <c r="O13" s="5" t="s">
        <v>202</v>
      </c>
    </row>
    <row r="14" spans="1:15" x14ac:dyDescent="0.25">
      <c r="A14" t="s">
        <v>44</v>
      </c>
      <c r="B14">
        <v>33</v>
      </c>
      <c r="C14" t="s">
        <v>19</v>
      </c>
      <c r="D14">
        <v>71</v>
      </c>
      <c r="E14" s="1">
        <f t="shared" si="0"/>
        <v>180.34</v>
      </c>
      <c r="F14">
        <v>177.2</v>
      </c>
      <c r="G14" s="2">
        <f t="shared" si="1"/>
        <v>80.376663551995364</v>
      </c>
      <c r="H14">
        <v>35.700000000000003</v>
      </c>
      <c r="I14" s="1">
        <f t="shared" si="2"/>
        <v>24.714159427444585</v>
      </c>
      <c r="J14" t="s">
        <v>139</v>
      </c>
      <c r="K14" t="s">
        <v>45</v>
      </c>
      <c r="L14" t="s">
        <v>139</v>
      </c>
      <c r="M14" t="s">
        <v>46</v>
      </c>
      <c r="N14" t="s">
        <v>139</v>
      </c>
      <c r="O14" s="5" t="s">
        <v>206</v>
      </c>
    </row>
    <row r="15" spans="1:15" x14ac:dyDescent="0.25">
      <c r="A15" t="s">
        <v>47</v>
      </c>
      <c r="B15">
        <v>24</v>
      </c>
      <c r="C15" t="s">
        <v>19</v>
      </c>
      <c r="D15">
        <v>74</v>
      </c>
      <c r="E15" s="1">
        <f t="shared" si="0"/>
        <v>187.96</v>
      </c>
      <c r="F15">
        <v>183</v>
      </c>
      <c r="G15" s="2">
        <f t="shared" si="1"/>
        <v>83.00750242672207</v>
      </c>
      <c r="H15">
        <v>37.6</v>
      </c>
      <c r="I15" s="1">
        <f t="shared" si="2"/>
        <v>23.495596436302293</v>
      </c>
      <c r="J15" t="s">
        <v>49</v>
      </c>
      <c r="K15" t="s">
        <v>48</v>
      </c>
      <c r="L15" t="s">
        <v>139</v>
      </c>
      <c r="M15" t="s">
        <v>50</v>
      </c>
      <c r="N15" t="s">
        <v>51</v>
      </c>
      <c r="O15" s="5" t="s">
        <v>13</v>
      </c>
    </row>
    <row r="16" spans="1:15" x14ac:dyDescent="0.25">
      <c r="A16" t="s">
        <v>52</v>
      </c>
      <c r="B16">
        <v>27</v>
      </c>
      <c r="C16" t="s">
        <v>19</v>
      </c>
      <c r="D16">
        <v>68</v>
      </c>
      <c r="E16" s="1">
        <f t="shared" si="0"/>
        <v>172.72</v>
      </c>
      <c r="F16">
        <v>184.6</v>
      </c>
      <c r="G16" s="2">
        <f t="shared" si="1"/>
        <v>83.733251081819091</v>
      </c>
      <c r="H16">
        <v>34.9</v>
      </c>
      <c r="I16" s="1">
        <f t="shared" si="2"/>
        <v>28.068079314536565</v>
      </c>
      <c r="J16" t="s">
        <v>139</v>
      </c>
      <c r="K16" t="s">
        <v>53</v>
      </c>
      <c r="L16" t="s">
        <v>139</v>
      </c>
      <c r="M16" t="s">
        <v>54</v>
      </c>
      <c r="N16" t="s">
        <v>139</v>
      </c>
      <c r="O16" s="5" t="s">
        <v>207</v>
      </c>
    </row>
    <row r="17" spans="1:15" x14ac:dyDescent="0.25">
      <c r="A17" t="s">
        <v>55</v>
      </c>
      <c r="B17">
        <v>23</v>
      </c>
      <c r="C17" t="s">
        <v>19</v>
      </c>
      <c r="D17">
        <v>70</v>
      </c>
      <c r="E17" s="1">
        <f t="shared" si="0"/>
        <v>177.8</v>
      </c>
      <c r="F17">
        <v>150</v>
      </c>
      <c r="G17" s="2">
        <f t="shared" si="1"/>
        <v>68.038936415345958</v>
      </c>
      <c r="H17">
        <v>31.4</v>
      </c>
      <c r="I17" s="1">
        <f t="shared" si="2"/>
        <v>21.52256374794101</v>
      </c>
      <c r="J17" t="s">
        <v>139</v>
      </c>
      <c r="K17" t="s">
        <v>139</v>
      </c>
      <c r="L17" t="s">
        <v>56</v>
      </c>
      <c r="M17" t="s">
        <v>139</v>
      </c>
      <c r="N17" t="s">
        <v>57</v>
      </c>
      <c r="O17" s="5" t="s">
        <v>205</v>
      </c>
    </row>
    <row r="18" spans="1:15" x14ac:dyDescent="0.25">
      <c r="A18" t="s">
        <v>58</v>
      </c>
      <c r="B18">
        <v>25</v>
      </c>
      <c r="C18" t="s">
        <v>9</v>
      </c>
      <c r="D18">
        <v>67.5</v>
      </c>
      <c r="E18" s="1">
        <f t="shared" si="0"/>
        <v>171.45</v>
      </c>
      <c r="F18">
        <v>114</v>
      </c>
      <c r="G18" s="2">
        <f t="shared" si="1"/>
        <v>51.709591675662928</v>
      </c>
      <c r="H18">
        <v>31</v>
      </c>
      <c r="I18" s="1">
        <f>G18/(E18/100)^2</f>
        <v>17.591226863612036</v>
      </c>
      <c r="J18" t="s">
        <v>59</v>
      </c>
      <c r="K18" t="s">
        <v>139</v>
      </c>
      <c r="L18" t="s">
        <v>139</v>
      </c>
      <c r="M18" t="s">
        <v>139</v>
      </c>
      <c r="N18" t="s">
        <v>139</v>
      </c>
      <c r="O18" s="5" t="s">
        <v>13</v>
      </c>
    </row>
    <row r="19" spans="1:15" x14ac:dyDescent="0.25">
      <c r="A19" t="s">
        <v>60</v>
      </c>
      <c r="B19">
        <v>29</v>
      </c>
      <c r="C19" t="s">
        <v>19</v>
      </c>
      <c r="D19">
        <f>175/2.54</f>
        <v>68.897637795275585</v>
      </c>
      <c r="E19" s="1">
        <f t="shared" si="0"/>
        <v>175</v>
      </c>
      <c r="F19">
        <v>157.6</v>
      </c>
      <c r="G19" s="2">
        <f t="shared" si="1"/>
        <v>71.486242527056817</v>
      </c>
      <c r="H19">
        <v>33</v>
      </c>
      <c r="I19" s="1">
        <f>G19/(E19/100)^2</f>
        <v>23.342446539447124</v>
      </c>
      <c r="J19" t="s">
        <v>139</v>
      </c>
      <c r="K19" t="s">
        <v>61</v>
      </c>
      <c r="L19" t="s">
        <v>62</v>
      </c>
      <c r="M19" t="s">
        <v>139</v>
      </c>
      <c r="N19" t="s">
        <v>20</v>
      </c>
      <c r="O19" s="5" t="s">
        <v>208</v>
      </c>
    </row>
    <row r="20" spans="1:15" x14ac:dyDescent="0.25">
      <c r="A20" t="s">
        <v>63</v>
      </c>
      <c r="B20">
        <v>29</v>
      </c>
      <c r="C20" t="s">
        <v>19</v>
      </c>
      <c r="D20">
        <f>176/2.54</f>
        <v>69.29133858267717</v>
      </c>
      <c r="E20" s="1">
        <f t="shared" si="0"/>
        <v>176.00000000000003</v>
      </c>
      <c r="F20">
        <v>165.6</v>
      </c>
      <c r="G20" s="2">
        <f t="shared" si="1"/>
        <v>75.114985802541938</v>
      </c>
      <c r="H20">
        <v>35</v>
      </c>
      <c r="I20" s="1">
        <f t="shared" ref="I20:I27" si="3">G20/(E20/100)^2</f>
        <v>24.249414321585071</v>
      </c>
      <c r="J20" t="s">
        <v>139</v>
      </c>
      <c r="K20" t="s">
        <v>139</v>
      </c>
      <c r="L20" t="s">
        <v>139</v>
      </c>
      <c r="M20" t="s">
        <v>139</v>
      </c>
      <c r="N20" t="s">
        <v>139</v>
      </c>
      <c r="O20" s="5" t="s">
        <v>208</v>
      </c>
    </row>
    <row r="21" spans="1:15" x14ac:dyDescent="0.25">
      <c r="A21" t="s">
        <v>64</v>
      </c>
      <c r="B21">
        <v>29</v>
      </c>
      <c r="C21" t="s">
        <v>9</v>
      </c>
      <c r="D21">
        <v>63</v>
      </c>
      <c r="E21" s="1">
        <f t="shared" si="0"/>
        <v>160.02000000000001</v>
      </c>
      <c r="F21">
        <v>120</v>
      </c>
      <c r="G21" s="2">
        <f t="shared" si="1"/>
        <v>54.431149132276772</v>
      </c>
      <c r="H21" t="s">
        <v>139</v>
      </c>
      <c r="I21" s="1">
        <f t="shared" si="3"/>
        <v>21.256853084386186</v>
      </c>
      <c r="J21" t="s">
        <v>65</v>
      </c>
      <c r="K21" t="s">
        <v>139</v>
      </c>
      <c r="L21" t="s">
        <v>139</v>
      </c>
      <c r="M21" t="s">
        <v>139</v>
      </c>
      <c r="N21" t="s">
        <v>66</v>
      </c>
      <c r="O21" s="5" t="s">
        <v>209</v>
      </c>
    </row>
    <row r="22" spans="1:15" x14ac:dyDescent="0.25">
      <c r="A22" t="s">
        <v>67</v>
      </c>
      <c r="B22">
        <v>36</v>
      </c>
      <c r="C22" t="s">
        <v>19</v>
      </c>
      <c r="D22">
        <f>189/2.54</f>
        <v>74.40944881889763</v>
      </c>
      <c r="E22" s="1">
        <f t="shared" si="0"/>
        <v>188.99999999999997</v>
      </c>
      <c r="F22">
        <v>174.8</v>
      </c>
      <c r="G22" s="2">
        <f t="shared" si="1"/>
        <v>79.288040569349832</v>
      </c>
      <c r="H22">
        <v>34</v>
      </c>
      <c r="I22" s="1">
        <f t="shared" si="3"/>
        <v>22.196478421474723</v>
      </c>
      <c r="J22" t="s">
        <v>139</v>
      </c>
      <c r="K22" t="s">
        <v>139</v>
      </c>
      <c r="L22" t="s">
        <v>139</v>
      </c>
      <c r="M22" t="s">
        <v>139</v>
      </c>
      <c r="N22" t="s">
        <v>139</v>
      </c>
      <c r="O22" s="5" t="s">
        <v>209</v>
      </c>
    </row>
    <row r="23" spans="1:15" x14ac:dyDescent="0.25">
      <c r="A23" t="s">
        <v>68</v>
      </c>
      <c r="B23">
        <v>25</v>
      </c>
      <c r="C23" t="s">
        <v>19</v>
      </c>
      <c r="D23">
        <f>173/2.54</f>
        <v>68.110236220472444</v>
      </c>
      <c r="E23" s="1">
        <f t="shared" si="0"/>
        <v>173</v>
      </c>
      <c r="F23">
        <v>145</v>
      </c>
      <c r="G23" s="2">
        <f t="shared" si="1"/>
        <v>65.770971868167763</v>
      </c>
      <c r="H23">
        <v>30</v>
      </c>
      <c r="I23" s="1">
        <f t="shared" si="3"/>
        <v>21.975666366456533</v>
      </c>
      <c r="J23" t="s">
        <v>139</v>
      </c>
      <c r="K23" t="s">
        <v>69</v>
      </c>
      <c r="L23" t="s">
        <v>139</v>
      </c>
      <c r="M23" t="s">
        <v>139</v>
      </c>
      <c r="N23" t="s">
        <v>139</v>
      </c>
      <c r="O23" s="5" t="s">
        <v>203</v>
      </c>
    </row>
    <row r="24" spans="1:15" x14ac:dyDescent="0.25">
      <c r="A24" t="s">
        <v>70</v>
      </c>
      <c r="B24">
        <v>32</v>
      </c>
      <c r="C24" t="s">
        <v>19</v>
      </c>
      <c r="D24">
        <f>191/2.54</f>
        <v>75.196850393700785</v>
      </c>
      <c r="E24" s="1">
        <f t="shared" si="0"/>
        <v>191</v>
      </c>
      <c r="F24">
        <v>188</v>
      </c>
      <c r="G24" s="2">
        <f t="shared" si="1"/>
        <v>85.275466973900265</v>
      </c>
      <c r="H24">
        <v>33</v>
      </c>
      <c r="I24" s="1">
        <f t="shared" si="3"/>
        <v>23.375309606068985</v>
      </c>
      <c r="J24" t="s">
        <v>139</v>
      </c>
      <c r="K24" t="s">
        <v>71</v>
      </c>
      <c r="L24" t="s">
        <v>139</v>
      </c>
      <c r="M24" t="s">
        <v>139</v>
      </c>
      <c r="N24" t="s">
        <v>139</v>
      </c>
      <c r="O24" s="5" t="s">
        <v>205</v>
      </c>
    </row>
    <row r="25" spans="1:15" x14ac:dyDescent="0.25">
      <c r="A25" t="s">
        <v>72</v>
      </c>
      <c r="B25">
        <v>30</v>
      </c>
      <c r="C25" t="s">
        <v>19</v>
      </c>
      <c r="D25">
        <f>175*2.54</f>
        <v>444.5</v>
      </c>
      <c r="E25" s="1">
        <f t="shared" si="0"/>
        <v>1129.03</v>
      </c>
      <c r="F25">
        <v>166.6</v>
      </c>
      <c r="G25" s="2">
        <f t="shared" si="1"/>
        <v>75.56857871197758</v>
      </c>
      <c r="H25">
        <v>35.5</v>
      </c>
      <c r="I25" s="1">
        <f t="shared" si="3"/>
        <v>0.59283016023427326</v>
      </c>
      <c r="J25" t="s">
        <v>139</v>
      </c>
      <c r="K25" t="s">
        <v>139</v>
      </c>
      <c r="L25" t="s">
        <v>139</v>
      </c>
      <c r="M25" t="s">
        <v>73</v>
      </c>
      <c r="N25" t="s">
        <v>139</v>
      </c>
      <c r="O25" s="5" t="s">
        <v>208</v>
      </c>
    </row>
    <row r="26" spans="1:15" x14ac:dyDescent="0.25">
      <c r="A26" t="s">
        <v>74</v>
      </c>
      <c r="B26">
        <v>21</v>
      </c>
      <c r="C26" t="s">
        <v>19</v>
      </c>
      <c r="D26">
        <f>71</f>
        <v>71</v>
      </c>
      <c r="E26" s="1">
        <f t="shared" si="0"/>
        <v>180.34</v>
      </c>
      <c r="F26">
        <v>146.19999999999999</v>
      </c>
      <c r="G26" s="2">
        <f t="shared" si="1"/>
        <v>66.315283359490522</v>
      </c>
      <c r="H26">
        <v>30</v>
      </c>
      <c r="I26" s="1">
        <f t="shared" si="3"/>
        <v>20.390576231898407</v>
      </c>
      <c r="J26" t="s">
        <v>139</v>
      </c>
      <c r="K26" t="s">
        <v>139</v>
      </c>
      <c r="L26" t="s">
        <v>139</v>
      </c>
      <c r="M26" t="s">
        <v>75</v>
      </c>
      <c r="N26" t="s">
        <v>139</v>
      </c>
      <c r="O26" s="5" t="s">
        <v>210</v>
      </c>
    </row>
    <row r="27" spans="1:15" x14ac:dyDescent="0.25">
      <c r="A27" t="s">
        <v>76</v>
      </c>
      <c r="B27">
        <v>26</v>
      </c>
      <c r="C27" t="s">
        <v>19</v>
      </c>
      <c r="D27">
        <f>70</f>
        <v>70</v>
      </c>
      <c r="E27" s="1">
        <f t="shared" si="0"/>
        <v>177.8</v>
      </c>
      <c r="F27">
        <v>151.4</v>
      </c>
      <c r="G27" s="2">
        <f t="shared" si="1"/>
        <v>68.673966488555862</v>
      </c>
      <c r="H27">
        <v>30.5</v>
      </c>
      <c r="I27" s="1">
        <f t="shared" si="3"/>
        <v>21.723441009588463</v>
      </c>
      <c r="J27" t="s">
        <v>139</v>
      </c>
      <c r="K27" t="s">
        <v>77</v>
      </c>
      <c r="L27" t="s">
        <v>139</v>
      </c>
      <c r="M27" t="s">
        <v>139</v>
      </c>
      <c r="N27" t="s">
        <v>20</v>
      </c>
      <c r="O27" s="5" t="s">
        <v>207</v>
      </c>
    </row>
    <row r="28" spans="1:15" x14ac:dyDescent="0.25">
      <c r="A28" t="s">
        <v>78</v>
      </c>
      <c r="B28">
        <v>23</v>
      </c>
      <c r="C28" t="s">
        <v>19</v>
      </c>
      <c r="D28">
        <v>72</v>
      </c>
      <c r="E28" s="1">
        <f t="shared" si="0"/>
        <v>182.88</v>
      </c>
      <c r="F28">
        <v>164.2</v>
      </c>
      <c r="G28" s="2">
        <f t="shared" si="1"/>
        <v>74.479955729332048</v>
      </c>
      <c r="H28">
        <v>33</v>
      </c>
      <c r="I28" s="1">
        <f>G28/(E28/100)^2</f>
        <v>22.269321425306561</v>
      </c>
      <c r="J28" t="s">
        <v>139</v>
      </c>
      <c r="K28" t="s">
        <v>79</v>
      </c>
      <c r="L28" t="s">
        <v>139</v>
      </c>
      <c r="M28" t="s">
        <v>139</v>
      </c>
      <c r="N28" t="s">
        <v>139</v>
      </c>
      <c r="O28" s="5" t="s">
        <v>211</v>
      </c>
    </row>
    <row r="29" spans="1:15" x14ac:dyDescent="0.25">
      <c r="A29" t="s">
        <v>80</v>
      </c>
      <c r="B29">
        <v>24</v>
      </c>
      <c r="C29" t="s">
        <v>19</v>
      </c>
      <c r="D29">
        <v>69.5</v>
      </c>
      <c r="E29" s="1">
        <f t="shared" si="0"/>
        <v>176.53</v>
      </c>
      <c r="F29">
        <v>167.6</v>
      </c>
      <c r="G29" s="2">
        <f t="shared" si="1"/>
        <v>76.022171621413221</v>
      </c>
      <c r="H29">
        <v>35</v>
      </c>
      <c r="I29" s="1">
        <f t="shared" ref="I29:I56" si="4">G29/(E29/100)^2</f>
        <v>24.395135175693568</v>
      </c>
      <c r="J29" t="s">
        <v>139</v>
      </c>
      <c r="K29" t="s">
        <v>81</v>
      </c>
      <c r="L29" t="s">
        <v>139</v>
      </c>
      <c r="M29" t="s">
        <v>139</v>
      </c>
      <c r="N29" t="s">
        <v>139</v>
      </c>
      <c r="O29" s="5" t="s">
        <v>212</v>
      </c>
    </row>
    <row r="30" spans="1:15" x14ac:dyDescent="0.25">
      <c r="A30" t="s">
        <v>82</v>
      </c>
      <c r="B30">
        <v>22</v>
      </c>
      <c r="C30" t="s">
        <v>19</v>
      </c>
      <c r="D30">
        <f>166/2.54</f>
        <v>65.354330708661422</v>
      </c>
      <c r="E30" s="1">
        <f t="shared" si="0"/>
        <v>166.00000000000003</v>
      </c>
      <c r="F30">
        <v>136.6</v>
      </c>
      <c r="G30" s="2">
        <f t="shared" si="1"/>
        <v>61.960791428908387</v>
      </c>
      <c r="H30">
        <v>32.4</v>
      </c>
      <c r="I30" s="1">
        <f t="shared" si="4"/>
        <v>22.48540841519392</v>
      </c>
      <c r="J30" t="s">
        <v>139</v>
      </c>
      <c r="K30" t="s">
        <v>139</v>
      </c>
      <c r="L30" t="s">
        <v>139</v>
      </c>
      <c r="M30" t="s">
        <v>139</v>
      </c>
      <c r="N30" t="s">
        <v>83</v>
      </c>
      <c r="O30" s="5" t="s">
        <v>206</v>
      </c>
    </row>
    <row r="31" spans="1:15" x14ac:dyDescent="0.25">
      <c r="A31" t="s">
        <v>84</v>
      </c>
      <c r="B31">
        <v>22</v>
      </c>
      <c r="C31" t="s">
        <v>19</v>
      </c>
      <c r="D31">
        <f>175/2.54</f>
        <v>68.897637795275585</v>
      </c>
      <c r="E31" s="1">
        <f t="shared" si="0"/>
        <v>175</v>
      </c>
      <c r="F31">
        <v>172</v>
      </c>
      <c r="G31" s="2">
        <f t="shared" si="1"/>
        <v>78.017980422930037</v>
      </c>
      <c r="H31">
        <v>34</v>
      </c>
      <c r="I31" s="1">
        <f t="shared" si="4"/>
        <v>25.475258913609807</v>
      </c>
      <c r="J31" t="s">
        <v>139</v>
      </c>
      <c r="K31" t="s">
        <v>85</v>
      </c>
      <c r="L31" t="s">
        <v>139</v>
      </c>
      <c r="M31" t="s">
        <v>139</v>
      </c>
      <c r="N31" t="s">
        <v>86</v>
      </c>
      <c r="O31" s="5" t="s">
        <v>208</v>
      </c>
    </row>
    <row r="32" spans="1:15" x14ac:dyDescent="0.25">
      <c r="A32" t="s">
        <v>87</v>
      </c>
      <c r="B32">
        <v>25</v>
      </c>
      <c r="C32" t="s">
        <v>19</v>
      </c>
      <c r="D32">
        <f>175/2.54</f>
        <v>68.897637795275585</v>
      </c>
      <c r="E32" s="1">
        <f t="shared" si="0"/>
        <v>175</v>
      </c>
      <c r="F32">
        <v>160</v>
      </c>
      <c r="G32" s="2">
        <f t="shared" si="1"/>
        <v>72.574865509702363</v>
      </c>
      <c r="H32">
        <v>34</v>
      </c>
      <c r="I32" s="1">
        <f t="shared" si="4"/>
        <v>23.69791526847424</v>
      </c>
      <c r="J32" t="s">
        <v>139</v>
      </c>
      <c r="K32" t="s">
        <v>88</v>
      </c>
      <c r="L32" t="s">
        <v>139</v>
      </c>
      <c r="M32" t="s">
        <v>139</v>
      </c>
      <c r="N32" t="s">
        <v>139</v>
      </c>
      <c r="O32" s="5" t="s">
        <v>206</v>
      </c>
    </row>
    <row r="33" spans="1:15" x14ac:dyDescent="0.25">
      <c r="A33" t="s">
        <v>89</v>
      </c>
      <c r="B33">
        <v>34</v>
      </c>
      <c r="C33" t="s">
        <v>19</v>
      </c>
      <c r="D33">
        <f>177/2.54</f>
        <v>69.685039370078741</v>
      </c>
      <c r="E33" s="1">
        <f t="shared" si="0"/>
        <v>177</v>
      </c>
      <c r="F33">
        <v>165.2</v>
      </c>
      <c r="G33" s="2">
        <f t="shared" si="1"/>
        <v>74.933548638767675</v>
      </c>
      <c r="H33">
        <v>35</v>
      </c>
      <c r="I33" s="1">
        <f t="shared" si="4"/>
        <v>23.918270177397194</v>
      </c>
      <c r="J33" t="s">
        <v>139</v>
      </c>
      <c r="K33" t="s">
        <v>90</v>
      </c>
      <c r="L33" t="s">
        <v>139</v>
      </c>
      <c r="M33" t="s">
        <v>139</v>
      </c>
      <c r="N33" t="s">
        <v>139</v>
      </c>
      <c r="O33" s="5" t="s">
        <v>213</v>
      </c>
    </row>
    <row r="34" spans="1:15" x14ac:dyDescent="0.25">
      <c r="A34" t="s">
        <v>91</v>
      </c>
      <c r="B34">
        <v>32</v>
      </c>
      <c r="C34" t="s">
        <v>19</v>
      </c>
      <c r="D34">
        <f>167/2.54</f>
        <v>65.748031496062993</v>
      </c>
      <c r="E34" s="1">
        <f t="shared" si="0"/>
        <v>167</v>
      </c>
      <c r="F34">
        <v>130</v>
      </c>
      <c r="G34" s="2">
        <f t="shared" si="1"/>
        <v>58.96707822663317</v>
      </c>
      <c r="H34">
        <v>29.5</v>
      </c>
      <c r="I34" s="1">
        <f t="shared" si="4"/>
        <v>21.143489629112974</v>
      </c>
      <c r="J34" t="s">
        <v>139</v>
      </c>
      <c r="K34" t="s">
        <v>139</v>
      </c>
      <c r="L34" t="s">
        <v>139</v>
      </c>
      <c r="M34" t="s">
        <v>139</v>
      </c>
      <c r="N34" t="s">
        <v>139</v>
      </c>
      <c r="O34" s="5" t="s">
        <v>209</v>
      </c>
    </row>
    <row r="35" spans="1:15" x14ac:dyDescent="0.25">
      <c r="A35" t="s">
        <v>92</v>
      </c>
      <c r="B35">
        <v>26</v>
      </c>
      <c r="C35" t="s">
        <v>19</v>
      </c>
      <c r="D35">
        <v>71</v>
      </c>
      <c r="E35" s="1">
        <f t="shared" si="0"/>
        <v>180.34</v>
      </c>
      <c r="F35">
        <v>206</v>
      </c>
      <c r="G35" s="2">
        <f t="shared" si="1"/>
        <v>93.440139343741791</v>
      </c>
      <c r="H35">
        <v>35</v>
      </c>
      <c r="I35" s="1">
        <f t="shared" si="4"/>
        <v>28.730907686532642</v>
      </c>
      <c r="J35" t="s">
        <v>139</v>
      </c>
      <c r="K35" t="s">
        <v>139</v>
      </c>
      <c r="L35" t="s">
        <v>139</v>
      </c>
      <c r="M35" t="s">
        <v>139</v>
      </c>
      <c r="N35" t="s">
        <v>139</v>
      </c>
      <c r="O35" s="5" t="s">
        <v>205</v>
      </c>
    </row>
    <row r="36" spans="1:15" x14ac:dyDescent="0.25">
      <c r="A36" t="s">
        <v>93</v>
      </c>
      <c r="B36">
        <v>29</v>
      </c>
      <c r="C36" t="s">
        <v>19</v>
      </c>
      <c r="D36">
        <f>186/2.54</f>
        <v>73.228346456692918</v>
      </c>
      <c r="E36" s="1">
        <f t="shared" si="0"/>
        <v>186.00000000000003</v>
      </c>
      <c r="F36">
        <v>187</v>
      </c>
      <c r="G36" s="2">
        <f t="shared" si="1"/>
        <v>84.821874064464637</v>
      </c>
      <c r="H36">
        <v>34</v>
      </c>
      <c r="I36" s="1">
        <f t="shared" si="4"/>
        <v>24.517826935040063</v>
      </c>
      <c r="J36" t="s">
        <v>139</v>
      </c>
      <c r="K36" t="s">
        <v>94</v>
      </c>
      <c r="L36" t="s">
        <v>139</v>
      </c>
      <c r="M36" t="s">
        <v>139</v>
      </c>
      <c r="N36" t="s">
        <v>20</v>
      </c>
      <c r="O36" s="5" t="s">
        <v>214</v>
      </c>
    </row>
    <row r="37" spans="1:15" x14ac:dyDescent="0.25">
      <c r="A37" t="s">
        <v>95</v>
      </c>
      <c r="B37">
        <v>24</v>
      </c>
      <c r="C37" t="s">
        <v>19</v>
      </c>
      <c r="D37">
        <f>170.5/2.54</f>
        <v>67.125984251968504</v>
      </c>
      <c r="E37" s="1">
        <f t="shared" si="0"/>
        <v>170.5</v>
      </c>
      <c r="F37">
        <v>173.8</v>
      </c>
      <c r="G37" s="2">
        <f t="shared" si="1"/>
        <v>78.83444765991419</v>
      </c>
      <c r="H37">
        <v>32.5</v>
      </c>
      <c r="I37" s="1">
        <f t="shared" si="4"/>
        <v>27.118599826253362</v>
      </c>
      <c r="J37" t="s">
        <v>139</v>
      </c>
      <c r="K37" t="s">
        <v>71</v>
      </c>
      <c r="L37" t="s">
        <v>139</v>
      </c>
      <c r="M37" t="s">
        <v>96</v>
      </c>
      <c r="N37" t="s">
        <v>97</v>
      </c>
      <c r="O37" s="5" t="s">
        <v>215</v>
      </c>
    </row>
    <row r="38" spans="1:15" x14ac:dyDescent="0.25">
      <c r="A38" t="s">
        <v>98</v>
      </c>
      <c r="B38">
        <v>35</v>
      </c>
      <c r="C38" t="s">
        <v>19</v>
      </c>
      <c r="D38">
        <f>178/2.54</f>
        <v>70.078740157480311</v>
      </c>
      <c r="E38" s="1">
        <f t="shared" si="0"/>
        <v>178</v>
      </c>
      <c r="F38">
        <v>170</v>
      </c>
      <c r="G38" s="2">
        <f t="shared" si="1"/>
        <v>77.110794604058754</v>
      </c>
      <c r="H38">
        <v>35.5</v>
      </c>
      <c r="I38" s="1">
        <f t="shared" si="4"/>
        <v>24.337455688694217</v>
      </c>
      <c r="J38" t="s">
        <v>139</v>
      </c>
      <c r="K38" t="s">
        <v>139</v>
      </c>
      <c r="L38" t="s">
        <v>139</v>
      </c>
      <c r="M38" t="s">
        <v>139</v>
      </c>
      <c r="N38" t="s">
        <v>139</v>
      </c>
      <c r="O38" s="5" t="s">
        <v>216</v>
      </c>
    </row>
    <row r="39" spans="1:15" x14ac:dyDescent="0.25">
      <c r="A39" t="s">
        <v>99</v>
      </c>
      <c r="B39">
        <v>22</v>
      </c>
      <c r="C39" t="s">
        <v>19</v>
      </c>
      <c r="D39">
        <f>185/2.54</f>
        <v>72.834645669291334</v>
      </c>
      <c r="E39" s="1">
        <f t="shared" si="0"/>
        <v>185</v>
      </c>
      <c r="F39">
        <v>181.6</v>
      </c>
      <c r="G39" s="2">
        <f t="shared" si="1"/>
        <v>82.37247235351218</v>
      </c>
      <c r="H39">
        <v>31.5</v>
      </c>
      <c r="I39" s="1">
        <f t="shared" si="4"/>
        <v>24.067924719799027</v>
      </c>
      <c r="J39" t="s">
        <v>139</v>
      </c>
      <c r="K39" t="s">
        <v>100</v>
      </c>
      <c r="L39" t="s">
        <v>139</v>
      </c>
      <c r="M39" t="s">
        <v>139</v>
      </c>
      <c r="N39" t="s">
        <v>20</v>
      </c>
      <c r="O39" s="5" t="s">
        <v>208</v>
      </c>
    </row>
    <row r="40" spans="1:15" x14ac:dyDescent="0.25">
      <c r="A40" t="s">
        <v>101</v>
      </c>
      <c r="B40">
        <v>34</v>
      </c>
      <c r="C40" t="s">
        <v>9</v>
      </c>
      <c r="D40">
        <f>174/2.54</f>
        <v>68.503937007874015</v>
      </c>
      <c r="E40" s="1">
        <f t="shared" si="0"/>
        <v>174</v>
      </c>
      <c r="F40">
        <v>157</v>
      </c>
      <c r="G40" s="2">
        <f t="shared" si="1"/>
        <v>71.214086781395437</v>
      </c>
      <c r="H40">
        <v>33</v>
      </c>
      <c r="I40" s="1">
        <f t="shared" si="4"/>
        <v>23.521629931759623</v>
      </c>
      <c r="J40" t="s">
        <v>102</v>
      </c>
      <c r="K40" t="s">
        <v>139</v>
      </c>
      <c r="L40" t="s">
        <v>139</v>
      </c>
      <c r="M40" t="s">
        <v>139</v>
      </c>
      <c r="N40" t="s">
        <v>103</v>
      </c>
      <c r="O40" s="5" t="s">
        <v>217</v>
      </c>
    </row>
    <row r="41" spans="1:15" x14ac:dyDescent="0.25">
      <c r="A41" t="s">
        <v>104</v>
      </c>
      <c r="B41">
        <v>26</v>
      </c>
      <c r="C41" t="s">
        <v>19</v>
      </c>
      <c r="D41">
        <f>189/2.54</f>
        <v>74.40944881889763</v>
      </c>
      <c r="E41" s="1">
        <f t="shared" si="0"/>
        <v>188.99999999999997</v>
      </c>
      <c r="F41">
        <v>182.6</v>
      </c>
      <c r="G41" s="2">
        <f t="shared" si="1"/>
        <v>82.826065262947822</v>
      </c>
      <c r="H41">
        <v>33.5</v>
      </c>
      <c r="I41" s="1">
        <f t="shared" si="4"/>
        <v>23.186939129069131</v>
      </c>
      <c r="J41" t="s">
        <v>139</v>
      </c>
      <c r="K41" t="s">
        <v>105</v>
      </c>
      <c r="L41" t="s">
        <v>139</v>
      </c>
      <c r="M41" t="s">
        <v>139</v>
      </c>
      <c r="N41" t="s">
        <v>106</v>
      </c>
      <c r="O41" s="5" t="s">
        <v>218</v>
      </c>
    </row>
    <row r="42" spans="1:15" x14ac:dyDescent="0.25">
      <c r="A42" t="s">
        <v>107</v>
      </c>
      <c r="B42">
        <v>27</v>
      </c>
      <c r="C42" t="s">
        <v>9</v>
      </c>
      <c r="D42">
        <f>168/2.54</f>
        <v>66.141732283464563</v>
      </c>
      <c r="E42" s="1">
        <f t="shared" si="0"/>
        <v>168</v>
      </c>
      <c r="F42">
        <v>137</v>
      </c>
      <c r="G42" s="2">
        <f t="shared" si="1"/>
        <v>62.142228592682642</v>
      </c>
      <c r="H42">
        <v>29</v>
      </c>
      <c r="I42" s="1">
        <f t="shared" si="4"/>
        <v>22.017512965094475</v>
      </c>
      <c r="J42" t="s">
        <v>139</v>
      </c>
      <c r="K42" t="s">
        <v>108</v>
      </c>
      <c r="L42" t="s">
        <v>139</v>
      </c>
      <c r="M42" t="s">
        <v>139</v>
      </c>
      <c r="N42" t="s">
        <v>139</v>
      </c>
      <c r="O42" s="5" t="s">
        <v>218</v>
      </c>
    </row>
    <row r="43" spans="1:15" x14ac:dyDescent="0.25">
      <c r="A43" t="s">
        <v>109</v>
      </c>
      <c r="B43">
        <v>28</v>
      </c>
      <c r="C43" t="s">
        <v>19</v>
      </c>
      <c r="D43">
        <f>170.5/2.54</f>
        <v>67.125984251968504</v>
      </c>
      <c r="E43" s="1">
        <f t="shared" si="0"/>
        <v>170.5</v>
      </c>
      <c r="F43">
        <v>133</v>
      </c>
      <c r="G43" s="2">
        <f t="shared" si="1"/>
        <v>60.327856954940088</v>
      </c>
      <c r="H43">
        <v>26</v>
      </c>
      <c r="I43" s="1">
        <f t="shared" si="4"/>
        <v>20.752438302023574</v>
      </c>
      <c r="J43" t="s">
        <v>139</v>
      </c>
      <c r="K43" t="s">
        <v>110</v>
      </c>
      <c r="L43" t="s">
        <v>139</v>
      </c>
      <c r="M43" t="s">
        <v>111</v>
      </c>
      <c r="N43" t="s">
        <v>139</v>
      </c>
      <c r="O43" s="5" t="s">
        <v>206</v>
      </c>
    </row>
    <row r="44" spans="1:15" x14ac:dyDescent="0.25">
      <c r="A44" t="s">
        <v>112</v>
      </c>
      <c r="B44">
        <v>32</v>
      </c>
      <c r="C44" t="s">
        <v>9</v>
      </c>
      <c r="D44">
        <f>165/2.54</f>
        <v>64.960629921259837</v>
      </c>
      <c r="E44" s="1">
        <f t="shared" si="0"/>
        <v>165</v>
      </c>
      <c r="F44">
        <v>155</v>
      </c>
      <c r="G44" s="2">
        <f t="shared" si="1"/>
        <v>70.306900962524153</v>
      </c>
      <c r="H44">
        <v>32</v>
      </c>
      <c r="I44" s="1">
        <f t="shared" si="4"/>
        <v>25.824389701569938</v>
      </c>
      <c r="J44" t="s">
        <v>139</v>
      </c>
      <c r="K44" t="s">
        <v>113</v>
      </c>
      <c r="L44" t="s">
        <v>139</v>
      </c>
      <c r="M44" t="s">
        <v>139</v>
      </c>
      <c r="N44" t="s">
        <v>139</v>
      </c>
      <c r="O44" s="5" t="s">
        <v>206</v>
      </c>
    </row>
    <row r="45" spans="1:15" x14ac:dyDescent="0.25">
      <c r="A45" t="s">
        <v>114</v>
      </c>
      <c r="B45">
        <v>35</v>
      </c>
      <c r="C45" t="s">
        <v>19</v>
      </c>
      <c r="D45">
        <f>181/2.54</f>
        <v>71.259842519685037</v>
      </c>
      <c r="E45" s="1">
        <f t="shared" si="0"/>
        <v>181</v>
      </c>
      <c r="F45">
        <v>162.80000000000001</v>
      </c>
      <c r="G45" s="2">
        <f t="shared" si="1"/>
        <v>73.844925656122157</v>
      </c>
      <c r="H45">
        <v>33</v>
      </c>
      <c r="I45" s="1">
        <f t="shared" si="4"/>
        <v>22.540498048326413</v>
      </c>
      <c r="J45" t="s">
        <v>139</v>
      </c>
      <c r="K45" t="s">
        <v>139</v>
      </c>
      <c r="L45" t="s">
        <v>139</v>
      </c>
      <c r="M45" t="s">
        <v>139</v>
      </c>
      <c r="N45" t="s">
        <v>139</v>
      </c>
      <c r="O45" s="5" t="s">
        <v>210</v>
      </c>
    </row>
    <row r="46" spans="1:15" x14ac:dyDescent="0.25">
      <c r="A46" t="s">
        <v>115</v>
      </c>
      <c r="B46">
        <v>29</v>
      </c>
      <c r="C46" t="s">
        <v>19</v>
      </c>
      <c r="D46">
        <f>183.254</f>
        <v>183.25399999999999</v>
      </c>
      <c r="E46" s="1">
        <f t="shared" si="0"/>
        <v>465.46515999999997</v>
      </c>
      <c r="F46">
        <v>175.4</v>
      </c>
      <c r="G46" s="2">
        <f t="shared" si="1"/>
        <v>79.560196315011211</v>
      </c>
      <c r="H46">
        <v>35</v>
      </c>
      <c r="I46" s="1">
        <f t="shared" si="4"/>
        <v>3.6721590795688446</v>
      </c>
      <c r="J46" t="s">
        <v>139</v>
      </c>
      <c r="K46" t="s">
        <v>139</v>
      </c>
      <c r="L46" t="s">
        <v>139</v>
      </c>
      <c r="M46" t="s">
        <v>139</v>
      </c>
      <c r="N46" t="s">
        <v>139</v>
      </c>
      <c r="O46" s="5" t="s">
        <v>219</v>
      </c>
    </row>
    <row r="47" spans="1:15" x14ac:dyDescent="0.25">
      <c r="A47" t="s">
        <v>116</v>
      </c>
      <c r="B47">
        <v>21</v>
      </c>
      <c r="C47" t="s">
        <v>19</v>
      </c>
      <c r="D47">
        <f>188/2.54</f>
        <v>74.015748031496059</v>
      </c>
      <c r="E47" s="1">
        <f t="shared" si="0"/>
        <v>188</v>
      </c>
      <c r="F47">
        <v>193</v>
      </c>
      <c r="G47" s="2">
        <f t="shared" si="1"/>
        <v>87.543431521078475</v>
      </c>
      <c r="H47">
        <v>34.5</v>
      </c>
      <c r="I47" s="1">
        <f t="shared" si="4"/>
        <v>24.768965459789069</v>
      </c>
      <c r="J47" t="s">
        <v>117</v>
      </c>
      <c r="K47" t="s">
        <v>71</v>
      </c>
      <c r="L47" t="s">
        <v>139</v>
      </c>
      <c r="M47" t="s">
        <v>139</v>
      </c>
      <c r="N47" t="s">
        <v>139</v>
      </c>
      <c r="O47" s="5" t="s">
        <v>218</v>
      </c>
    </row>
    <row r="48" spans="1:15" x14ac:dyDescent="0.25">
      <c r="A48" t="s">
        <v>118</v>
      </c>
      <c r="B48">
        <v>30</v>
      </c>
      <c r="C48" t="s">
        <v>9</v>
      </c>
      <c r="D48">
        <f>164.5/2.54</f>
        <v>64.763779527559052</v>
      </c>
      <c r="E48" s="1">
        <f t="shared" si="0"/>
        <v>164.5</v>
      </c>
      <c r="F48">
        <v>135.80000000000001</v>
      </c>
      <c r="G48" s="2">
        <f t="shared" si="1"/>
        <v>61.597917101359883</v>
      </c>
      <c r="H48">
        <v>31</v>
      </c>
      <c r="I48" s="1">
        <f t="shared" si="4"/>
        <v>22.76324760538424</v>
      </c>
      <c r="J48" t="s">
        <v>139</v>
      </c>
      <c r="K48" t="s">
        <v>119</v>
      </c>
      <c r="L48" t="s">
        <v>139</v>
      </c>
      <c r="M48" t="s">
        <v>120</v>
      </c>
      <c r="N48" t="s">
        <v>139</v>
      </c>
      <c r="O48" s="5" t="s">
        <v>27</v>
      </c>
    </row>
    <row r="49" spans="1:15" x14ac:dyDescent="0.25">
      <c r="A49" t="s">
        <v>121</v>
      </c>
      <c r="B49">
        <v>45</v>
      </c>
      <c r="C49" t="s">
        <v>9</v>
      </c>
      <c r="D49">
        <f>180.5/2.54</f>
        <v>71.062992125984252</v>
      </c>
      <c r="E49" s="1">
        <f t="shared" si="0"/>
        <v>180.5</v>
      </c>
      <c r="F49">
        <v>161</v>
      </c>
      <c r="G49" s="2">
        <f t="shared" si="1"/>
        <v>73.028458419138005</v>
      </c>
      <c r="H49">
        <v>32</v>
      </c>
      <c r="I49" s="1">
        <f t="shared" si="4"/>
        <v>22.414947220827958</v>
      </c>
      <c r="J49" t="s">
        <v>139</v>
      </c>
      <c r="K49" t="s">
        <v>139</v>
      </c>
      <c r="L49" t="s">
        <v>139</v>
      </c>
      <c r="M49" t="s">
        <v>46</v>
      </c>
      <c r="N49" t="s">
        <v>122</v>
      </c>
      <c r="O49" s="5" t="s">
        <v>210</v>
      </c>
    </row>
    <row r="50" spans="1:15" x14ac:dyDescent="0.25">
      <c r="A50" t="s">
        <v>123</v>
      </c>
      <c r="B50">
        <v>21</v>
      </c>
      <c r="C50" t="s">
        <v>19</v>
      </c>
      <c r="D50">
        <f>188.5/2.54</f>
        <v>74.212598425196845</v>
      </c>
      <c r="E50" s="1">
        <f t="shared" si="0"/>
        <v>188.5</v>
      </c>
      <c r="F50">
        <v>184</v>
      </c>
      <c r="G50" s="2">
        <f t="shared" si="1"/>
        <v>83.461095336157712</v>
      </c>
      <c r="H50">
        <v>32.5</v>
      </c>
      <c r="I50" s="1">
        <f t="shared" si="4"/>
        <v>23.488829256846305</v>
      </c>
      <c r="J50" t="s">
        <v>139</v>
      </c>
      <c r="K50" t="s">
        <v>108</v>
      </c>
      <c r="L50" t="s">
        <v>139</v>
      </c>
      <c r="M50" t="s">
        <v>124</v>
      </c>
      <c r="N50" t="s">
        <v>125</v>
      </c>
      <c r="O50" s="5" t="s">
        <v>210</v>
      </c>
    </row>
    <row r="51" spans="1:15" x14ac:dyDescent="0.25">
      <c r="A51" t="s">
        <v>126</v>
      </c>
      <c r="B51">
        <v>23</v>
      </c>
      <c r="C51" t="s">
        <v>19</v>
      </c>
      <c r="D51">
        <f>172/2.54</f>
        <v>67.71653543307086</v>
      </c>
      <c r="E51" s="1">
        <f t="shared" si="0"/>
        <v>171.99999999999997</v>
      </c>
      <c r="F51">
        <v>167</v>
      </c>
      <c r="G51" s="2">
        <f t="shared" si="1"/>
        <v>75.750015875751842</v>
      </c>
      <c r="H51">
        <v>30</v>
      </c>
      <c r="I51" s="1">
        <f t="shared" si="4"/>
        <v>25.605062153783081</v>
      </c>
      <c r="J51" t="s">
        <v>139</v>
      </c>
      <c r="K51" t="s">
        <v>139</v>
      </c>
      <c r="L51" t="s">
        <v>139</v>
      </c>
      <c r="M51" t="s">
        <v>139</v>
      </c>
      <c r="N51" t="s">
        <v>139</v>
      </c>
      <c r="O51" s="5" t="s">
        <v>210</v>
      </c>
    </row>
    <row r="52" spans="1:15" x14ac:dyDescent="0.25">
      <c r="A52" t="s">
        <v>127</v>
      </c>
      <c r="B52">
        <v>19</v>
      </c>
      <c r="C52" t="s">
        <v>19</v>
      </c>
      <c r="D52">
        <f>174/2.54</f>
        <v>68.503937007874015</v>
      </c>
      <c r="E52" s="1">
        <f t="shared" si="0"/>
        <v>174</v>
      </c>
      <c r="F52">
        <v>157.19999999999999</v>
      </c>
      <c r="G52" s="2">
        <f t="shared" si="1"/>
        <v>71.304805363282568</v>
      </c>
      <c r="H52">
        <v>29</v>
      </c>
      <c r="I52" s="1">
        <f t="shared" si="4"/>
        <v>23.551593791545304</v>
      </c>
      <c r="J52" t="s">
        <v>139</v>
      </c>
      <c r="K52" t="s">
        <v>139</v>
      </c>
      <c r="L52" t="s">
        <v>139</v>
      </c>
      <c r="M52" t="s">
        <v>128</v>
      </c>
      <c r="N52" t="s">
        <v>139</v>
      </c>
      <c r="O52" s="5" t="s">
        <v>220</v>
      </c>
    </row>
    <row r="53" spans="1:15" x14ac:dyDescent="0.25">
      <c r="A53" t="s">
        <v>129</v>
      </c>
      <c r="B53">
        <v>25</v>
      </c>
      <c r="C53" t="s">
        <v>19</v>
      </c>
      <c r="D53">
        <f>174.5/2.54</f>
        <v>68.7007874015748</v>
      </c>
      <c r="E53" s="1">
        <f t="shared" si="0"/>
        <v>174.5</v>
      </c>
      <c r="F53">
        <v>173</v>
      </c>
      <c r="G53" s="2">
        <f t="shared" si="1"/>
        <v>78.471573332365679</v>
      </c>
      <c r="H53">
        <v>31</v>
      </c>
      <c r="I53" s="1">
        <f t="shared" si="4"/>
        <v>25.770420056441466</v>
      </c>
      <c r="J53" t="s">
        <v>130</v>
      </c>
      <c r="K53" t="s">
        <v>131</v>
      </c>
      <c r="L53" t="s">
        <v>139</v>
      </c>
      <c r="M53" t="s">
        <v>139</v>
      </c>
      <c r="N53" t="s">
        <v>139</v>
      </c>
      <c r="O53" s="5" t="s">
        <v>221</v>
      </c>
    </row>
    <row r="54" spans="1:15" x14ac:dyDescent="0.25">
      <c r="A54" t="s">
        <v>132</v>
      </c>
      <c r="B54">
        <v>29</v>
      </c>
      <c r="C54" t="s">
        <v>9</v>
      </c>
      <c r="D54">
        <f>172.5/2.54</f>
        <v>67.913385826771659</v>
      </c>
      <c r="E54" s="1">
        <f t="shared" si="0"/>
        <v>172.50000000000003</v>
      </c>
      <c r="F54">
        <v>127</v>
      </c>
      <c r="G54" s="2">
        <f t="shared" si="1"/>
        <v>57.606299498326244</v>
      </c>
      <c r="H54">
        <v>27</v>
      </c>
      <c r="I54" s="1">
        <f t="shared" si="4"/>
        <v>19.359394916471743</v>
      </c>
      <c r="J54" t="s">
        <v>133</v>
      </c>
      <c r="K54" t="s">
        <v>139</v>
      </c>
      <c r="L54" t="s">
        <v>139</v>
      </c>
      <c r="M54" t="s">
        <v>139</v>
      </c>
      <c r="N54" t="s">
        <v>139</v>
      </c>
      <c r="O54" s="5" t="s">
        <v>209</v>
      </c>
    </row>
    <row r="55" spans="1:15" x14ac:dyDescent="0.25">
      <c r="A55" t="s">
        <v>134</v>
      </c>
      <c r="B55">
        <v>43</v>
      </c>
      <c r="C55" t="s">
        <v>9</v>
      </c>
      <c r="D55">
        <f>163.3/2.54</f>
        <v>64.29133858267717</v>
      </c>
      <c r="E55" s="1">
        <f t="shared" si="0"/>
        <v>163.30000000000001</v>
      </c>
      <c r="F55">
        <v>126</v>
      </c>
      <c r="G55" s="2">
        <f t="shared" si="1"/>
        <v>57.152706588890609</v>
      </c>
      <c r="H55">
        <v>25.5</v>
      </c>
      <c r="I55" s="1">
        <f t="shared" si="4"/>
        <v>21.432085477118108</v>
      </c>
      <c r="J55" t="s">
        <v>139</v>
      </c>
      <c r="K55" t="s">
        <v>135</v>
      </c>
      <c r="L55" t="s">
        <v>139</v>
      </c>
      <c r="M55" t="s">
        <v>139</v>
      </c>
      <c r="N55" t="s">
        <v>136</v>
      </c>
      <c r="O55" s="5" t="s">
        <v>218</v>
      </c>
    </row>
    <row r="56" spans="1:15" x14ac:dyDescent="0.25">
      <c r="A56" t="s">
        <v>137</v>
      </c>
      <c r="B56">
        <v>34</v>
      </c>
      <c r="C56" t="s">
        <v>19</v>
      </c>
      <c r="D56">
        <v>74</v>
      </c>
      <c r="E56" s="1">
        <f t="shared" si="0"/>
        <v>187.96</v>
      </c>
      <c r="F56">
        <v>189.2</v>
      </c>
      <c r="G56" s="2">
        <f t="shared" si="1"/>
        <v>85.819778465223038</v>
      </c>
      <c r="H56">
        <v>35</v>
      </c>
      <c r="I56" s="1">
        <f t="shared" si="4"/>
        <v>24.291622107914723</v>
      </c>
      <c r="J56" t="s">
        <v>139</v>
      </c>
      <c r="K56" t="s">
        <v>139</v>
      </c>
      <c r="L56" t="s">
        <v>139</v>
      </c>
      <c r="M56" t="s">
        <v>139</v>
      </c>
      <c r="N56" t="s">
        <v>139</v>
      </c>
      <c r="O56" s="5" t="s">
        <v>218</v>
      </c>
    </row>
    <row r="57" spans="1:15" x14ac:dyDescent="0.25">
      <c r="A57" t="s">
        <v>138</v>
      </c>
      <c r="B57">
        <v>20</v>
      </c>
      <c r="C57" t="s">
        <v>19</v>
      </c>
      <c r="D57" t="s">
        <v>139</v>
      </c>
      <c r="E57" t="s">
        <v>139</v>
      </c>
      <c r="F57" t="s">
        <v>139</v>
      </c>
      <c r="G57" t="s">
        <v>139</v>
      </c>
      <c r="H57" t="s">
        <v>139</v>
      </c>
      <c r="I57" t="s">
        <v>139</v>
      </c>
      <c r="J57" t="s">
        <v>139</v>
      </c>
      <c r="K57" t="s">
        <v>139</v>
      </c>
      <c r="L57" t="s">
        <v>139</v>
      </c>
      <c r="M57" t="s">
        <v>46</v>
      </c>
      <c r="N57" t="s">
        <v>139</v>
      </c>
      <c r="O57" s="5" t="s">
        <v>205</v>
      </c>
    </row>
    <row r="58" spans="1:15" x14ac:dyDescent="0.25">
      <c r="A58" t="s">
        <v>140</v>
      </c>
      <c r="B58">
        <v>26</v>
      </c>
      <c r="C58" t="s">
        <v>19</v>
      </c>
      <c r="D58">
        <f>174/2.54</f>
        <v>68.503937007874015</v>
      </c>
      <c r="E58" s="1">
        <f t="shared" si="0"/>
        <v>174</v>
      </c>
      <c r="F58">
        <v>192</v>
      </c>
      <c r="G58" s="2">
        <f t="shared" si="1"/>
        <v>87.089838611642833</v>
      </c>
      <c r="H58">
        <v>34</v>
      </c>
      <c r="I58" s="1">
        <f t="shared" ref="I58:I67" si="5">G58/(E58/100)^2</f>
        <v>28.765305394253808</v>
      </c>
      <c r="J58" t="s">
        <v>139</v>
      </c>
      <c r="K58" t="s">
        <v>139</v>
      </c>
      <c r="L58" t="s">
        <v>139</v>
      </c>
      <c r="M58" t="s">
        <v>139</v>
      </c>
      <c r="N58" t="s">
        <v>139</v>
      </c>
      <c r="O58" s="5" t="s">
        <v>218</v>
      </c>
    </row>
    <row r="59" spans="1:15" x14ac:dyDescent="0.25">
      <c r="A59" t="s">
        <v>141</v>
      </c>
      <c r="B59">
        <v>24</v>
      </c>
      <c r="C59" t="s">
        <v>19</v>
      </c>
      <c r="D59">
        <f>182.9/2.54</f>
        <v>72.00787401574803</v>
      </c>
      <c r="E59" s="1">
        <f t="shared" si="0"/>
        <v>182.9</v>
      </c>
      <c r="F59">
        <v>159.5</v>
      </c>
      <c r="G59" s="2">
        <f t="shared" si="1"/>
        <v>72.348069054984535</v>
      </c>
      <c r="H59">
        <v>32</v>
      </c>
      <c r="I59" s="1">
        <f t="shared" si="5"/>
        <v>21.627162005662534</v>
      </c>
      <c r="J59" t="s">
        <v>139</v>
      </c>
      <c r="K59" t="s">
        <v>139</v>
      </c>
      <c r="L59" t="s">
        <v>139</v>
      </c>
      <c r="M59" t="s">
        <v>142</v>
      </c>
      <c r="N59" t="s">
        <v>139</v>
      </c>
      <c r="O59" s="5" t="s">
        <v>210</v>
      </c>
    </row>
    <row r="60" spans="1:15" x14ac:dyDescent="0.25">
      <c r="A60" t="s">
        <v>143</v>
      </c>
      <c r="B60">
        <v>22</v>
      </c>
      <c r="C60" t="s">
        <v>19</v>
      </c>
      <c r="D60">
        <f>181.6/2.54</f>
        <v>71.496062992125985</v>
      </c>
      <c r="E60" s="1">
        <f t="shared" si="0"/>
        <v>181.6</v>
      </c>
      <c r="F60">
        <v>136.4</v>
      </c>
      <c r="G60" s="2">
        <f t="shared" si="1"/>
        <v>61.870072847021262</v>
      </c>
      <c r="H60">
        <v>32</v>
      </c>
      <c r="I60" s="1">
        <f t="shared" si="5"/>
        <v>18.760695690479292</v>
      </c>
      <c r="J60" t="s">
        <v>139</v>
      </c>
      <c r="K60" t="s">
        <v>108</v>
      </c>
      <c r="L60" t="s">
        <v>144</v>
      </c>
      <c r="M60" t="s">
        <v>145</v>
      </c>
      <c r="N60" t="s">
        <v>139</v>
      </c>
      <c r="O60" s="5" t="s">
        <v>205</v>
      </c>
    </row>
    <row r="61" spans="1:15" x14ac:dyDescent="0.25">
      <c r="A61" t="s">
        <v>146</v>
      </c>
      <c r="B61">
        <v>35</v>
      </c>
      <c r="C61" t="s">
        <v>19</v>
      </c>
      <c r="D61">
        <f>181.6/2.54</f>
        <v>71.496062992125985</v>
      </c>
      <c r="E61" s="1">
        <f t="shared" si="0"/>
        <v>181.6</v>
      </c>
      <c r="F61">
        <v>157</v>
      </c>
      <c r="G61" s="2">
        <f t="shared" si="1"/>
        <v>71.214086781395437</v>
      </c>
      <c r="H61">
        <v>33</v>
      </c>
      <c r="I61" s="1">
        <f t="shared" si="5"/>
        <v>21.594055890067803</v>
      </c>
      <c r="J61" t="s">
        <v>139</v>
      </c>
      <c r="K61" t="s">
        <v>139</v>
      </c>
      <c r="L61" t="s">
        <v>147</v>
      </c>
      <c r="M61" t="s">
        <v>148</v>
      </c>
      <c r="N61" t="s">
        <v>139</v>
      </c>
      <c r="O61" s="5" t="s">
        <v>219</v>
      </c>
    </row>
    <row r="62" spans="1:15" x14ac:dyDescent="0.25">
      <c r="A62" t="s">
        <v>149</v>
      </c>
      <c r="B62">
        <v>21</v>
      </c>
      <c r="C62" t="s">
        <v>19</v>
      </c>
      <c r="D62">
        <f>178.4/2.54</f>
        <v>70.236220472440948</v>
      </c>
      <c r="E62" s="1">
        <f t="shared" si="0"/>
        <v>178.4</v>
      </c>
      <c r="F62">
        <v>179.8</v>
      </c>
      <c r="G62" s="2">
        <f t="shared" si="1"/>
        <v>81.556005116528027</v>
      </c>
      <c r="H62">
        <v>31.5</v>
      </c>
      <c r="I62" s="1">
        <f t="shared" si="5"/>
        <v>25.625139856939619</v>
      </c>
      <c r="J62" t="s">
        <v>139</v>
      </c>
      <c r="K62" t="s">
        <v>108</v>
      </c>
      <c r="L62" t="s">
        <v>139</v>
      </c>
      <c r="M62" t="s">
        <v>150</v>
      </c>
      <c r="N62" t="s">
        <v>20</v>
      </c>
      <c r="O62" s="5" t="s">
        <v>222</v>
      </c>
    </row>
    <row r="63" spans="1:15" x14ac:dyDescent="0.25">
      <c r="A63" t="s">
        <v>151</v>
      </c>
      <c r="B63">
        <v>22</v>
      </c>
      <c r="C63" t="s">
        <v>9</v>
      </c>
      <c r="D63">
        <f>163.2/2.54</f>
        <v>64.251968503937007</v>
      </c>
      <c r="E63" s="1">
        <f t="shared" si="0"/>
        <v>163.19999999999999</v>
      </c>
      <c r="F63">
        <v>126.6</v>
      </c>
      <c r="G63" s="2">
        <f t="shared" si="1"/>
        <v>57.424862334551989</v>
      </c>
      <c r="H63">
        <v>25</v>
      </c>
      <c r="I63" s="1">
        <f t="shared" si="5"/>
        <v>21.560540993304858</v>
      </c>
      <c r="J63" t="s">
        <v>139</v>
      </c>
      <c r="K63" t="s">
        <v>139</v>
      </c>
      <c r="L63" t="s">
        <v>139</v>
      </c>
      <c r="M63" t="s">
        <v>139</v>
      </c>
      <c r="N63" t="s">
        <v>139</v>
      </c>
      <c r="O63" s="5" t="s">
        <v>205</v>
      </c>
    </row>
    <row r="64" spans="1:15" x14ac:dyDescent="0.25">
      <c r="A64" t="s">
        <v>152</v>
      </c>
      <c r="B64">
        <v>25</v>
      </c>
      <c r="C64" t="s">
        <v>19</v>
      </c>
      <c r="D64">
        <f>172.7/2.54</f>
        <v>67.992125984251956</v>
      </c>
      <c r="E64" s="1">
        <f t="shared" si="0"/>
        <v>172.69999999999996</v>
      </c>
      <c r="F64">
        <v>158</v>
      </c>
      <c r="G64" s="2">
        <f t="shared" si="1"/>
        <v>71.667679690831079</v>
      </c>
      <c r="H64">
        <v>34</v>
      </c>
      <c r="I64" s="1">
        <f t="shared" si="5"/>
        <v>24.029164407397584</v>
      </c>
      <c r="J64" t="s">
        <v>139</v>
      </c>
      <c r="K64" t="s">
        <v>139</v>
      </c>
      <c r="L64" t="s">
        <v>139</v>
      </c>
      <c r="M64" t="s">
        <v>139</v>
      </c>
      <c r="N64" t="s">
        <v>139</v>
      </c>
      <c r="O64" s="5" t="s">
        <v>206</v>
      </c>
    </row>
    <row r="65" spans="1:15" x14ac:dyDescent="0.25">
      <c r="A65" t="s">
        <v>153</v>
      </c>
      <c r="B65">
        <v>26</v>
      </c>
      <c r="C65" t="s">
        <v>9</v>
      </c>
      <c r="D65">
        <f>165.7/2.54</f>
        <v>65.236220472440934</v>
      </c>
      <c r="E65" s="1">
        <f t="shared" si="0"/>
        <v>165.69999999999996</v>
      </c>
      <c r="F65">
        <v>119</v>
      </c>
      <c r="G65" s="2">
        <f t="shared" si="1"/>
        <v>53.97755622284113</v>
      </c>
      <c r="H65">
        <v>24</v>
      </c>
      <c r="I65" s="1">
        <f t="shared" si="5"/>
        <v>19.659306860724428</v>
      </c>
      <c r="J65" t="s">
        <v>139</v>
      </c>
      <c r="K65" t="s">
        <v>154</v>
      </c>
      <c r="L65" t="s">
        <v>155</v>
      </c>
      <c r="M65" t="s">
        <v>156</v>
      </c>
      <c r="N65" t="s">
        <v>157</v>
      </c>
      <c r="O65" s="5" t="s">
        <v>206</v>
      </c>
    </row>
    <row r="66" spans="1:15" x14ac:dyDescent="0.25">
      <c r="A66" t="s">
        <v>158</v>
      </c>
      <c r="B66">
        <v>35</v>
      </c>
      <c r="C66" t="s">
        <v>19</v>
      </c>
      <c r="D66">
        <f>172.7/2.54</f>
        <v>67.992125984251956</v>
      </c>
      <c r="E66" s="1">
        <f t="shared" si="0"/>
        <v>172.69999999999996</v>
      </c>
      <c r="F66">
        <v>175.2</v>
      </c>
      <c r="G66" s="2">
        <f t="shared" si="1"/>
        <v>79.46947773312408</v>
      </c>
      <c r="H66">
        <v>36</v>
      </c>
      <c r="I66" s="1">
        <f t="shared" si="5"/>
        <v>26.644997494785169</v>
      </c>
      <c r="J66" t="s">
        <v>159</v>
      </c>
      <c r="K66" t="s">
        <v>139</v>
      </c>
      <c r="L66" t="s">
        <v>139</v>
      </c>
      <c r="M66" t="s">
        <v>139</v>
      </c>
      <c r="N66" t="s">
        <v>139</v>
      </c>
      <c r="O66" s="5" t="s">
        <v>221</v>
      </c>
    </row>
    <row r="67" spans="1:15" x14ac:dyDescent="0.25">
      <c r="A67" t="s">
        <v>160</v>
      </c>
      <c r="B67">
        <v>34</v>
      </c>
      <c r="C67" t="s">
        <v>19</v>
      </c>
      <c r="D67">
        <f>181/2.54</f>
        <v>71.259842519685037</v>
      </c>
      <c r="E67" s="1">
        <f t="shared" ref="E67:E87" si="6">D67*2.54</f>
        <v>181</v>
      </c>
      <c r="F67">
        <v>174.8</v>
      </c>
      <c r="G67" s="2">
        <f t="shared" ref="G67:G87" si="7">F67/2.20462</f>
        <v>79.288040569349832</v>
      </c>
      <c r="H67">
        <v>36</v>
      </c>
      <c r="I67" s="1">
        <f t="shared" si="5"/>
        <v>24.201959820930323</v>
      </c>
      <c r="J67" t="s">
        <v>139</v>
      </c>
      <c r="K67" t="s">
        <v>161</v>
      </c>
      <c r="L67" t="s">
        <v>139</v>
      </c>
      <c r="M67" t="s">
        <v>139</v>
      </c>
      <c r="N67" t="s">
        <v>139</v>
      </c>
      <c r="O67" s="5" t="s">
        <v>219</v>
      </c>
    </row>
    <row r="68" spans="1:15" x14ac:dyDescent="0.25">
      <c r="A68" t="s">
        <v>162</v>
      </c>
      <c r="B68">
        <v>22</v>
      </c>
      <c r="C68" t="s">
        <v>19</v>
      </c>
      <c r="D68">
        <v>75.599999999999994</v>
      </c>
      <c r="E68" s="1">
        <f t="shared" si="6"/>
        <v>192.024</v>
      </c>
      <c r="F68">
        <v>190.2</v>
      </c>
      <c r="G68" s="2">
        <f t="shared" si="7"/>
        <v>86.27337137465868</v>
      </c>
      <c r="H68">
        <v>31.5</v>
      </c>
      <c r="I68" s="1">
        <f>G68/(E68/100)^2</f>
        <v>23.397300096355632</v>
      </c>
      <c r="J68" t="s">
        <v>139</v>
      </c>
      <c r="K68" t="s">
        <v>139</v>
      </c>
      <c r="L68" t="s">
        <v>139</v>
      </c>
      <c r="M68" t="s">
        <v>139</v>
      </c>
      <c r="N68" t="s">
        <v>139</v>
      </c>
      <c r="O68" s="5" t="s">
        <v>206</v>
      </c>
    </row>
    <row r="69" spans="1:15" x14ac:dyDescent="0.25">
      <c r="A69" t="s">
        <v>163</v>
      </c>
      <c r="B69">
        <v>23</v>
      </c>
      <c r="C69" t="s">
        <v>9</v>
      </c>
      <c r="D69">
        <v>64.099999999999994</v>
      </c>
      <c r="E69" s="1">
        <f t="shared" si="6"/>
        <v>162.81399999999999</v>
      </c>
      <c r="F69">
        <v>105.3</v>
      </c>
      <c r="G69" s="2">
        <f t="shared" si="7"/>
        <v>47.763333363572862</v>
      </c>
      <c r="H69">
        <v>22.6</v>
      </c>
      <c r="I69" s="1">
        <f t="shared" ref="I69:I83" si="8">G69/(E69/100)^2</f>
        <v>18.018188911185359</v>
      </c>
      <c r="J69" t="s">
        <v>139</v>
      </c>
      <c r="K69" t="s">
        <v>164</v>
      </c>
      <c r="L69" t="s">
        <v>139</v>
      </c>
      <c r="M69" t="s">
        <v>165</v>
      </c>
      <c r="N69" t="s">
        <v>166</v>
      </c>
      <c r="O69" s="5" t="s">
        <v>210</v>
      </c>
    </row>
    <row r="70" spans="1:15" x14ac:dyDescent="0.25">
      <c r="A70" t="s">
        <v>167</v>
      </c>
      <c r="B70">
        <v>30</v>
      </c>
      <c r="C70" t="s">
        <v>9</v>
      </c>
      <c r="D70">
        <v>65.75</v>
      </c>
      <c r="E70" s="1">
        <f t="shared" si="6"/>
        <v>167.005</v>
      </c>
      <c r="F70">
        <v>117.8</v>
      </c>
      <c r="G70" s="2">
        <f t="shared" si="7"/>
        <v>53.433244731518357</v>
      </c>
      <c r="H70">
        <v>27</v>
      </c>
      <c r="I70" s="1">
        <f t="shared" si="8"/>
        <v>19.158107239310883</v>
      </c>
      <c r="J70" t="s">
        <v>139</v>
      </c>
      <c r="K70" t="s">
        <v>139</v>
      </c>
      <c r="L70" t="s">
        <v>139</v>
      </c>
      <c r="M70" t="s">
        <v>139</v>
      </c>
      <c r="N70" t="s">
        <v>139</v>
      </c>
      <c r="O70" s="5" t="s">
        <v>205</v>
      </c>
    </row>
    <row r="71" spans="1:15" x14ac:dyDescent="0.25">
      <c r="A71" t="s">
        <v>168</v>
      </c>
      <c r="B71">
        <v>29</v>
      </c>
      <c r="C71" t="s">
        <v>9</v>
      </c>
      <c r="D71">
        <v>67</v>
      </c>
      <c r="E71" s="1">
        <f t="shared" si="6"/>
        <v>170.18</v>
      </c>
      <c r="F71">
        <v>172.6</v>
      </c>
      <c r="G71" s="2">
        <f t="shared" si="7"/>
        <v>78.290136168591417</v>
      </c>
      <c r="H71">
        <v>30.5</v>
      </c>
      <c r="I71" s="1">
        <f t="shared" si="8"/>
        <v>27.032736413727825</v>
      </c>
      <c r="J71" t="s">
        <v>139</v>
      </c>
      <c r="K71" t="s">
        <v>139</v>
      </c>
      <c r="L71" t="s">
        <v>139</v>
      </c>
      <c r="M71" t="s">
        <v>139</v>
      </c>
      <c r="N71" t="s">
        <v>139</v>
      </c>
      <c r="O71" s="5" t="s">
        <v>206</v>
      </c>
    </row>
    <row r="72" spans="1:15" x14ac:dyDescent="0.25">
      <c r="A72" t="s">
        <v>169</v>
      </c>
      <c r="B72">
        <v>26</v>
      </c>
      <c r="C72" t="s">
        <v>19</v>
      </c>
      <c r="D72">
        <v>70.5</v>
      </c>
      <c r="E72" s="1">
        <f t="shared" si="6"/>
        <v>179.07</v>
      </c>
      <c r="F72">
        <v>160.6</v>
      </c>
      <c r="G72" s="2">
        <f t="shared" si="7"/>
        <v>72.847021255363742</v>
      </c>
      <c r="H72">
        <v>27</v>
      </c>
      <c r="I72" s="1">
        <f t="shared" si="8"/>
        <v>22.717792620498233</v>
      </c>
      <c r="J72" t="s">
        <v>139</v>
      </c>
      <c r="K72" t="s">
        <v>170</v>
      </c>
      <c r="L72" t="s">
        <v>139</v>
      </c>
      <c r="M72" t="s">
        <v>139</v>
      </c>
      <c r="N72" t="s">
        <v>139</v>
      </c>
      <c r="O72" s="5" t="s">
        <v>219</v>
      </c>
    </row>
    <row r="73" spans="1:15" x14ac:dyDescent="0.25">
      <c r="A73" t="s">
        <v>171</v>
      </c>
      <c r="B73">
        <v>25</v>
      </c>
      <c r="C73" t="s">
        <v>19</v>
      </c>
      <c r="D73">
        <v>73.5</v>
      </c>
      <c r="E73" s="1">
        <f t="shared" si="6"/>
        <v>186.69</v>
      </c>
      <c r="F73">
        <v>184</v>
      </c>
      <c r="G73" s="2">
        <f t="shared" si="7"/>
        <v>83.461095336157712</v>
      </c>
      <c r="H73">
        <v>33.5</v>
      </c>
      <c r="I73" s="1">
        <f t="shared" si="8"/>
        <v>23.946495719553418</v>
      </c>
      <c r="J73" t="s">
        <v>139</v>
      </c>
      <c r="K73" t="s">
        <v>139</v>
      </c>
      <c r="L73" t="s">
        <v>139</v>
      </c>
      <c r="M73" t="s">
        <v>139</v>
      </c>
      <c r="N73" t="s">
        <v>172</v>
      </c>
      <c r="O73" s="5" t="s">
        <v>209</v>
      </c>
    </row>
    <row r="74" spans="1:15" x14ac:dyDescent="0.25">
      <c r="A74" t="s">
        <v>173</v>
      </c>
      <c r="B74">
        <v>34</v>
      </c>
      <c r="C74" t="s">
        <v>19</v>
      </c>
      <c r="D74">
        <v>71.599999999999994</v>
      </c>
      <c r="E74" s="1">
        <f t="shared" si="6"/>
        <v>181.86399999999998</v>
      </c>
      <c r="F74">
        <v>175</v>
      </c>
      <c r="G74" s="2">
        <f t="shared" si="7"/>
        <v>79.378759151236949</v>
      </c>
      <c r="H74">
        <v>32.5</v>
      </c>
      <c r="I74" s="1">
        <f t="shared" si="8"/>
        <v>23.999977130680772</v>
      </c>
      <c r="J74" t="s">
        <v>139</v>
      </c>
      <c r="K74" t="s">
        <v>174</v>
      </c>
      <c r="L74" t="s">
        <v>139</v>
      </c>
      <c r="M74" t="s">
        <v>139</v>
      </c>
      <c r="N74" t="s">
        <v>139</v>
      </c>
      <c r="O74" s="5" t="s">
        <v>206</v>
      </c>
    </row>
    <row r="75" spans="1:15" x14ac:dyDescent="0.25">
      <c r="A75" t="s">
        <v>175</v>
      </c>
      <c r="B75">
        <v>35</v>
      </c>
      <c r="C75" t="s">
        <v>9</v>
      </c>
      <c r="D75">
        <v>66.25</v>
      </c>
      <c r="E75" s="1">
        <f t="shared" si="6"/>
        <v>168.27500000000001</v>
      </c>
      <c r="F75">
        <v>129.30000000000001</v>
      </c>
      <c r="G75" s="2">
        <f t="shared" si="7"/>
        <v>58.649563190028225</v>
      </c>
      <c r="H75">
        <v>30</v>
      </c>
      <c r="I75" s="1">
        <f t="shared" si="8"/>
        <v>20.712169115512317</v>
      </c>
      <c r="J75" t="s">
        <v>139</v>
      </c>
      <c r="K75" t="s">
        <v>176</v>
      </c>
      <c r="L75" t="s">
        <v>139</v>
      </c>
      <c r="M75" t="s">
        <v>139</v>
      </c>
      <c r="N75" t="s">
        <v>177</v>
      </c>
      <c r="O75" s="5" t="s">
        <v>206</v>
      </c>
    </row>
    <row r="76" spans="1:15" x14ac:dyDescent="0.25">
      <c r="A76" t="s">
        <v>178</v>
      </c>
      <c r="B76">
        <v>25</v>
      </c>
      <c r="C76" t="s">
        <v>9</v>
      </c>
      <c r="D76">
        <v>66.7</v>
      </c>
      <c r="E76" s="1">
        <f t="shared" si="6"/>
        <v>169.41800000000001</v>
      </c>
      <c r="F76">
        <v>138</v>
      </c>
      <c r="G76" s="2">
        <f t="shared" si="7"/>
        <v>62.595821502118284</v>
      </c>
      <c r="H76">
        <v>27.5</v>
      </c>
      <c r="I76" s="1">
        <f t="shared" si="8"/>
        <v>21.808522434970993</v>
      </c>
      <c r="J76" t="s">
        <v>139</v>
      </c>
      <c r="K76" t="s">
        <v>139</v>
      </c>
      <c r="L76" t="s">
        <v>139</v>
      </c>
      <c r="M76" t="s">
        <v>139</v>
      </c>
      <c r="N76" t="s">
        <v>139</v>
      </c>
      <c r="O76" s="5" t="s">
        <v>210</v>
      </c>
    </row>
    <row r="77" spans="1:15" x14ac:dyDescent="0.25">
      <c r="A77" t="s">
        <v>179</v>
      </c>
      <c r="B77">
        <v>27</v>
      </c>
      <c r="C77" t="s">
        <v>19</v>
      </c>
      <c r="D77">
        <v>73.5</v>
      </c>
      <c r="E77" s="1">
        <f t="shared" si="6"/>
        <v>186.69</v>
      </c>
      <c r="F77">
        <v>159</v>
      </c>
      <c r="G77" s="2">
        <f t="shared" si="7"/>
        <v>72.121272600266721</v>
      </c>
      <c r="H77">
        <v>32.5</v>
      </c>
      <c r="I77" s="1">
        <f t="shared" si="8"/>
        <v>20.692895757657574</v>
      </c>
      <c r="J77" t="s">
        <v>139</v>
      </c>
      <c r="K77" t="s">
        <v>180</v>
      </c>
      <c r="L77" t="s">
        <v>139</v>
      </c>
      <c r="M77" t="s">
        <v>139</v>
      </c>
      <c r="N77" t="s">
        <v>139</v>
      </c>
      <c r="O77" s="5" t="s">
        <v>205</v>
      </c>
    </row>
    <row r="78" spans="1:15" x14ac:dyDescent="0.25">
      <c r="A78" t="s">
        <v>181</v>
      </c>
      <c r="B78">
        <v>36</v>
      </c>
      <c r="C78" t="s">
        <v>19</v>
      </c>
      <c r="D78">
        <v>71.2</v>
      </c>
      <c r="E78" s="1">
        <f t="shared" si="6"/>
        <v>180.84800000000001</v>
      </c>
      <c r="F78">
        <v>154.4</v>
      </c>
      <c r="G78" s="2">
        <f t="shared" si="7"/>
        <v>70.034745216862774</v>
      </c>
      <c r="H78">
        <v>32</v>
      </c>
      <c r="I78" s="1">
        <f t="shared" si="8"/>
        <v>21.413424795299218</v>
      </c>
      <c r="J78" t="s">
        <v>139</v>
      </c>
      <c r="K78" t="s">
        <v>182</v>
      </c>
      <c r="L78" t="s">
        <v>139</v>
      </c>
      <c r="M78" t="s">
        <v>139</v>
      </c>
      <c r="N78" t="s">
        <v>139</v>
      </c>
      <c r="O78" s="5" t="s">
        <v>206</v>
      </c>
    </row>
    <row r="79" spans="1:15" x14ac:dyDescent="0.25">
      <c r="A79" t="s">
        <v>183</v>
      </c>
      <c r="B79">
        <v>30</v>
      </c>
      <c r="C79" t="s">
        <v>19</v>
      </c>
      <c r="D79">
        <v>70</v>
      </c>
      <c r="E79" s="1">
        <f t="shared" si="6"/>
        <v>177.8</v>
      </c>
      <c r="F79">
        <v>192.1</v>
      </c>
      <c r="G79" s="2">
        <f t="shared" si="7"/>
        <v>87.135197902586398</v>
      </c>
      <c r="H79">
        <v>35</v>
      </c>
      <c r="I79" s="1">
        <f t="shared" si="8"/>
        <v>27.56322997319646</v>
      </c>
      <c r="J79" t="s">
        <v>139</v>
      </c>
      <c r="K79" t="s">
        <v>139</v>
      </c>
      <c r="L79" t="s">
        <v>139</v>
      </c>
      <c r="M79" t="s">
        <v>139</v>
      </c>
      <c r="N79" t="s">
        <v>139</v>
      </c>
      <c r="O79" s="5" t="s">
        <v>206</v>
      </c>
    </row>
    <row r="80" spans="1:15" x14ac:dyDescent="0.25">
      <c r="A80" t="s">
        <v>184</v>
      </c>
      <c r="B80">
        <v>32</v>
      </c>
      <c r="C80" t="s">
        <v>19</v>
      </c>
      <c r="D80">
        <v>68.25</v>
      </c>
      <c r="E80" s="1">
        <f t="shared" si="6"/>
        <v>173.35499999999999</v>
      </c>
      <c r="F80">
        <v>174.1</v>
      </c>
      <c r="G80" s="2">
        <f t="shared" si="7"/>
        <v>78.970525532744873</v>
      </c>
      <c r="H80">
        <v>33</v>
      </c>
      <c r="I80" s="1">
        <f t="shared" si="8"/>
        <v>26.27799849934889</v>
      </c>
      <c r="J80" t="s">
        <v>139</v>
      </c>
      <c r="K80" t="s">
        <v>139</v>
      </c>
      <c r="L80" t="s">
        <v>139</v>
      </c>
      <c r="M80" t="s">
        <v>139</v>
      </c>
      <c r="N80" t="s">
        <v>139</v>
      </c>
      <c r="O80" s="5" t="s">
        <v>205</v>
      </c>
    </row>
    <row r="81" spans="1:15" x14ac:dyDescent="0.25">
      <c r="A81" t="s">
        <v>185</v>
      </c>
      <c r="B81">
        <v>20</v>
      </c>
      <c r="C81" t="s">
        <v>19</v>
      </c>
      <c r="D81">
        <v>74.099999999999994</v>
      </c>
      <c r="E81" s="1">
        <f t="shared" si="6"/>
        <v>188.214</v>
      </c>
      <c r="F81">
        <v>174.5</v>
      </c>
      <c r="G81" s="2">
        <f t="shared" si="7"/>
        <v>79.151962696519135</v>
      </c>
      <c r="H81">
        <v>30.25</v>
      </c>
      <c r="I81" s="1">
        <f t="shared" si="8"/>
        <v>22.343841355133353</v>
      </c>
      <c r="J81" t="s">
        <v>139</v>
      </c>
      <c r="K81" t="s">
        <v>139</v>
      </c>
      <c r="L81" t="s">
        <v>139</v>
      </c>
      <c r="M81" t="s">
        <v>139</v>
      </c>
      <c r="N81" t="s">
        <v>139</v>
      </c>
      <c r="O81" s="5" t="s">
        <v>206</v>
      </c>
    </row>
    <row r="82" spans="1:15" x14ac:dyDescent="0.25">
      <c r="A82" t="s">
        <v>186</v>
      </c>
      <c r="B82">
        <v>29</v>
      </c>
      <c r="C82" t="s">
        <v>19</v>
      </c>
      <c r="D82">
        <v>68.25</v>
      </c>
      <c r="E82" s="1">
        <f t="shared" si="6"/>
        <v>173.35499999999999</v>
      </c>
      <c r="F82">
        <v>199.3</v>
      </c>
      <c r="G82" s="2">
        <f t="shared" si="7"/>
        <v>90.401066850523009</v>
      </c>
      <c r="H82">
        <v>34.75</v>
      </c>
      <c r="I82" s="1">
        <f t="shared" si="8"/>
        <v>30.0815916193006</v>
      </c>
      <c r="J82" t="s">
        <v>139</v>
      </c>
      <c r="K82" t="s">
        <v>139</v>
      </c>
      <c r="L82" t="s">
        <v>139</v>
      </c>
      <c r="M82" t="s">
        <v>139</v>
      </c>
      <c r="N82" t="s">
        <v>139</v>
      </c>
      <c r="O82" s="5" t="s">
        <v>218</v>
      </c>
    </row>
    <row r="83" spans="1:15" x14ac:dyDescent="0.25">
      <c r="A83" t="s">
        <v>187</v>
      </c>
      <c r="B83">
        <v>26</v>
      </c>
      <c r="C83" t="s">
        <v>19</v>
      </c>
      <c r="D83">
        <v>71.5</v>
      </c>
      <c r="E83" s="1">
        <f t="shared" si="6"/>
        <v>181.61</v>
      </c>
      <c r="F83">
        <v>171.6</v>
      </c>
      <c r="G83" s="2">
        <f t="shared" si="7"/>
        <v>77.836543259155775</v>
      </c>
      <c r="H83">
        <v>33</v>
      </c>
      <c r="I83" s="1">
        <f t="shared" si="8"/>
        <v>23.59956640333672</v>
      </c>
      <c r="J83" t="s">
        <v>139</v>
      </c>
      <c r="K83" t="s">
        <v>139</v>
      </c>
      <c r="L83" t="s">
        <v>139</v>
      </c>
      <c r="M83" t="s">
        <v>139</v>
      </c>
      <c r="N83" t="s">
        <v>139</v>
      </c>
      <c r="O83" s="5" t="s">
        <v>205</v>
      </c>
    </row>
    <row r="84" spans="1:15" x14ac:dyDescent="0.25">
      <c r="A84" t="s">
        <v>188</v>
      </c>
      <c r="B84">
        <v>33</v>
      </c>
      <c r="C84" t="s">
        <v>19</v>
      </c>
      <c r="D84">
        <v>69.099999999999994</v>
      </c>
      <c r="E84" s="1">
        <f t="shared" si="6"/>
        <v>175.51399999999998</v>
      </c>
      <c r="F84">
        <v>154.6</v>
      </c>
      <c r="G84" s="2">
        <f t="shared" si="7"/>
        <v>70.125463798749905</v>
      </c>
      <c r="H84">
        <v>31.5</v>
      </c>
      <c r="I84" s="1">
        <f>G84/(E84/100)^2</f>
        <v>22.764190884545126</v>
      </c>
      <c r="J84" t="s">
        <v>139</v>
      </c>
      <c r="K84" t="s">
        <v>139</v>
      </c>
      <c r="L84" t="s">
        <v>139</v>
      </c>
      <c r="M84" t="s">
        <v>139</v>
      </c>
      <c r="N84" t="s">
        <v>139</v>
      </c>
      <c r="O84" s="5" t="s">
        <v>218</v>
      </c>
    </row>
    <row r="85" spans="1:15" x14ac:dyDescent="0.25">
      <c r="A85" t="s">
        <v>189</v>
      </c>
      <c r="B85">
        <v>24</v>
      </c>
      <c r="C85" t="s">
        <v>19</v>
      </c>
      <c r="D85">
        <v>77.25</v>
      </c>
      <c r="E85" s="1">
        <f t="shared" si="6"/>
        <v>196.215</v>
      </c>
      <c r="F85">
        <v>180.2</v>
      </c>
      <c r="G85" s="2">
        <f t="shared" si="7"/>
        <v>81.737442280302275</v>
      </c>
      <c r="H85">
        <v>33.5</v>
      </c>
      <c r="I85" s="1">
        <f>G85/(E85/100)^2</f>
        <v>21.230324595854064</v>
      </c>
      <c r="J85" t="s">
        <v>190</v>
      </c>
      <c r="K85" t="s">
        <v>139</v>
      </c>
      <c r="L85" t="s">
        <v>139</v>
      </c>
      <c r="M85" t="s">
        <v>139</v>
      </c>
      <c r="N85" t="s">
        <v>191</v>
      </c>
      <c r="O85" s="5" t="s">
        <v>218</v>
      </c>
    </row>
    <row r="86" spans="1:15" x14ac:dyDescent="0.25">
      <c r="A86" t="s">
        <v>192</v>
      </c>
      <c r="B86">
        <v>35</v>
      </c>
      <c r="C86" t="s">
        <v>19</v>
      </c>
      <c r="D86">
        <v>69</v>
      </c>
      <c r="E86" s="1">
        <f t="shared" si="6"/>
        <v>175.26</v>
      </c>
      <c r="F86">
        <v>115.8</v>
      </c>
      <c r="G86" s="2">
        <f t="shared" si="7"/>
        <v>52.52605891264708</v>
      </c>
      <c r="H86">
        <v>27</v>
      </c>
      <c r="I86" s="1">
        <f t="shared" ref="I86:I87" si="9">G86/(E86/100)^2</f>
        <v>17.10051546853839</v>
      </c>
      <c r="J86" t="s">
        <v>139</v>
      </c>
      <c r="K86" t="s">
        <v>139</v>
      </c>
      <c r="L86" t="s">
        <v>139</v>
      </c>
      <c r="M86" t="s">
        <v>139</v>
      </c>
      <c r="N86" t="s">
        <v>139</v>
      </c>
      <c r="O86" s="5" t="s">
        <v>206</v>
      </c>
    </row>
    <row r="87" spans="1:15" x14ac:dyDescent="0.25">
      <c r="A87" t="s">
        <v>193</v>
      </c>
      <c r="B87">
        <v>19</v>
      </c>
      <c r="C87" t="s">
        <v>9</v>
      </c>
      <c r="D87">
        <v>67.7</v>
      </c>
      <c r="E87" s="1">
        <f t="shared" si="6"/>
        <v>171.958</v>
      </c>
      <c r="F87">
        <v>171.958</v>
      </c>
      <c r="G87" s="2">
        <f t="shared" si="7"/>
        <v>77.998929520733739</v>
      </c>
      <c r="H87">
        <v>27.5</v>
      </c>
      <c r="I87" s="1">
        <f t="shared" si="9"/>
        <v>26.378121950455334</v>
      </c>
      <c r="J87" t="s">
        <v>139</v>
      </c>
      <c r="K87" t="s">
        <v>139</v>
      </c>
      <c r="L87" t="s">
        <v>139</v>
      </c>
      <c r="M87" t="s">
        <v>139</v>
      </c>
      <c r="N87" t="s">
        <v>139</v>
      </c>
      <c r="O87" s="5" t="s">
        <v>206</v>
      </c>
    </row>
    <row r="88" spans="1:15" s="3" customFormat="1" x14ac:dyDescent="0.25">
      <c r="A88" s="3" t="s">
        <v>223</v>
      </c>
      <c r="B88" s="6">
        <f>AVERAGE(B2:B87)</f>
        <v>27.732558139534884</v>
      </c>
      <c r="C88" s="6" t="s">
        <v>224</v>
      </c>
      <c r="D88" s="6">
        <f t="shared" ref="D88:O88" si="10">AVERAGE(D2:D87)</f>
        <v>74.887235572024096</v>
      </c>
      <c r="E88" s="6">
        <f t="shared" si="10"/>
        <v>190.21357835294117</v>
      </c>
      <c r="F88" s="6">
        <f t="shared" si="10"/>
        <v>158.65950588235296</v>
      </c>
      <c r="G88" s="6">
        <f t="shared" si="10"/>
        <v>71.966826882797463</v>
      </c>
      <c r="H88" s="6">
        <f t="shared" si="10"/>
        <v>31.827777777777776</v>
      </c>
      <c r="I88" s="6">
        <f t="shared" si="10"/>
        <v>22.720983674304279</v>
      </c>
      <c r="J88" s="3" t="s">
        <v>226</v>
      </c>
      <c r="K88" s="6" t="s">
        <v>227</v>
      </c>
      <c r="L88" s="6" t="s">
        <v>229</v>
      </c>
      <c r="M88" s="6" t="s">
        <v>232</v>
      </c>
      <c r="N88" s="6" t="s">
        <v>231</v>
      </c>
      <c r="O88" s="6"/>
    </row>
    <row r="89" spans="1:15" x14ac:dyDescent="0.25">
      <c r="H89" s="1">
        <f>MEDIAN(H2:H88)</f>
        <v>32.5</v>
      </c>
      <c r="I89" s="1">
        <f>MEDIAN(I2:I88)</f>
        <v>23.053065413797924</v>
      </c>
      <c r="J89" s="6" t="s">
        <v>225</v>
      </c>
      <c r="K89" s="3" t="s">
        <v>228</v>
      </c>
      <c r="L89" s="3" t="s">
        <v>230</v>
      </c>
    </row>
  </sheetData>
  <autoFilter ref="A1:O90" xr:uid="{71013968-7E6B-4E88-BA55-E0A6E7B2469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Santiago</dc:creator>
  <cp:lastModifiedBy>Marina Santiago</cp:lastModifiedBy>
  <dcterms:created xsi:type="dcterms:W3CDTF">2020-09-26T14:44:57Z</dcterms:created>
  <dcterms:modified xsi:type="dcterms:W3CDTF">2020-09-26T15:21:40Z</dcterms:modified>
</cp:coreProperties>
</file>