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Marko/Downloads/"/>
    </mc:Choice>
  </mc:AlternateContent>
  <bookViews>
    <workbookView xWindow="0" yWindow="460" windowWidth="28800" windowHeight="16140" tabRatio="500"/>
  </bookViews>
  <sheets>
    <sheet name="Uporedni pregled za 2011. godin" sheetId="1" r:id="rId1"/>
    <sheet name="Uporedni pregled za 2010. godin" sheetId="2" r:id="rId2"/>
    <sheet name="Uporedni pregled za 2009. godin" sheetId="3" r:id="rId3"/>
    <sheet name="Andrijevica" sheetId="4" r:id="rId4"/>
    <sheet name="Bar" sheetId="5" r:id="rId5"/>
    <sheet name="Berane" sheetId="6" r:id="rId6"/>
    <sheet name="Bijelo Polje" sheetId="7" r:id="rId7"/>
    <sheet name="Budva" sheetId="8" r:id="rId8"/>
    <sheet name="Cetinje" sheetId="9" r:id="rId9"/>
    <sheet name="Danilovgrad" sheetId="10" r:id="rId10"/>
    <sheet name="Herceg Novi" sheetId="11" r:id="rId11"/>
    <sheet name="Kolašin" sheetId="12" r:id="rId12"/>
    <sheet name="Kotor" sheetId="13" r:id="rId13"/>
    <sheet name="Mojkovac" sheetId="14" r:id="rId14"/>
    <sheet name="Nikšić" sheetId="15" r:id="rId15"/>
    <sheet name="Plav" sheetId="16" r:id="rId16"/>
    <sheet name="Pljevlja" sheetId="17" r:id="rId17"/>
    <sheet name="Plužine" sheetId="18" r:id="rId18"/>
    <sheet name="Podgorica" sheetId="19" r:id="rId19"/>
    <sheet name="Rožaje" sheetId="20" r:id="rId20"/>
    <sheet name="Šavnik" sheetId="21" r:id="rId21"/>
    <sheet name="Tivat" sheetId="22" r:id="rId22"/>
    <sheet name="Ulcinj" sheetId="23" r:id="rId23"/>
    <sheet name="Žabljak" sheetId="24" r:id="rId2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24" l="1"/>
  <c r="D63" i="24"/>
  <c r="C63" i="24"/>
  <c r="E30" i="24"/>
  <c r="D30" i="24"/>
  <c r="C30" i="24"/>
  <c r="E29" i="24"/>
  <c r="D29" i="24"/>
  <c r="C29" i="24"/>
  <c r="E26" i="24"/>
  <c r="D26" i="24"/>
  <c r="C26" i="24"/>
  <c r="D19" i="24"/>
  <c r="C19" i="24"/>
  <c r="E18" i="24"/>
  <c r="D18" i="24"/>
  <c r="C18" i="24"/>
  <c r="E17" i="24"/>
  <c r="D17" i="24"/>
  <c r="C17" i="24"/>
  <c r="E16" i="24"/>
  <c r="D16" i="24"/>
  <c r="C16" i="24"/>
  <c r="E5" i="24"/>
  <c r="D5" i="24"/>
  <c r="C5" i="24"/>
  <c r="E34" i="23"/>
  <c r="D34" i="23"/>
  <c r="C34" i="23"/>
  <c r="E30" i="23"/>
  <c r="D30" i="23"/>
  <c r="C30" i="23"/>
  <c r="E29" i="23"/>
  <c r="C29" i="23"/>
  <c r="E26" i="23"/>
  <c r="D26" i="23"/>
  <c r="C26" i="23"/>
  <c r="D23" i="23"/>
  <c r="E22" i="23"/>
  <c r="D22" i="23"/>
  <c r="C22" i="23"/>
  <c r="E20" i="23"/>
  <c r="D20" i="23"/>
  <c r="C20" i="23"/>
  <c r="E19" i="23"/>
  <c r="D19" i="23"/>
  <c r="C19" i="23"/>
  <c r="E18" i="23"/>
  <c r="D18" i="23"/>
  <c r="C18" i="23"/>
  <c r="E17" i="23"/>
  <c r="D17" i="23"/>
  <c r="C17" i="23"/>
  <c r="E15" i="23"/>
  <c r="D15" i="23"/>
  <c r="C15" i="23"/>
  <c r="E9" i="23"/>
  <c r="D9" i="23"/>
  <c r="C9" i="23"/>
  <c r="E8" i="23"/>
  <c r="D8" i="23"/>
  <c r="C8" i="23"/>
  <c r="E7" i="23"/>
  <c r="D7" i="23"/>
  <c r="C7" i="23"/>
  <c r="E6" i="23"/>
  <c r="D6" i="23"/>
  <c r="C6" i="23"/>
  <c r="E5" i="23"/>
  <c r="D5" i="23"/>
  <c r="C5" i="23"/>
  <c r="E30" i="22"/>
  <c r="D30" i="22"/>
  <c r="C30" i="22"/>
  <c r="E29" i="22"/>
  <c r="D29" i="22"/>
  <c r="C29" i="22"/>
  <c r="E26" i="22"/>
  <c r="D26" i="22"/>
  <c r="C26" i="22"/>
  <c r="E23" i="22"/>
  <c r="E19" i="22"/>
  <c r="D19" i="22"/>
  <c r="C19" i="22"/>
  <c r="E18" i="22"/>
  <c r="D18" i="22"/>
  <c r="C18" i="22"/>
  <c r="E17" i="22"/>
  <c r="D17" i="22"/>
  <c r="C17" i="22"/>
  <c r="E16" i="22"/>
  <c r="D16" i="22"/>
  <c r="C16" i="22"/>
  <c r="D15" i="22"/>
  <c r="C15" i="22"/>
  <c r="E5" i="22"/>
  <c r="D5" i="22"/>
  <c r="C5" i="22"/>
  <c r="E34" i="21"/>
  <c r="D34" i="21"/>
  <c r="C34" i="21"/>
  <c r="E30" i="21"/>
  <c r="D30" i="21"/>
  <c r="C30" i="21"/>
  <c r="D29" i="21"/>
  <c r="E26" i="21"/>
  <c r="D26" i="21"/>
  <c r="C26" i="21"/>
  <c r="E22" i="21"/>
  <c r="D22" i="21"/>
  <c r="E19" i="21"/>
  <c r="D19" i="21"/>
  <c r="C19" i="21"/>
  <c r="E18" i="21"/>
  <c r="D18" i="21"/>
  <c r="C18" i="21"/>
  <c r="E17" i="21"/>
  <c r="D17" i="21"/>
  <c r="C17" i="21"/>
  <c r="E16" i="21"/>
  <c r="D16" i="21"/>
  <c r="C16" i="21"/>
  <c r="E5" i="21"/>
  <c r="D5" i="21"/>
  <c r="C5" i="21"/>
  <c r="E31" i="20"/>
  <c r="D31" i="20"/>
  <c r="C31" i="20"/>
  <c r="E26" i="20"/>
  <c r="D26" i="20"/>
  <c r="C26" i="20"/>
  <c r="E5" i="20"/>
  <c r="D5" i="20"/>
  <c r="C5" i="20"/>
  <c r="E29" i="19"/>
  <c r="D29" i="19"/>
  <c r="C29" i="19"/>
  <c r="E28" i="19"/>
  <c r="E25" i="19"/>
  <c r="D25" i="19"/>
  <c r="C25" i="19"/>
  <c r="D18" i="19"/>
  <c r="C18" i="19"/>
  <c r="E5" i="19"/>
  <c r="D5" i="19"/>
  <c r="C5" i="19"/>
  <c r="F30" i="18"/>
  <c r="E30" i="18"/>
  <c r="D30" i="18"/>
  <c r="F29" i="18"/>
  <c r="E29" i="18"/>
  <c r="D29" i="18"/>
  <c r="F26" i="18"/>
  <c r="E26" i="18"/>
  <c r="D26" i="18"/>
  <c r="F19" i="18"/>
  <c r="E19" i="18"/>
  <c r="D19" i="18"/>
  <c r="F18" i="18"/>
  <c r="E18" i="18"/>
  <c r="D18" i="18"/>
  <c r="F17" i="18"/>
  <c r="E17" i="18"/>
  <c r="D17" i="18"/>
  <c r="F16" i="18"/>
  <c r="E16" i="18"/>
  <c r="D16" i="18"/>
  <c r="F5" i="18"/>
  <c r="E5" i="18"/>
  <c r="D5" i="18"/>
  <c r="D72" i="17"/>
  <c r="C48" i="17"/>
  <c r="C72" i="17"/>
  <c r="E70" i="17"/>
  <c r="E30" i="17"/>
  <c r="D30" i="17"/>
  <c r="E29" i="17"/>
  <c r="D29" i="17"/>
  <c r="C29" i="17"/>
  <c r="D34" i="16"/>
  <c r="C34" i="16"/>
  <c r="E30" i="16"/>
  <c r="D30" i="16"/>
  <c r="C30" i="16"/>
  <c r="E29" i="16"/>
  <c r="D29" i="16"/>
  <c r="C29" i="16"/>
  <c r="E26" i="16"/>
  <c r="D26" i="16"/>
  <c r="C26" i="16"/>
  <c r="D23" i="16"/>
  <c r="C23" i="16"/>
  <c r="E22" i="16"/>
  <c r="D22" i="16"/>
  <c r="C22" i="16"/>
  <c r="E18" i="16"/>
  <c r="D18" i="16"/>
  <c r="C18" i="16"/>
  <c r="E17" i="16"/>
  <c r="D17" i="16"/>
  <c r="C17" i="16"/>
  <c r="E16" i="16"/>
  <c r="D16" i="16"/>
  <c r="C16" i="16"/>
  <c r="E5" i="16"/>
  <c r="D5" i="16"/>
  <c r="C5" i="16"/>
  <c r="E48" i="14"/>
  <c r="D48" i="14"/>
  <c r="C48" i="14"/>
  <c r="C34" i="14"/>
  <c r="E30" i="14"/>
  <c r="D30" i="14"/>
  <c r="C30" i="14"/>
  <c r="E29" i="14"/>
  <c r="D29" i="14"/>
  <c r="C29" i="14"/>
  <c r="E26" i="14"/>
  <c r="D26" i="14"/>
  <c r="C26" i="14"/>
  <c r="E22" i="14"/>
  <c r="D22" i="14"/>
  <c r="C22" i="14"/>
  <c r="E18" i="14"/>
  <c r="D18" i="14"/>
  <c r="C18" i="14"/>
  <c r="E17" i="14"/>
  <c r="D17" i="14"/>
  <c r="C17" i="14"/>
  <c r="E16" i="14"/>
  <c r="D16" i="14"/>
  <c r="C16" i="14"/>
  <c r="E14" i="14"/>
  <c r="D14" i="14"/>
  <c r="C14" i="14"/>
  <c r="E5" i="14"/>
  <c r="D5" i="14"/>
  <c r="C5" i="14"/>
  <c r="E33" i="13"/>
  <c r="D33" i="13"/>
  <c r="C33" i="13"/>
  <c r="D29" i="13"/>
  <c r="H31" i="13"/>
  <c r="E30" i="13"/>
  <c r="E29" i="13"/>
  <c r="C29" i="13"/>
  <c r="E26" i="13"/>
  <c r="D26" i="13"/>
  <c r="C26" i="13"/>
  <c r="E23" i="13"/>
  <c r="D23" i="13"/>
  <c r="C23" i="13"/>
  <c r="E22" i="13"/>
  <c r="D22" i="13"/>
  <c r="C22" i="13"/>
  <c r="C20" i="13"/>
  <c r="E19" i="13"/>
  <c r="E18" i="13"/>
  <c r="D18" i="13"/>
  <c r="C18" i="13"/>
  <c r="E17" i="13"/>
  <c r="D17" i="13"/>
  <c r="C17" i="13"/>
  <c r="E16" i="13"/>
  <c r="D16" i="13"/>
  <c r="C16" i="13"/>
  <c r="C14" i="13"/>
  <c r="C13" i="13"/>
  <c r="C10" i="13"/>
  <c r="C9" i="13"/>
  <c r="C7" i="13"/>
  <c r="C6" i="13"/>
  <c r="E5" i="13"/>
  <c r="D5" i="13"/>
  <c r="C5" i="13"/>
  <c r="E52" i="12"/>
  <c r="D52" i="12"/>
  <c r="C52" i="12"/>
  <c r="E30" i="12"/>
  <c r="D30" i="12"/>
  <c r="C30" i="12"/>
  <c r="E29" i="12"/>
  <c r="D29" i="12"/>
  <c r="C29" i="12"/>
  <c r="E27" i="12"/>
  <c r="D27" i="12"/>
  <c r="C27" i="12"/>
  <c r="E26" i="12"/>
  <c r="D26" i="12"/>
  <c r="C26" i="12"/>
  <c r="E26" i="11"/>
  <c r="D26" i="11"/>
  <c r="C26" i="11"/>
  <c r="E23" i="11"/>
  <c r="D23" i="11"/>
  <c r="C23" i="11"/>
  <c r="E18" i="11"/>
  <c r="D18" i="11"/>
  <c r="C18" i="11"/>
  <c r="E17" i="11"/>
  <c r="D17" i="11"/>
  <c r="C17" i="11"/>
  <c r="E16" i="11"/>
  <c r="D16" i="11"/>
  <c r="C16" i="11"/>
  <c r="E5" i="11"/>
  <c r="D5" i="11"/>
  <c r="C5" i="11"/>
  <c r="E30" i="10"/>
  <c r="D30" i="10"/>
  <c r="C30" i="10"/>
  <c r="C30" i="9"/>
  <c r="C29" i="9"/>
  <c r="C39" i="9"/>
  <c r="E37" i="9"/>
  <c r="D37" i="9"/>
  <c r="E30" i="9"/>
  <c r="D30" i="9"/>
  <c r="D29" i="9"/>
  <c r="E26" i="9"/>
  <c r="D26" i="9"/>
  <c r="C26" i="9"/>
  <c r="D20" i="9"/>
  <c r="E19" i="9"/>
  <c r="D19" i="9"/>
  <c r="C19" i="9"/>
  <c r="E18" i="9"/>
  <c r="C18" i="9"/>
  <c r="D17" i="9"/>
  <c r="E16" i="9"/>
  <c r="D16" i="9"/>
  <c r="C16" i="9"/>
  <c r="E5" i="9"/>
  <c r="D5" i="9"/>
  <c r="C5" i="9"/>
  <c r="E30" i="8"/>
  <c r="D30" i="8"/>
  <c r="C30" i="8"/>
  <c r="E26" i="8"/>
  <c r="D26" i="8"/>
  <c r="C26" i="8"/>
  <c r="C23" i="8"/>
  <c r="E22" i="8"/>
  <c r="D22" i="8"/>
  <c r="C22" i="8"/>
  <c r="E17" i="8"/>
  <c r="D17" i="8"/>
  <c r="E16" i="8"/>
  <c r="D16" i="8"/>
  <c r="C16" i="8"/>
  <c r="E5" i="8"/>
  <c r="D5" i="8"/>
  <c r="C5" i="8"/>
  <c r="E30" i="7"/>
  <c r="D30" i="7"/>
  <c r="C30" i="7"/>
  <c r="E22" i="7"/>
  <c r="E19" i="7"/>
  <c r="E17" i="7"/>
  <c r="D17" i="7"/>
  <c r="C17" i="7"/>
  <c r="E16" i="7"/>
  <c r="D16" i="7"/>
  <c r="C16" i="7"/>
  <c r="E37" i="6"/>
  <c r="D37" i="6"/>
  <c r="C37" i="6"/>
  <c r="E30" i="6"/>
  <c r="D30" i="6"/>
  <c r="C30" i="6"/>
  <c r="E29" i="6"/>
  <c r="D29" i="6"/>
  <c r="C29" i="6"/>
  <c r="E26" i="6"/>
  <c r="D26" i="6"/>
  <c r="C26" i="6"/>
  <c r="C22" i="6"/>
  <c r="C19" i="6"/>
  <c r="E5" i="6"/>
  <c r="D5" i="6"/>
  <c r="C5" i="6"/>
  <c r="E29" i="5"/>
  <c r="D29" i="5"/>
  <c r="C29" i="5"/>
  <c r="E26" i="5"/>
  <c r="D26" i="5"/>
  <c r="C26" i="5"/>
  <c r="E5" i="5"/>
  <c r="D5" i="5"/>
  <c r="C5" i="5"/>
  <c r="E48" i="4"/>
  <c r="D48" i="4"/>
  <c r="C48" i="4"/>
  <c r="E29" i="4"/>
  <c r="E30" i="4"/>
  <c r="E34" i="4"/>
  <c r="E39" i="4"/>
  <c r="D34" i="4"/>
  <c r="C34" i="4"/>
  <c r="D30" i="4"/>
  <c r="C30" i="4"/>
  <c r="D29" i="4"/>
  <c r="C29" i="4"/>
  <c r="E26" i="4"/>
  <c r="D26" i="4"/>
  <c r="C26" i="4"/>
  <c r="E23" i="4"/>
  <c r="E22" i="4"/>
  <c r="D22" i="4"/>
  <c r="C22" i="4"/>
  <c r="E19" i="4"/>
  <c r="C19" i="4"/>
  <c r="E17" i="4"/>
  <c r="D17" i="4"/>
  <c r="C17" i="4"/>
  <c r="E16" i="4"/>
  <c r="D16" i="4"/>
  <c r="C16" i="4"/>
  <c r="E5" i="4"/>
  <c r="D5" i="4"/>
  <c r="C5" i="4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C26" authorId="0">
      <text>
        <r>
          <rPr>
            <sz val="10"/>
            <color rgb="FF000000"/>
            <rFont val="Arial"/>
          </rPr>
          <t xml:space="preserve">Goran : 5611882,13
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  <comment ref="D52" authorId="0">
      <text>
        <r>
          <rPr>
            <sz val="10"/>
            <color rgb="FF000000"/>
            <rFont val="Arial"/>
          </rPr>
          <t>PC:
Agencija za izgradnju i razvoj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C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C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C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B18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8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6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1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8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39" authorId="0">
      <text>
        <r>
          <rPr>
            <sz val="10"/>
            <color rgb="FF000000"/>
            <rFont val="Arial"/>
          </rPr>
          <t xml:space="preserve">Goran : 4093540,79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sharedStrings.xml><?xml version="1.0" encoding="utf-8"?>
<sst xmlns="http://schemas.openxmlformats.org/spreadsheetml/2006/main" count="1592" uniqueCount="364">
  <si>
    <t>Tekući izdaci</t>
  </si>
  <si>
    <t>Lokalna samouprava: Andrijevica</t>
  </si>
  <si>
    <t>Bruto zarade i doprinosi na teret zaposlenih</t>
  </si>
  <si>
    <t>Izdaci za materijal i usluge</t>
  </si>
  <si>
    <t>Lokalna samouprava: Budva</t>
  </si>
  <si>
    <t>Tekuće održavanje</t>
  </si>
  <si>
    <t>Kamate</t>
  </si>
  <si>
    <t>Renta</t>
  </si>
  <si>
    <t>Subvencije</t>
  </si>
  <si>
    <t>Transferi za socijalnu zaštitu</t>
  </si>
  <si>
    <t>Transferi institucijama, pojedincima, nevladinom i javnom sektoru</t>
  </si>
  <si>
    <t>Transferi javnim institucijama</t>
  </si>
  <si>
    <t>Transferi nevladinim organizacijama, političkim partijama, strankama i udruženjima</t>
  </si>
  <si>
    <t>Transferi pojedincima</t>
  </si>
  <si>
    <t>Kapitalni izdaci</t>
  </si>
  <si>
    <t>Pozjamice i krediti</t>
  </si>
  <si>
    <t>Otplata dugova</t>
  </si>
  <si>
    <t>Rezerve</t>
  </si>
  <si>
    <t>Ukupni izdaci</t>
  </si>
  <si>
    <t>Lokalna samouprava: Cetinje</t>
  </si>
  <si>
    <t>Lokalna samouprava: Danilovgrad</t>
  </si>
  <si>
    <t>Lokalna samouprava: Herceg Novi</t>
  </si>
  <si>
    <t>Izdaci</t>
  </si>
  <si>
    <t>Lokalna samouprava: Kolašin</t>
  </si>
  <si>
    <t>Lokalna samouprava: Kotor</t>
  </si>
  <si>
    <t>Lokalna samouprava: Mojkovac</t>
  </si>
  <si>
    <t>Lokalna samouprava: Nikšić</t>
  </si>
  <si>
    <t>Lokalna samouprava: Plav</t>
  </si>
  <si>
    <t>Lokalna samouprava: Plužine</t>
  </si>
  <si>
    <t>Lokalna samouprava: Pljevlja</t>
  </si>
  <si>
    <t>Lokalna samouprava: Podgorica</t>
  </si>
  <si>
    <t>Lokalna samouprava: Rožaje</t>
  </si>
  <si>
    <t>Pozjamice i dugovi</t>
  </si>
  <si>
    <t>Lokalna samouprava: Tivat</t>
  </si>
  <si>
    <t>Lokalna samouprava: Šavnik</t>
  </si>
  <si>
    <t>Lokalna samouprava: Ulcinj</t>
  </si>
  <si>
    <t>Lokalna samouprava: Žabljak</t>
  </si>
  <si>
    <t>Lokalna samouprava: Bar</t>
  </si>
  <si>
    <t>Bruto zarade i doprinosi na teret poslodavaca</t>
  </si>
  <si>
    <t>Tekući prihodi</t>
  </si>
  <si>
    <t>Porezi</t>
  </si>
  <si>
    <t>Takse</t>
  </si>
  <si>
    <t>Koncesione naknade</t>
  </si>
  <si>
    <t>Primici od prodaje imovine</t>
  </si>
  <si>
    <t>Donacije i transferi</t>
  </si>
  <si>
    <t>Transferi od budžeta države</t>
  </si>
  <si>
    <t>Transferi od Egalizacionog fonda</t>
  </si>
  <si>
    <t>Ukupni prihodi</t>
  </si>
  <si>
    <t>Dug</t>
  </si>
  <si>
    <t>Broj stanovnika</t>
  </si>
  <si>
    <t>Teritorija</t>
  </si>
  <si>
    <t>Broj lokalnih službenika i namještenika</t>
  </si>
  <si>
    <t>Stopa nezaposlenosti</t>
  </si>
  <si>
    <t>Andrijevica</t>
  </si>
  <si>
    <t>Ostala lična primanja zaposlenih</t>
  </si>
  <si>
    <t>Ostali izdaci</t>
  </si>
  <si>
    <t>Lokalna samouprava: Bijelo Polje</t>
  </si>
  <si>
    <t>Lokalna samouprava: Berane</t>
  </si>
  <si>
    <t>431-1</t>
  </si>
  <si>
    <t>431-2</t>
  </si>
  <si>
    <t>431-3</t>
  </si>
  <si>
    <t>431 - ?</t>
  </si>
  <si>
    <t>Ostali transferi</t>
  </si>
  <si>
    <t>Pozajmice i krediti</t>
  </si>
  <si>
    <t>Prihodi</t>
  </si>
  <si>
    <t>Bar</t>
  </si>
  <si>
    <t>Ostale naknade</t>
  </si>
  <si>
    <t>Ostali prihodi</t>
  </si>
  <si>
    <t>Primici od otplate kredita i sredstva prenesena iz prethodne godine</t>
  </si>
  <si>
    <t>260.194,93</t>
  </si>
  <si>
    <t>Berane</t>
  </si>
  <si>
    <t>Bijelo Polje</t>
  </si>
  <si>
    <t>Budva</t>
  </si>
  <si>
    <t>Cetinje</t>
  </si>
  <si>
    <t>Danilovgrad</t>
  </si>
  <si>
    <t>Herceg Novi</t>
  </si>
  <si>
    <t>224.102,28</t>
  </si>
  <si>
    <t>Kolasin</t>
  </si>
  <si>
    <t>Kotor</t>
  </si>
  <si>
    <t>Mojkovac</t>
  </si>
  <si>
    <t>Niksic</t>
  </si>
  <si>
    <t>Ostali transferi i donacije</t>
  </si>
  <si>
    <t>Ukupni primici</t>
  </si>
  <si>
    <t>Ostalo</t>
  </si>
  <si>
    <t>Dug (Neizmirene obaveze)</t>
  </si>
  <si>
    <t>Plav</t>
  </si>
  <si>
    <t>Rata nezaposlenosti / Broj nezaposlenih</t>
  </si>
  <si>
    <t>Pljevlja</t>
  </si>
  <si>
    <t>Pluzine</t>
  </si>
  <si>
    <t>Podgorica</t>
  </si>
  <si>
    <t>Rozaje</t>
  </si>
  <si>
    <t>54.000,00</t>
  </si>
  <si>
    <t>Savnik</t>
  </si>
  <si>
    <t>Tivat</t>
  </si>
  <si>
    <t>Ulcinj</t>
  </si>
  <si>
    <t>Žabljak</t>
  </si>
  <si>
    <t>Posebni podaci za svaki grad</t>
  </si>
  <si>
    <t>742-1</t>
  </si>
  <si>
    <t>Transferi od budžeta države (uslovne dotacije)</t>
  </si>
  <si>
    <t>742-2</t>
  </si>
  <si>
    <t>316.192,62</t>
  </si>
  <si>
    <t>147.126,88</t>
  </si>
  <si>
    <t>528.914,66</t>
  </si>
  <si>
    <t>106.000,00</t>
  </si>
  <si>
    <t>64.500,00</t>
  </si>
  <si>
    <t>Prenos iz prethodne godine</t>
  </si>
  <si>
    <t>Operativni izdaci</t>
  </si>
  <si>
    <t>Sekretarijat za društvene djelatnosti i ostale upravne poslove</t>
  </si>
  <si>
    <t>JU Centar za kulturu</t>
  </si>
  <si>
    <t>100.899,78</t>
  </si>
  <si>
    <t>421.751,71</t>
  </si>
  <si>
    <t>163.816,20</t>
  </si>
  <si>
    <t>Kabinet predsjednika</t>
  </si>
  <si>
    <t>Služba predsjednika opštine</t>
  </si>
  <si>
    <t>Služba Skupštine</t>
  </si>
  <si>
    <t>Služba Glavnog administratora</t>
  </si>
  <si>
    <t>Zajednička stručna služba</t>
  </si>
  <si>
    <t>Sekretarijat lokalne uprave</t>
  </si>
  <si>
    <t>37.000,00</t>
  </si>
  <si>
    <t>45.000,00</t>
  </si>
  <si>
    <t>743.183,75</t>
  </si>
  <si>
    <t>Služba zaštite</t>
  </si>
  <si>
    <t>Skupštinska služba</t>
  </si>
  <si>
    <t>JU Nikšićko pozorište</t>
  </si>
  <si>
    <t>JU Zahumlje</t>
  </si>
  <si>
    <t>JU Stari grad Anderva</t>
  </si>
  <si>
    <t>JU Dnevni centar sa smetnjama</t>
  </si>
  <si>
    <t>Sekretarijat za privredu i finansije</t>
  </si>
  <si>
    <t>JP Sportski centar</t>
  </si>
  <si>
    <t>Turistička organizacija</t>
  </si>
  <si>
    <t>JP za uzgoj, zaštitu i lov divljači Dr Zoran Kesler</t>
  </si>
  <si>
    <t>Sekretarijat za uređenje prostora i stambene poslove</t>
  </si>
  <si>
    <t>Sekretarijat za komunalne poslove, saobraćaj i vode</t>
  </si>
  <si>
    <t>Sekretarijat za sport</t>
  </si>
  <si>
    <t>Direkcija za imovinu</t>
  </si>
  <si>
    <t>Agencija za projektovanje i planiranje</t>
  </si>
  <si>
    <t>Komunalna policija</t>
  </si>
  <si>
    <t>Služba zaštite i spašavanja</t>
  </si>
  <si>
    <t>Služba za zajedničke poslove</t>
  </si>
  <si>
    <t>Služba za zaštitu životne sredine</t>
  </si>
  <si>
    <t>Služba za razvoj mjesnih zajednica</t>
  </si>
  <si>
    <t>Služba za skupštinske poslove</t>
  </si>
  <si>
    <t>Ukupno</t>
  </si>
  <si>
    <t>Služba predsjednika Opštine</t>
  </si>
  <si>
    <t>Služba glavnog administratora</t>
  </si>
  <si>
    <t>Služba menadžera</t>
  </si>
  <si>
    <t>Investicioni izdaci</t>
  </si>
  <si>
    <t>Predsjednik Skupštine i služba Skupštine</t>
  </si>
  <si>
    <t>Sekretarijat za privredu, finansije, opštu upravu i društvene djelatnosti</t>
  </si>
  <si>
    <t>Sekretarijat za finansije i ekonomski razvoj</t>
  </si>
  <si>
    <t>Sekretarijat za uređenje prostora, zaštitu životne sredine i komunalno stambene poslove</t>
  </si>
  <si>
    <t>Sekretarijat za upravu i društvene djelatnosti</t>
  </si>
  <si>
    <t>Sekretarijat za urbanizam, građevinarstvo, stambene i komunalne poslove</t>
  </si>
  <si>
    <t>Glavni administrator</t>
  </si>
  <si>
    <t>Agro biznis info centar</t>
  </si>
  <si>
    <t>Kapitalni budžet</t>
  </si>
  <si>
    <t>Služba gradonačelnika</t>
  </si>
  <si>
    <t>220.811,49</t>
  </si>
  <si>
    <t>Kabinet Predsjednika</t>
  </si>
  <si>
    <t>Agencija za investicije, građevinsko zemljište i razvoj</t>
  </si>
  <si>
    <t>Služba skupštine</t>
  </si>
  <si>
    <t>Menadžer</t>
  </si>
  <si>
    <t>Sekretarijat za opštu upravu i društvene djelatnosti</t>
  </si>
  <si>
    <t>Sekretarijat za urbanizam, komunalno stambene poslove i zaštitu životne sredine</t>
  </si>
  <si>
    <t>Sekretarijat za imovinu</t>
  </si>
  <si>
    <t>Služba predsjednika</t>
  </si>
  <si>
    <t>30.000,00</t>
  </si>
  <si>
    <t xml:space="preserve">Služba zaštite </t>
  </si>
  <si>
    <t>JU Umjetnička kolonija</t>
  </si>
  <si>
    <t>Opštinska organizacija Crvenog krsta</t>
  </si>
  <si>
    <t>Turistička organizacija Opštine Danilovgrad</t>
  </si>
  <si>
    <t>Javno preduzeće za uzgoj, zaštitu i lov divljači i riba</t>
  </si>
  <si>
    <t>10.000,00</t>
  </si>
  <si>
    <t>56547-17</t>
  </si>
  <si>
    <t>82.370,00</t>
  </si>
  <si>
    <t>518.315,53</t>
  </si>
  <si>
    <t>Direkcija za saobraćaj, održavannje i izgradnju puteva</t>
  </si>
  <si>
    <t>Javno komunalno zanatsko preduzeće</t>
  </si>
  <si>
    <t>izdaci za materijal i usluge</t>
  </si>
  <si>
    <t>Služba predsjednika skupštine</t>
  </si>
  <si>
    <t>Glavni administrator i menadžer</t>
  </si>
  <si>
    <t>Služba za finansije i lokalne prihode</t>
  </si>
  <si>
    <t>Služba za opštu upravu i lokalne djelatnosti</t>
  </si>
  <si>
    <t>Služba zaštite i spasavanja</t>
  </si>
  <si>
    <t>Sindikat opštine</t>
  </si>
  <si>
    <t>Mjesne zajednice</t>
  </si>
  <si>
    <t>JU Centar za kulturu i sport</t>
  </si>
  <si>
    <t>Izdavačka kuća "Komovi" Andrijevica</t>
  </si>
  <si>
    <t>Sportski klubovi i društva</t>
  </si>
  <si>
    <t>Studentske stipendije</t>
  </si>
  <si>
    <t>Međuopštinska turistička organizacija</t>
  </si>
  <si>
    <t>Srpska pravoslavna crkva</t>
  </si>
  <si>
    <t>Opštinska organizacija crveni krst Andrijevica</t>
  </si>
  <si>
    <t>Javni servis Radio Andrijevica</t>
  </si>
  <si>
    <t>NVO i humanitarne organizacije</t>
  </si>
  <si>
    <t>Političke partije u lokalnoj skupštini</t>
  </si>
  <si>
    <t>Budžetski rashodi - tekuća i stalna rezerva</t>
  </si>
  <si>
    <t>Sekretarijat za zaštitu imovine</t>
  </si>
  <si>
    <t>Mjesne zajednice</t>
  </si>
  <si>
    <t>Predsjednik Skupštine</t>
  </si>
  <si>
    <t>Sekretar Skupštine</t>
  </si>
  <si>
    <t>Sekretarijat za opštu upravu i inspekcijske poslove</t>
  </si>
  <si>
    <t>Sekretarijat za uređenje prostora, zaštitu životne sredine, stambeno-komunalne poslove i saobraćaj</t>
  </si>
  <si>
    <t>Sekretarijat za opštu upravu</t>
  </si>
  <si>
    <t>3.208.950,00</t>
  </si>
  <si>
    <t>452.941,35</t>
  </si>
  <si>
    <t>4.540.836,00</t>
  </si>
  <si>
    <t>Sekretarijat za ekonomiju, finansije i imovinu</t>
  </si>
  <si>
    <t>Uprava prihoda</t>
  </si>
  <si>
    <t>Sekretarijat za uređenje prostora</t>
  </si>
  <si>
    <t>Sekretarijat za inspekcijske poslove</t>
  </si>
  <si>
    <t>Sekretarijat za finansije</t>
  </si>
  <si>
    <t>Služba Predsjednika opštine</t>
  </si>
  <si>
    <t>Uprava lokalnih javnih prihoda</t>
  </si>
  <si>
    <t>Sekretarijat za razvoj preduzetništva</t>
  </si>
  <si>
    <t>Služba Skupštine opštine</t>
  </si>
  <si>
    <t>Sekretarijat za socijalno staranje</t>
  </si>
  <si>
    <t>JU za brigu o djeci "Dječji savez"</t>
  </si>
  <si>
    <t>JU za rehabilitaciju i resocijalizaciju korisnika psihoaktivnih supstanci</t>
  </si>
  <si>
    <t>Sekretarijat za finansije</t>
  </si>
  <si>
    <t>Sekretarijat za kulturu i sport</t>
  </si>
  <si>
    <t>JU "Muzeji i galerije"</t>
  </si>
  <si>
    <t>JU NB "Radosav Ljumović"</t>
  </si>
  <si>
    <t>Skupština opštine Kotor</t>
  </si>
  <si>
    <t>JU "Gradsko pozorište"</t>
  </si>
  <si>
    <t>JU KIC "Budo Tomović"</t>
  </si>
  <si>
    <t>Stručna služba predsjednika opštine</t>
  </si>
  <si>
    <t>JU KIC "Zeta"</t>
  </si>
  <si>
    <t>Stručna služba glavnog administratora</t>
  </si>
  <si>
    <t>JU KIC "Malesija"</t>
  </si>
  <si>
    <t>JU Centar "Morača"</t>
  </si>
  <si>
    <t>JP "Gradski stadion"</t>
  </si>
  <si>
    <t>Sekretarijat za lokalnu samoupravu</t>
  </si>
  <si>
    <t>Sekretarijat za planiranje i uređenje prostora i zaštitu životne sredine</t>
  </si>
  <si>
    <t>Sekretarijat za komunalne poslove i saobraćaj</t>
  </si>
  <si>
    <t>Centar za informacioni sistem</t>
  </si>
  <si>
    <t>Služba za unutrašnju reviziju</t>
  </si>
  <si>
    <t>Sekretarijat za urbanizam, građevinarstvo i komunalno-stambene poslove</t>
  </si>
  <si>
    <t>Sekretarijat za finansije i privredu</t>
  </si>
  <si>
    <t>Sekretarijat za zaštitu prirodne i kulturne baštine</t>
  </si>
  <si>
    <t>Sekretarijat za imovinsko pravne poslove</t>
  </si>
  <si>
    <t>Sekretarijat za kulturu i društvene djelatnosti</t>
  </si>
  <si>
    <t>Mediji</t>
  </si>
  <si>
    <t>JU Kulturni centar "Nikola Đurković"</t>
  </si>
  <si>
    <t>OJU "Muzeji"</t>
  </si>
  <si>
    <t>Stručna služba skupštine opštine</t>
  </si>
  <si>
    <t>Vatrogasnica Perast</t>
  </si>
  <si>
    <t>Informacioni centar</t>
  </si>
  <si>
    <t>Građanski biro</t>
  </si>
  <si>
    <t>Predsjednik i služba predsjednika</t>
  </si>
  <si>
    <t>Sekretarijat za uređenje, imovinu i zaštitu</t>
  </si>
  <si>
    <t>Sekretarijat za inspekcijske posleove</t>
  </si>
  <si>
    <t>Direkcija za uređenje prostora i investicije</t>
  </si>
  <si>
    <t>Predsjednik</t>
  </si>
  <si>
    <t>Sekretarijat za uređenje prostora, stambeno-komunalne djelatnosti, građ. i zaštitu životne sredine</t>
  </si>
  <si>
    <t>Sekretarijat za uređenje prostora i održivi razvoj</t>
  </si>
  <si>
    <t>Sekretarijat za opšte upravne poslove i društvene djelatnosti</t>
  </si>
  <si>
    <t>Služba zajedničkih poslova</t>
  </si>
  <si>
    <t>Direkcija za izgradnju i investicije</t>
  </si>
  <si>
    <t>Direkcija za imovinu i zaštitu prava opštine</t>
  </si>
  <si>
    <t>982.334,61</t>
  </si>
  <si>
    <t>1.336.386,68</t>
  </si>
  <si>
    <t>1.183.470,61</t>
  </si>
  <si>
    <t>Sekretarijat za društvene djelatnosti, propise i kadrove</t>
  </si>
  <si>
    <t>Uprava javnih prihoda</t>
  </si>
  <si>
    <t>CIS</t>
  </si>
  <si>
    <t>Služba zaštite i komunalna policija</t>
  </si>
  <si>
    <t>Centar za kulturu</t>
  </si>
  <si>
    <t>Sport</t>
  </si>
  <si>
    <t>Neprofitne, humanitarne i NVO</t>
  </si>
  <si>
    <t>Budžetski rashodi</t>
  </si>
  <si>
    <t>Služba za poljoprivredu, puteve i vode</t>
  </si>
  <si>
    <t>JP Mediteranski sportski centar</t>
  </si>
  <si>
    <t>Skupština Opštine</t>
  </si>
  <si>
    <t>JP Sportsko rekreativni centar "Budva"</t>
  </si>
  <si>
    <t>Predsjednik Opštine</t>
  </si>
  <si>
    <t>JP Grad teatar</t>
  </si>
  <si>
    <t>JU Crvena komuna</t>
  </si>
  <si>
    <t>Služba za izgradnju i razvoj</t>
  </si>
  <si>
    <t>JU Muzeji, galerija i biblioteka</t>
  </si>
  <si>
    <t>JU Spomen dom Reževići</t>
  </si>
  <si>
    <t>Sekretarijat za društvene djelatnosti</t>
  </si>
  <si>
    <t>Sekretarijat za privredu</t>
  </si>
  <si>
    <t>JP JRDS Radio Budva</t>
  </si>
  <si>
    <t>Sekretarijat za stambeno-komunalne poslove, saobraćaj i vode</t>
  </si>
  <si>
    <t>JP JRDS TV BUDVA</t>
  </si>
  <si>
    <t>Sekretarijat za investicije</t>
  </si>
  <si>
    <t>Sekretarijat za inpekcijske poslove</t>
  </si>
  <si>
    <t>Sekretarijat za komunalno-stambene poslove</t>
  </si>
  <si>
    <t>Služba za naplatu naknade za komunalno opremanje građevinskog zemljišta</t>
  </si>
  <si>
    <t>Sekretarijat za planiranje i uređenje prostora</t>
  </si>
  <si>
    <t>Agencija za planiranje prostora</t>
  </si>
  <si>
    <t>JU Dnevni centar</t>
  </si>
  <si>
    <t>Institucije iz oblasti kulture</t>
  </si>
  <si>
    <t>Služba obezbjeđenja i sigurnosti</t>
  </si>
  <si>
    <t>Centar za sport i rekreaciju</t>
  </si>
  <si>
    <t>Služba Predsjednika</t>
  </si>
  <si>
    <t>Služba Menadžera</t>
  </si>
  <si>
    <t>JU Polimski muzej</t>
  </si>
  <si>
    <t>Sekretarijat za finansije, razvoj i saobraćaj</t>
  </si>
  <si>
    <t>99.147,75</t>
  </si>
  <si>
    <t>314.440,16</t>
  </si>
  <si>
    <t>88.272,68</t>
  </si>
  <si>
    <t>Sekretarijat za planiranje i uređenje prostora, zaštitu životne sredine i komunalno stambene poslove</t>
  </si>
  <si>
    <t>Kapitalne investicije</t>
  </si>
  <si>
    <t>Služba skupštine Opštine</t>
  </si>
  <si>
    <t>Sekretar za upravu, propise, kadrove i društvene djelatnosti</t>
  </si>
  <si>
    <t>Sekretarijat za poljoprivredu i vodoprivredu</t>
  </si>
  <si>
    <t>Sekretarijat za finansije i budžet</t>
  </si>
  <si>
    <t>Sekretarijat za urbanizam i uređenje prostora</t>
  </si>
  <si>
    <t>Sekretarijat za komunalne djelatnosti i zaštitu životne sredine</t>
  </si>
  <si>
    <t>Agencija za izgradnju i razvoj Berana</t>
  </si>
  <si>
    <t>Sekretarijat za privredu i ekonomski razvoj</t>
  </si>
  <si>
    <t>Sekretarijat za stambene djelatnosti</t>
  </si>
  <si>
    <t>Kapitalni izdaci</t>
  </si>
  <si>
    <t>Služba Glanog administratora</t>
  </si>
  <si>
    <t>Služba komunalne policije</t>
  </si>
  <si>
    <t>Komunalna policija</t>
  </si>
  <si>
    <t>Služba zaštite</t>
  </si>
  <si>
    <t>Sekretarijat za preduzetništvo i ekonomski razvoj</t>
  </si>
  <si>
    <t>Sekretarijat za stambeno komunalne poslove i saobraćaj</t>
  </si>
  <si>
    <t>Kancelarija za mlade</t>
  </si>
  <si>
    <t>86.857,00</t>
  </si>
  <si>
    <t>Služba skupštine opštine</t>
  </si>
  <si>
    <t>Sekretarijat za urbanizam i stambeno komunalno poslove</t>
  </si>
  <si>
    <t>Sekretarijat za privredu i društvene djelatnosti</t>
  </si>
  <si>
    <t>Sekretarijat za uređenje prostora, komunalno stambene poslove i zaštitu životne sredine</t>
  </si>
  <si>
    <t>Direkcija za investicije</t>
  </si>
  <si>
    <t>Uprava lokalnih prihoda</t>
  </si>
  <si>
    <t>Opštinski organ za vođenje prekršajnog postupka</t>
  </si>
  <si>
    <t>Agencija za investicije</t>
  </si>
  <si>
    <t>Služba kabineta predsjednika i glavnog administratora</t>
  </si>
  <si>
    <t>Sekretarijat za komunalno-stambene poslove i zaštitu životne sredine</t>
  </si>
  <si>
    <t>Sekretarijat za urbanizam i građevinarstvo</t>
  </si>
  <si>
    <t>Sekretarijat za ekonomski razvoj</t>
  </si>
  <si>
    <t>Sekretarijat za upravu</t>
  </si>
  <si>
    <t>Sekretarijat za društvene djelatnosti i opštu upravu</t>
  </si>
  <si>
    <t>Sekretarijat za društvene djelatnosti</t>
  </si>
  <si>
    <t>1.271.555,05</t>
  </si>
  <si>
    <t>Agencija za upravljanje gradskom lukom</t>
  </si>
  <si>
    <t>Agencija za izgradnju i razvoj Herceg Novog</t>
  </si>
  <si>
    <t>JU "Galerija i zavičajni muzej"</t>
  </si>
  <si>
    <t>JU "Gradska biblioteka"</t>
  </si>
  <si>
    <t>JUK "Herceg-fest"</t>
  </si>
  <si>
    <t>Javni servis Radio Herceg Novi</t>
  </si>
  <si>
    <t>JP "Sportski centar"</t>
  </si>
  <si>
    <t>Agencija za zaštitu i razvoj Orjena</t>
  </si>
  <si>
    <t>UKUPNI PRIMICI</t>
  </si>
  <si>
    <t>SMANJENJE SREDSTAVA NA KONSOLIDOVANOM RAČUNU TREZORA</t>
  </si>
  <si>
    <t>UKUPNO</t>
  </si>
  <si>
    <t>Sekretarijat za ekonomiju i finansije</t>
  </si>
  <si>
    <t>Kabinet Prijestonice</t>
  </si>
  <si>
    <t>Sekretarijat za uređenje prostora, komunalno-stambene poslove i zaštitu životne sredine</t>
  </si>
  <si>
    <t>Agencija za investicije i imovinu - izdaci iz tekućeg budžeta</t>
  </si>
  <si>
    <t>Služba Gradonačelnika</t>
  </si>
  <si>
    <t>Agencija za investicije i imovinu - izdaci iz kapitalnog budžeta</t>
  </si>
  <si>
    <t>UKUPNO AGENCIJA</t>
  </si>
  <si>
    <t>Menadžer Prijestonice</t>
  </si>
  <si>
    <t>Skupština Prijestonice</t>
  </si>
  <si>
    <t>Sekretarijat za privredu, razvoj i finansije</t>
  </si>
  <si>
    <t>Sekretarijat za finansije i razvoj preduzetništva</t>
  </si>
  <si>
    <t>Sekretarijat za komunalne djelatnosti</t>
  </si>
  <si>
    <t>Sekretarijat za socijalnu politiku i mlade</t>
  </si>
  <si>
    <t>Direkcija za investicije i razvoj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</si>
</sst>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70C0"/>
      <name val="Arial"/>
    </font>
    <font>
      <i/>
      <sz val="10"/>
      <color rgb="FF000000"/>
      <name val="Arial"/>
    </font>
    <font>
      <b/>
      <sz val="10"/>
      <color rgb="FF002060"/>
      <name val="Arial"/>
    </font>
    <font>
      <b/>
      <sz val="10"/>
      <color rgb="FF17375E"/>
      <name val="Arial"/>
    </font>
    <font>
      <b/>
      <sz val="10"/>
      <color rgb="FF558ED5"/>
      <name val="Arial"/>
    </font>
    <font>
      <b/>
      <sz val="10"/>
      <color rgb="FF000000"/>
      <name val="Verdana"/>
    </font>
    <font>
      <sz val="11"/>
      <color rgb="FF000000"/>
      <name val="Arial"/>
    </font>
    <font>
      <b/>
      <sz val="10"/>
      <color rgb="FF1F497D"/>
      <name val="Verdana"/>
    </font>
    <font>
      <sz val="10"/>
      <color rgb="FF1F497D"/>
      <name val="Arial"/>
    </font>
    <font>
      <sz val="10"/>
      <color rgb="FF000000"/>
      <name val="Verdana"/>
    </font>
    <font>
      <b/>
      <sz val="10"/>
      <color rgb="FF4F81BD"/>
      <name val="Verdana"/>
    </font>
    <font>
      <b/>
      <sz val="10"/>
      <color rgb="FF4F81BD"/>
      <name val="Arial"/>
    </font>
    <font>
      <b/>
      <sz val="10"/>
      <color rgb="FF0070C0"/>
      <name val="Verdana"/>
    </font>
    <font>
      <sz val="10"/>
      <color rgb="FFFF0000"/>
      <name val="Arial"/>
    </font>
    <font>
      <b/>
      <sz val="10"/>
      <color rgb="FF376092"/>
      <name val="Arial"/>
    </font>
    <font>
      <sz val="11"/>
      <color rgb="FF1F497D"/>
      <name val="Arial"/>
    </font>
    <font>
      <sz val="9"/>
      <color rgb="FF000000"/>
      <name val="Arial"/>
    </font>
    <font>
      <b/>
      <sz val="11"/>
      <color rgb="FF000000"/>
      <name val="Arial"/>
    </font>
    <font>
      <sz val="10"/>
      <color rgb="FF604A7B"/>
      <name val="Arial"/>
    </font>
  </fonts>
  <fills count="11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3B3B3"/>
        <bgColor rgb="FFB3B3B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8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" fontId="2" fillId="0" borderId="0" xfId="0" applyNumberFormat="1" applyFont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3" fillId="4" borderId="3" xfId="0" applyFont="1" applyFill="1" applyBorder="1" applyAlignment="1">
      <alignment horizontal="center" vertical="top" wrapText="1"/>
    </xf>
    <xf numFmtId="4" fontId="3" fillId="2" borderId="3" xfId="0" applyNumberFormat="1" applyFont="1" applyFill="1" applyBorder="1" applyAlignment="1">
      <alignment horizontal="center" vertical="center" wrapText="1"/>
    </xf>
    <xf numFmtId="4" fontId="4" fillId="4" borderId="5" xfId="0" applyNumberFormat="1" applyFont="1" applyFill="1" applyBorder="1" applyAlignment="1">
      <alignment horizontal="right" vertical="top"/>
    </xf>
    <xf numFmtId="0" fontId="4" fillId="4" borderId="6" xfId="0" applyFont="1" applyFill="1" applyBorder="1" applyAlignment="1">
      <alignment vertical="top"/>
    </xf>
    <xf numFmtId="0" fontId="4" fillId="4" borderId="7" xfId="0" applyFont="1" applyFill="1" applyBorder="1" applyAlignment="1">
      <alignment vertical="top"/>
    </xf>
    <xf numFmtId="1" fontId="3" fillId="4" borderId="3" xfId="0" applyNumberFormat="1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vertical="top"/>
    </xf>
    <xf numFmtId="4" fontId="3" fillId="5" borderId="3" xfId="0" applyNumberFormat="1" applyFont="1" applyFill="1" applyBorder="1" applyAlignment="1">
      <alignment horizontal="right" vertical="top"/>
    </xf>
    <xf numFmtId="0" fontId="3" fillId="0" borderId="3" xfId="0" applyFont="1" applyBorder="1" applyAlignment="1">
      <alignment horizontal="center" vertical="center" wrapText="1"/>
    </xf>
    <xf numFmtId="4" fontId="3" fillId="5" borderId="3" xfId="0" applyNumberFormat="1" applyFont="1" applyFill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3" fillId="5" borderId="3" xfId="0" applyFont="1" applyFill="1" applyBorder="1" applyAlignment="1">
      <alignment vertical="top"/>
    </xf>
    <xf numFmtId="0" fontId="3" fillId="6" borderId="3" xfId="0" applyFont="1" applyFill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4" fontId="4" fillId="7" borderId="3" xfId="0" applyNumberFormat="1" applyFont="1" applyFill="1" applyBorder="1" applyAlignment="1">
      <alignment horizontal="right" vertical="top"/>
    </xf>
    <xf numFmtId="4" fontId="5" fillId="5" borderId="3" xfId="0" applyNumberFormat="1" applyFont="1" applyFill="1" applyBorder="1" applyAlignment="1">
      <alignment horizontal="right" vertical="top"/>
    </xf>
    <xf numFmtId="1" fontId="3" fillId="0" borderId="3" xfId="0" applyNumberFormat="1" applyFont="1" applyBorder="1" applyAlignment="1">
      <alignment horizontal="center" vertical="center" wrapText="1"/>
    </xf>
    <xf numFmtId="4" fontId="4" fillId="0" borderId="5" xfId="0" applyNumberFormat="1" applyFont="1" applyBorder="1" applyAlignment="1">
      <alignment horizontal="right" vertical="top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4" fontId="5" fillId="8" borderId="3" xfId="0" applyNumberFormat="1" applyFont="1" applyFill="1" applyBorder="1" applyAlignment="1">
      <alignment horizontal="right" vertical="top"/>
    </xf>
    <xf numFmtId="4" fontId="5" fillId="5" borderId="3" xfId="0" applyNumberFormat="1" applyFont="1" applyFill="1" applyBorder="1" applyAlignment="1">
      <alignment vertical="top"/>
    </xf>
    <xf numFmtId="4" fontId="2" fillId="0" borderId="0" xfId="0" applyNumberFormat="1" applyFont="1" applyAlignment="1">
      <alignment horizontal="center" vertical="center" wrapText="1"/>
    </xf>
    <xf numFmtId="4" fontId="2" fillId="9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Alignment="1">
      <alignment horizontal="left" wrapText="1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5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4" fontId="4" fillId="5" borderId="3" xfId="0" applyNumberFormat="1" applyFont="1" applyFill="1" applyBorder="1" applyAlignment="1">
      <alignment horizontal="right" vertical="top"/>
    </xf>
    <xf numFmtId="4" fontId="4" fillId="5" borderId="3" xfId="0" applyNumberFormat="1" applyFont="1" applyFill="1" applyBorder="1" applyAlignment="1">
      <alignment vertical="top"/>
    </xf>
    <xf numFmtId="4" fontId="4" fillId="5" borderId="3" xfId="0" applyNumberFormat="1" applyFont="1" applyFill="1" applyBorder="1" applyAlignment="1">
      <alignment horizontal="right"/>
    </xf>
    <xf numFmtId="4" fontId="6" fillId="5" borderId="3" xfId="0" applyNumberFormat="1" applyFont="1" applyFill="1" applyBorder="1" applyAlignment="1">
      <alignment vertical="top"/>
    </xf>
    <xf numFmtId="0" fontId="4" fillId="5" borderId="3" xfId="0" applyFont="1" applyFill="1" applyBorder="1" applyAlignment="1">
      <alignment horizontal="left" vertical="top"/>
    </xf>
    <xf numFmtId="4" fontId="4" fillId="5" borderId="3" xfId="0" applyNumberFormat="1" applyFont="1" applyFill="1" applyBorder="1" applyAlignment="1"/>
    <xf numFmtId="0" fontId="4" fillId="0" borderId="2" xfId="0" applyFont="1" applyBorder="1" applyAlignment="1">
      <alignment horizontal="center" vertical="top"/>
    </xf>
    <xf numFmtId="0" fontId="4" fillId="5" borderId="3" xfId="0" applyFont="1" applyFill="1" applyBorder="1" applyAlignment="1">
      <alignment horizontal="left" vertical="center" wrapText="1"/>
    </xf>
    <xf numFmtId="4" fontId="4" fillId="5" borderId="3" xfId="0" applyNumberFormat="1" applyFont="1" applyFill="1" applyBorder="1" applyAlignment="1"/>
    <xf numFmtId="0" fontId="3" fillId="5" borderId="3" xfId="0" applyFont="1" applyFill="1" applyBorder="1" applyAlignment="1">
      <alignment vertical="center" wrapText="1"/>
    </xf>
    <xf numFmtId="4" fontId="4" fillId="5" borderId="3" xfId="0" applyNumberFormat="1" applyFont="1" applyFill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4" fontId="4" fillId="4" borderId="6" xfId="0" applyNumberFormat="1" applyFont="1" applyFill="1" applyBorder="1" applyAlignment="1">
      <alignment horizontal="right" vertical="top"/>
    </xf>
    <xf numFmtId="0" fontId="3" fillId="5" borderId="3" xfId="0" applyFont="1" applyFill="1" applyBorder="1" applyAlignment="1">
      <alignment horizontal="right"/>
    </xf>
    <xf numFmtId="4" fontId="5" fillId="5" borderId="3" xfId="0" applyNumberFormat="1" applyFont="1" applyFill="1" applyBorder="1" applyAlignment="1">
      <alignment horizontal="right"/>
    </xf>
    <xf numFmtId="4" fontId="4" fillId="8" borderId="3" xfId="0" applyNumberFormat="1" applyFont="1" applyFill="1" applyBorder="1" applyAlignment="1">
      <alignment horizontal="right" vertical="top"/>
    </xf>
    <xf numFmtId="4" fontId="3" fillId="5" borderId="3" xfId="0" applyNumberFormat="1" applyFont="1" applyFill="1" applyBorder="1" applyAlignment="1">
      <alignment horizontal="right" vertical="top"/>
    </xf>
    <xf numFmtId="4" fontId="3" fillId="5" borderId="3" xfId="0" applyNumberFormat="1" applyFont="1" applyFill="1" applyBorder="1" applyAlignment="1">
      <alignment vertical="top"/>
    </xf>
    <xf numFmtId="0" fontId="3" fillId="5" borderId="3" xfId="0" applyFont="1" applyFill="1" applyBorder="1" applyAlignment="1">
      <alignment horizontal="left" vertical="top"/>
    </xf>
    <xf numFmtId="4" fontId="1" fillId="0" borderId="0" xfId="0" applyNumberFormat="1" applyFont="1" applyAlignment="1">
      <alignment horizontal="right" wrapText="1"/>
    </xf>
    <xf numFmtId="0" fontId="3" fillId="5" borderId="3" xfId="0" applyFont="1" applyFill="1" applyBorder="1" applyAlignment="1">
      <alignment horizontal="left" vertical="center" wrapText="1"/>
    </xf>
    <xf numFmtId="4" fontId="4" fillId="0" borderId="3" xfId="0" applyNumberFormat="1" applyFont="1" applyBorder="1" applyAlignment="1">
      <alignment vertical="top"/>
    </xf>
    <xf numFmtId="4" fontId="4" fillId="0" borderId="3" xfId="0" applyNumberFormat="1" applyFont="1" applyBorder="1" applyAlignment="1">
      <alignment horizontal="right" vertical="top"/>
    </xf>
    <xf numFmtId="4" fontId="4" fillId="0" borderId="0" xfId="0" applyNumberFormat="1" applyFont="1" applyAlignment="1">
      <alignment vertical="top"/>
    </xf>
    <xf numFmtId="4" fontId="4" fillId="5" borderId="3" xfId="0" applyNumberFormat="1" applyFont="1" applyFill="1" applyBorder="1" applyAlignment="1">
      <alignment wrapText="1"/>
    </xf>
    <xf numFmtId="4" fontId="4" fillId="5" borderId="3" xfId="0" applyNumberFormat="1" applyFont="1" applyFill="1" applyBorder="1" applyAlignment="1">
      <alignment horizontal="right" wrapText="1"/>
    </xf>
    <xf numFmtId="4" fontId="4" fillId="5" borderId="3" xfId="0" applyNumberFormat="1" applyFont="1" applyFill="1" applyBorder="1" applyAlignment="1">
      <alignment horizontal="right" vertical="top"/>
    </xf>
    <xf numFmtId="4" fontId="4" fillId="5" borderId="3" xfId="0" applyNumberFormat="1" applyFont="1" applyFill="1" applyBorder="1" applyAlignment="1">
      <alignment horizontal="right"/>
    </xf>
    <xf numFmtId="4" fontId="3" fillId="5" borderId="3" xfId="0" applyNumberFormat="1" applyFont="1" applyFill="1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3" fillId="5" borderId="3" xfId="0" applyNumberFormat="1" applyFont="1" applyFill="1" applyBorder="1" applyAlignment="1">
      <alignment horizontal="right"/>
    </xf>
    <xf numFmtId="4" fontId="7" fillId="5" borderId="3" xfId="0" applyNumberFormat="1" applyFont="1" applyFill="1" applyBorder="1" applyAlignment="1">
      <alignment horizontal="right" vertical="top"/>
    </xf>
    <xf numFmtId="4" fontId="7" fillId="5" borderId="3" xfId="0" applyNumberFormat="1" applyFont="1" applyFill="1" applyBorder="1" applyAlignment="1">
      <alignment vertical="top"/>
    </xf>
    <xf numFmtId="4" fontId="4" fillId="5" borderId="3" xfId="0" applyNumberFormat="1" applyFont="1" applyFill="1" applyBorder="1" applyAlignment="1">
      <alignment horizontal="left"/>
    </xf>
    <xf numFmtId="4" fontId="3" fillId="5" borderId="3" xfId="0" applyNumberFormat="1" applyFont="1" applyFill="1" applyBorder="1" applyAlignment="1"/>
    <xf numFmtId="0" fontId="4" fillId="0" borderId="3" xfId="0" applyFont="1" applyBorder="1" applyAlignment="1">
      <alignment vertical="top"/>
    </xf>
    <xf numFmtId="4" fontId="3" fillId="6" borderId="3" xfId="0" applyNumberFormat="1" applyFont="1" applyFill="1" applyBorder="1" applyAlignment="1">
      <alignment horizontal="center" vertical="center" wrapText="1"/>
    </xf>
    <xf numFmtId="4" fontId="4" fillId="7" borderId="5" xfId="0" applyNumberFormat="1" applyFont="1" applyFill="1" applyBorder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" fontId="1" fillId="0" borderId="0" xfId="0" applyNumberFormat="1" applyFont="1" applyAlignment="1">
      <alignment horizontal="right" wrapText="1"/>
    </xf>
    <xf numFmtId="0" fontId="3" fillId="0" borderId="3" xfId="0" applyFont="1" applyBorder="1" applyAlignment="1">
      <alignment vertical="center" wrapText="1"/>
    </xf>
    <xf numFmtId="4" fontId="3" fillId="0" borderId="3" xfId="0" applyNumberFormat="1" applyFont="1" applyBorder="1" applyAlignment="1">
      <alignment horizontal="right" vertical="top"/>
    </xf>
    <xf numFmtId="4" fontId="4" fillId="0" borderId="3" xfId="0" applyNumberFormat="1" applyFont="1" applyBorder="1" applyAlignment="1">
      <alignment vertical="top"/>
    </xf>
    <xf numFmtId="4" fontId="6" fillId="0" borderId="3" xfId="0" applyNumberFormat="1" applyFont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4" fontId="3" fillId="0" borderId="3" xfId="0" applyNumberFormat="1" applyFont="1" applyBorder="1" applyAlignment="1">
      <alignment vertical="top"/>
    </xf>
    <xf numFmtId="4" fontId="4" fillId="4" borderId="6" xfId="0" applyNumberFormat="1" applyFont="1" applyFill="1" applyBorder="1" applyAlignment="1">
      <alignment vertical="top"/>
    </xf>
    <xf numFmtId="4" fontId="4" fillId="7" borderId="7" xfId="0" applyNumberFormat="1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4" fontId="3" fillId="0" borderId="3" xfId="0" applyNumberFormat="1" applyFont="1" applyBorder="1" applyAlignment="1">
      <alignment horizontal="right" vertical="top"/>
    </xf>
    <xf numFmtId="4" fontId="3" fillId="8" borderId="3" xfId="0" applyNumberFormat="1" applyFont="1" applyFill="1" applyBorder="1" applyAlignment="1">
      <alignment horizontal="right" vertical="top"/>
    </xf>
    <xf numFmtId="0" fontId="1" fillId="0" borderId="9" xfId="0" applyFont="1" applyBorder="1" applyAlignment="1">
      <alignment wrapText="1"/>
    </xf>
    <xf numFmtId="4" fontId="3" fillId="8" borderId="3" xfId="0" applyNumberFormat="1" applyFont="1" applyFill="1" applyBorder="1" applyAlignment="1">
      <alignment vertical="top"/>
    </xf>
    <xf numFmtId="4" fontId="3" fillId="0" borderId="3" xfId="0" applyNumberFormat="1" applyFont="1" applyBorder="1" applyAlignment="1">
      <alignment vertical="top"/>
    </xf>
    <xf numFmtId="4" fontId="3" fillId="0" borderId="5" xfId="0" applyNumberFormat="1" applyFont="1" applyBorder="1" applyAlignment="1">
      <alignment vertical="top"/>
    </xf>
    <xf numFmtId="4" fontId="3" fillId="0" borderId="7" xfId="0" applyNumberFormat="1" applyFont="1" applyBorder="1" applyAlignment="1">
      <alignment vertical="top"/>
    </xf>
    <xf numFmtId="4" fontId="5" fillId="0" borderId="3" xfId="0" applyNumberFormat="1" applyFont="1" applyBorder="1" applyAlignment="1">
      <alignment vertical="top"/>
    </xf>
    <xf numFmtId="4" fontId="5" fillId="0" borderId="3" xfId="0" applyNumberFormat="1" applyFont="1" applyBorder="1" applyAlignment="1">
      <alignment horizontal="right" vertical="top"/>
    </xf>
    <xf numFmtId="4" fontId="4" fillId="0" borderId="3" xfId="0" applyNumberFormat="1" applyFont="1" applyBorder="1" applyAlignment="1">
      <alignment horizontal="right" vertical="top"/>
    </xf>
    <xf numFmtId="0" fontId="3" fillId="10" borderId="3" xfId="0" applyFont="1" applyFill="1" applyBorder="1" applyAlignment="1">
      <alignment horizontal="center" vertical="top"/>
    </xf>
    <xf numFmtId="4" fontId="4" fillId="10" borderId="3" xfId="0" applyNumberFormat="1" applyFont="1" applyFill="1" applyBorder="1" applyAlignment="1">
      <alignment horizontal="right" vertical="top"/>
    </xf>
    <xf numFmtId="4" fontId="4" fillId="10" borderId="3" xfId="0" applyNumberFormat="1" applyFont="1" applyFill="1" applyBorder="1" applyAlignment="1">
      <alignment vertical="top"/>
    </xf>
    <xf numFmtId="4" fontId="4" fillId="7" borderId="6" xfId="0" applyNumberFormat="1" applyFont="1" applyFill="1" applyBorder="1" applyAlignment="1">
      <alignment vertical="top"/>
    </xf>
    <xf numFmtId="4" fontId="7" fillId="5" borderId="3" xfId="0" applyNumberFormat="1" applyFont="1" applyFill="1" applyBorder="1" applyAlignment="1">
      <alignment vertical="top"/>
    </xf>
    <xf numFmtId="4" fontId="3" fillId="5" borderId="3" xfId="0" applyNumberFormat="1" applyFont="1" applyFill="1" applyBorder="1" applyAlignment="1">
      <alignment horizontal="right"/>
    </xf>
    <xf numFmtId="4" fontId="3" fillId="5" borderId="3" xfId="0" applyNumberFormat="1" applyFont="1" applyFill="1" applyBorder="1" applyAlignment="1"/>
    <xf numFmtId="4" fontId="3" fillId="0" borderId="3" xfId="0" applyNumberFormat="1" applyFont="1" applyBorder="1" applyAlignment="1">
      <alignment horizontal="right"/>
    </xf>
    <xf numFmtId="4" fontId="4" fillId="0" borderId="3" xfId="0" applyNumberFormat="1" applyFont="1" applyBorder="1" applyAlignment="1">
      <alignment horizontal="right"/>
    </xf>
    <xf numFmtId="4" fontId="4" fillId="0" borderId="4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4" fontId="4" fillId="0" borderId="3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right" wrapText="1"/>
    </xf>
    <xf numFmtId="4" fontId="4" fillId="5" borderId="3" xfId="0" applyNumberFormat="1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top"/>
    </xf>
    <xf numFmtId="4" fontId="3" fillId="8" borderId="3" xfId="0" applyNumberFormat="1" applyFont="1" applyFill="1" applyBorder="1" applyAlignment="1">
      <alignment horizontal="right" vertical="top"/>
    </xf>
    <xf numFmtId="4" fontId="8" fillId="5" borderId="3" xfId="0" applyNumberFormat="1" applyFont="1" applyFill="1" applyBorder="1" applyAlignment="1">
      <alignment horizontal="right" vertical="top"/>
    </xf>
    <xf numFmtId="4" fontId="8" fillId="5" borderId="3" xfId="0" applyNumberFormat="1" applyFont="1" applyFill="1" applyBorder="1" applyAlignment="1">
      <alignment vertical="top"/>
    </xf>
    <xf numFmtId="4" fontId="1" fillId="8" borderId="0" xfId="0" applyNumberFormat="1" applyFont="1" applyFill="1" applyAlignment="1">
      <alignment horizontal="right" wrapText="1"/>
    </xf>
    <xf numFmtId="4" fontId="1" fillId="0" borderId="0" xfId="0" applyNumberFormat="1" applyFont="1" applyAlignment="1">
      <alignment wrapText="1"/>
    </xf>
    <xf numFmtId="0" fontId="4" fillId="0" borderId="10" xfId="0" applyFont="1" applyBorder="1" applyAlignment="1">
      <alignment vertical="top"/>
    </xf>
    <xf numFmtId="4" fontId="9" fillId="5" borderId="3" xfId="0" applyNumberFormat="1" applyFont="1" applyFill="1" applyBorder="1" applyAlignment="1">
      <alignment horizontal="right" vertical="top"/>
    </xf>
    <xf numFmtId="4" fontId="9" fillId="5" borderId="3" xfId="0" applyNumberFormat="1" applyFont="1" applyFill="1" applyBorder="1" applyAlignment="1">
      <alignment vertical="top"/>
    </xf>
    <xf numFmtId="4" fontId="1" fillId="0" borderId="0" xfId="0" applyNumberFormat="1" applyFont="1" applyAlignment="1">
      <alignment wrapText="1"/>
    </xf>
    <xf numFmtId="4" fontId="4" fillId="0" borderId="4" xfId="0" applyNumberFormat="1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3" fillId="8" borderId="3" xfId="0" applyFont="1" applyFill="1" applyBorder="1" applyAlignment="1">
      <alignment horizontal="left" vertical="center"/>
    </xf>
    <xf numFmtId="4" fontId="3" fillId="5" borderId="3" xfId="0" applyNumberFormat="1" applyFont="1" applyFill="1" applyBorder="1" applyAlignment="1">
      <alignment wrapText="1"/>
    </xf>
    <xf numFmtId="0" fontId="4" fillId="0" borderId="0" xfId="0" applyFont="1" applyAlignment="1">
      <alignment vertical="top"/>
    </xf>
    <xf numFmtId="4" fontId="8" fillId="0" borderId="3" xfId="0" applyNumberFormat="1" applyFont="1" applyBorder="1" applyAlignment="1">
      <alignment vertical="top"/>
    </xf>
    <xf numFmtId="0" fontId="4" fillId="10" borderId="3" xfId="0" applyFont="1" applyFill="1" applyBorder="1" applyAlignment="1">
      <alignment vertical="top"/>
    </xf>
    <xf numFmtId="4" fontId="1" fillId="0" borderId="0" xfId="0" applyNumberFormat="1" applyFont="1" applyAlignment="1">
      <alignment horizontal="left" wrapText="1"/>
    </xf>
    <xf numFmtId="4" fontId="3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/>
    <xf numFmtId="4" fontId="3" fillId="0" borderId="3" xfId="0" applyNumberFormat="1" applyFont="1" applyBorder="1" applyAlignment="1"/>
    <xf numFmtId="4" fontId="4" fillId="0" borderId="3" xfId="0" applyNumberFormat="1" applyFont="1" applyBorder="1" applyAlignment="1"/>
    <xf numFmtId="0" fontId="1" fillId="0" borderId="12" xfId="0" applyFont="1" applyBorder="1" applyAlignment="1">
      <alignment wrapText="1"/>
    </xf>
    <xf numFmtId="4" fontId="4" fillId="0" borderId="12" xfId="0" applyNumberFormat="1" applyFont="1" applyBorder="1" applyAlignment="1">
      <alignment vertical="top"/>
    </xf>
    <xf numFmtId="4" fontId="4" fillId="0" borderId="0" xfId="0" applyNumberFormat="1" applyFont="1" applyAlignment="1">
      <alignment horizontal="center" vertical="center"/>
    </xf>
    <xf numFmtId="4" fontId="3" fillId="8" borderId="3" xfId="0" applyNumberFormat="1" applyFont="1" applyFill="1" applyBorder="1" applyAlignment="1">
      <alignment horizontal="right"/>
    </xf>
    <xf numFmtId="1" fontId="3" fillId="7" borderId="3" xfId="0" applyNumberFormat="1" applyFont="1" applyFill="1" applyBorder="1" applyAlignment="1">
      <alignment horizontal="center" vertical="top" wrapText="1"/>
    </xf>
    <xf numFmtId="4" fontId="4" fillId="8" borderId="3" xfId="0" applyNumberFormat="1" applyFont="1" applyFill="1" applyBorder="1" applyAlignment="1">
      <alignment horizontal="right"/>
    </xf>
    <xf numFmtId="4" fontId="5" fillId="0" borderId="3" xfId="0" applyNumberFormat="1" applyFont="1" applyBorder="1" applyAlignment="1">
      <alignment horizontal="right" vertical="top"/>
    </xf>
    <xf numFmtId="4" fontId="4" fillId="8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vertical="top"/>
    </xf>
    <xf numFmtId="4" fontId="4" fillId="8" borderId="3" xfId="0" applyNumberFormat="1" applyFont="1" applyFill="1" applyBorder="1" applyAlignment="1">
      <alignment vertical="top"/>
    </xf>
    <xf numFmtId="4" fontId="4" fillId="0" borderId="1" xfId="0" applyNumberFormat="1" applyFont="1" applyBorder="1" applyAlignment="1">
      <alignment vertical="top"/>
    </xf>
    <xf numFmtId="0" fontId="10" fillId="0" borderId="3" xfId="0" applyFont="1" applyBorder="1" applyAlignment="1">
      <alignment vertical="top"/>
    </xf>
    <xf numFmtId="4" fontId="4" fillId="0" borderId="3" xfId="0" applyNumberFormat="1" applyFont="1" applyBorder="1" applyAlignment="1"/>
    <xf numFmtId="0" fontId="11" fillId="0" borderId="3" xfId="0" applyFont="1" applyBorder="1" applyAlignment="1">
      <alignment horizontal="left" vertical="center" wrapText="1"/>
    </xf>
    <xf numFmtId="4" fontId="3" fillId="5" borderId="3" xfId="0" applyNumberFormat="1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right" wrapText="1"/>
    </xf>
    <xf numFmtId="0" fontId="3" fillId="0" borderId="0" xfId="0" applyFont="1" applyAlignment="1">
      <alignment horizontal="center" vertical="center" wrapText="1"/>
    </xf>
    <xf numFmtId="4" fontId="4" fillId="7" borderId="3" xfId="0" applyNumberFormat="1" applyFont="1" applyFill="1" applyBorder="1" applyAlignment="1">
      <alignment vertical="top"/>
    </xf>
    <xf numFmtId="4" fontId="11" fillId="0" borderId="3" xfId="0" applyNumberFormat="1" applyFont="1" applyBorder="1" applyAlignment="1">
      <alignment horizontal="right"/>
    </xf>
    <xf numFmtId="4" fontId="4" fillId="0" borderId="3" xfId="0" applyNumberFormat="1" applyFont="1" applyBorder="1" applyAlignment="1">
      <alignment horizontal="center" vertical="center"/>
    </xf>
    <xf numFmtId="4" fontId="3" fillId="8" borderId="3" xfId="0" applyNumberFormat="1" applyFont="1" applyFill="1" applyBorder="1" applyAlignment="1">
      <alignment vertical="top"/>
    </xf>
    <xf numFmtId="4" fontId="11" fillId="0" borderId="3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4" fontId="3" fillId="5" borderId="3" xfId="0" applyNumberFormat="1" applyFont="1" applyFill="1" applyBorder="1" applyAlignment="1">
      <alignment horizontal="right" vertical="center" wrapText="1"/>
    </xf>
    <xf numFmtId="4" fontId="3" fillId="5" borderId="3" xfId="0" applyNumberFormat="1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/>
    </xf>
    <xf numFmtId="4" fontId="4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1" fillId="0" borderId="3" xfId="0" applyFont="1" applyBorder="1" applyAlignment="1">
      <alignment vertical="top"/>
    </xf>
    <xf numFmtId="4" fontId="13" fillId="0" borderId="3" xfId="0" applyNumberFormat="1" applyFont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vertical="top"/>
    </xf>
    <xf numFmtId="0" fontId="11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4" fontId="14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top"/>
    </xf>
    <xf numFmtId="4" fontId="4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4" fontId="4" fillId="8" borderId="3" xfId="0" applyNumberFormat="1" applyFont="1" applyFill="1" applyBorder="1" applyAlignment="1"/>
    <xf numFmtId="4" fontId="5" fillId="5" borderId="3" xfId="0" applyNumberFormat="1" applyFont="1" applyFill="1" applyBorder="1" applyAlignment="1">
      <alignment horizontal="right" vertical="top"/>
    </xf>
    <xf numFmtId="4" fontId="5" fillId="5" borderId="3" xfId="0" applyNumberFormat="1" applyFont="1" applyFill="1" applyBorder="1" applyAlignment="1">
      <alignment vertical="top"/>
    </xf>
    <xf numFmtId="0" fontId="15" fillId="0" borderId="3" xfId="0" applyFont="1" applyBorder="1" applyAlignment="1">
      <alignment vertical="center"/>
    </xf>
    <xf numFmtId="4" fontId="5" fillId="8" borderId="3" xfId="0" applyNumberFormat="1" applyFont="1" applyFill="1" applyBorder="1" applyAlignment="1">
      <alignment horizontal="right" vertical="top"/>
    </xf>
    <xf numFmtId="4" fontId="16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4" fontId="4" fillId="0" borderId="0" xfId="0" applyNumberFormat="1" applyFont="1" applyAlignment="1">
      <alignment horizontal="left" vertical="center" wrapText="1"/>
    </xf>
    <xf numFmtId="4" fontId="3" fillId="0" borderId="3" xfId="0" applyNumberFormat="1" applyFont="1" applyBorder="1" applyAlignment="1">
      <alignment wrapText="1"/>
    </xf>
    <xf numFmtId="0" fontId="17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" fontId="5" fillId="0" borderId="3" xfId="0" applyNumberFormat="1" applyFont="1" applyBorder="1" applyAlignment="1">
      <alignment horizontal="center" vertical="center"/>
    </xf>
    <xf numFmtId="4" fontId="18" fillId="5" borderId="3" xfId="0" applyNumberFormat="1" applyFont="1" applyFill="1" applyBorder="1" applyAlignment="1">
      <alignment horizontal="right"/>
    </xf>
    <xf numFmtId="4" fontId="4" fillId="8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4" fontId="3" fillId="8" borderId="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4" fontId="16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4" fontId="11" fillId="0" borderId="3" xfId="0" applyNumberFormat="1" applyFont="1" applyBorder="1" applyAlignment="1">
      <alignment horizontal="center" vertical="center"/>
    </xf>
    <xf numFmtId="4" fontId="19" fillId="5" borderId="3" xfId="0" applyNumberFormat="1" applyFont="1" applyFill="1" applyBorder="1" applyAlignment="1">
      <alignment horizontal="right" vertical="top"/>
    </xf>
    <xf numFmtId="4" fontId="19" fillId="5" borderId="3" xfId="0" applyNumberFormat="1" applyFont="1" applyFill="1" applyBorder="1" applyAlignment="1">
      <alignment vertical="top"/>
    </xf>
    <xf numFmtId="0" fontId="4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4" fontId="4" fillId="0" borderId="0" xfId="0" applyNumberFormat="1" applyFont="1" applyAlignment="1">
      <alignment horizontal="right" vertical="top"/>
    </xf>
    <xf numFmtId="4" fontId="3" fillId="5" borderId="3" xfId="0" applyNumberFormat="1" applyFont="1" applyFill="1" applyBorder="1" applyAlignment="1">
      <alignment horizontal="right" wrapText="1"/>
    </xf>
    <xf numFmtId="0" fontId="11" fillId="0" borderId="3" xfId="0" applyFont="1" applyBorder="1" applyAlignment="1">
      <alignment horizontal="left"/>
    </xf>
    <xf numFmtId="4" fontId="14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4" fontId="14" fillId="0" borderId="3" xfId="0" applyNumberFormat="1" applyFont="1" applyBorder="1" applyAlignment="1">
      <alignment horizontal="right"/>
    </xf>
    <xf numFmtId="4" fontId="14" fillId="0" borderId="3" xfId="0" applyNumberFormat="1" applyFont="1" applyBorder="1" applyAlignment="1"/>
    <xf numFmtId="4" fontId="20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21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right"/>
    </xf>
    <xf numFmtId="0" fontId="11" fillId="8" borderId="3" xfId="0" applyFont="1" applyFill="1" applyBorder="1" applyAlignment="1">
      <alignment horizontal="left" vertical="center" wrapText="1"/>
    </xf>
    <xf numFmtId="4" fontId="5" fillId="5" borderId="3" xfId="0" applyNumberFormat="1" applyFont="1" applyFill="1" applyBorder="1" applyAlignment="1"/>
    <xf numFmtId="4" fontId="3" fillId="0" borderId="0" xfId="0" applyNumberFormat="1" applyFont="1" applyAlignment="1">
      <alignment horizontal="right" vertical="top"/>
    </xf>
    <xf numFmtId="4" fontId="4" fillId="8" borderId="3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4" fontId="4" fillId="0" borderId="3" xfId="0" applyNumberFormat="1" applyFont="1" applyBorder="1" applyAlignment="1">
      <alignment horizontal="left" vertical="center" wrapText="1"/>
    </xf>
    <xf numFmtId="4" fontId="4" fillId="0" borderId="3" xfId="0" applyNumberFormat="1" applyFont="1" applyBorder="1" applyAlignment="1">
      <alignment horizontal="center" vertical="center" wrapText="1"/>
    </xf>
    <xf numFmtId="4" fontId="8" fillId="0" borderId="3" xfId="0" applyNumberFormat="1" applyFont="1" applyBorder="1" applyAlignment="1">
      <alignment horizontal="right" vertical="top"/>
    </xf>
    <xf numFmtId="0" fontId="11" fillId="8" borderId="3" xfId="0" applyFont="1" applyFill="1" applyBorder="1" applyAlignment="1">
      <alignment horizontal="left" vertical="center"/>
    </xf>
    <xf numFmtId="0" fontId="17" fillId="0" borderId="3" xfId="0" applyFont="1" applyBorder="1" applyAlignment="1">
      <alignment vertical="top"/>
    </xf>
    <xf numFmtId="4" fontId="17" fillId="0" borderId="3" xfId="0" applyNumberFormat="1" applyFont="1" applyBorder="1" applyAlignment="1">
      <alignment horizontal="center" vertical="center"/>
    </xf>
    <xf numFmtId="4" fontId="22" fillId="8" borderId="3" xfId="0" applyNumberFormat="1" applyFont="1" applyFill="1" applyBorder="1" applyAlignment="1">
      <alignment horizontal="center" vertical="center"/>
    </xf>
    <xf numFmtId="4" fontId="18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22" fillId="8" borderId="3" xfId="0" applyFont="1" applyFill="1" applyBorder="1" applyAlignment="1">
      <alignment horizontal="left" vertical="center"/>
    </xf>
    <xf numFmtId="4" fontId="3" fillId="0" borderId="3" xfId="0" applyNumberFormat="1" applyFont="1" applyBorder="1" applyAlignment="1">
      <alignment horizontal="center" vertical="center"/>
    </xf>
    <xf numFmtId="4" fontId="22" fillId="0" borderId="3" xfId="0" applyNumberFormat="1" applyFont="1" applyBorder="1" applyAlignment="1">
      <alignment horizontal="center" vertical="center"/>
    </xf>
    <xf numFmtId="4" fontId="4" fillId="5" borderId="3" xfId="0" applyNumberFormat="1" applyFont="1" applyFill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4" fontId="4" fillId="0" borderId="3" xfId="0" applyNumberFormat="1" applyFont="1" applyBorder="1" applyAlignment="1">
      <alignment horizontal="right" wrapText="1"/>
    </xf>
    <xf numFmtId="4" fontId="12" fillId="0" borderId="3" xfId="0" applyNumberFormat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/>
    </xf>
    <xf numFmtId="4" fontId="11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4" fontId="11" fillId="8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right"/>
    </xf>
    <xf numFmtId="4" fontId="10" fillId="8" borderId="3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>
      <alignment wrapText="1"/>
    </xf>
    <xf numFmtId="4" fontId="4" fillId="0" borderId="3" xfId="0" applyNumberFormat="1" applyFont="1" applyBorder="1" applyAlignment="1">
      <alignment horizontal="center" vertical="center" wrapText="1"/>
    </xf>
    <xf numFmtId="4" fontId="4" fillId="5" borderId="3" xfId="0" applyNumberFormat="1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top"/>
    </xf>
    <xf numFmtId="0" fontId="16" fillId="0" borderId="3" xfId="0" applyFont="1" applyBorder="1" applyAlignment="1">
      <alignment vertical="top"/>
    </xf>
    <xf numFmtId="4" fontId="23" fillId="0" borderId="3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top"/>
    </xf>
    <xf numFmtId="0" fontId="15" fillId="0" borderId="3" xfId="0" applyFont="1" applyBorder="1" applyAlignment="1">
      <alignment vertical="top"/>
    </xf>
    <xf numFmtId="4" fontId="15" fillId="0" borderId="3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right"/>
    </xf>
    <xf numFmtId="4" fontId="3" fillId="0" borderId="3" xfId="0" applyNumberFormat="1" applyFont="1" applyBorder="1" applyAlignment="1">
      <alignment horizontal="left" vertical="center" wrapText="1"/>
    </xf>
    <xf numFmtId="4" fontId="19" fillId="8" borderId="3" xfId="0" applyNumberFormat="1" applyFont="1" applyFill="1" applyBorder="1" applyAlignment="1">
      <alignment horizontal="right"/>
    </xf>
    <xf numFmtId="4" fontId="3" fillId="0" borderId="0" xfId="0" applyNumberFormat="1" applyFont="1" applyAlignment="1">
      <alignment horizontal="center" vertical="center"/>
    </xf>
    <xf numFmtId="4" fontId="19" fillId="8" borderId="3" xfId="0" applyNumberFormat="1" applyFont="1" applyFill="1" applyBorder="1" applyAlignment="1">
      <alignment vertical="top"/>
    </xf>
    <xf numFmtId="4" fontId="19" fillId="8" borderId="3" xfId="0" applyNumberFormat="1" applyFont="1" applyFill="1" applyBorder="1" applyAlignment="1">
      <alignment vertical="top"/>
    </xf>
    <xf numFmtId="0" fontId="4" fillId="8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4" fontId="4" fillId="8" borderId="3" xfId="0" applyNumberFormat="1" applyFont="1" applyFill="1" applyBorder="1" applyAlignment="1">
      <alignment horizontal="center" vertical="center"/>
    </xf>
    <xf numFmtId="4" fontId="14" fillId="8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 wrapText="1"/>
    </xf>
    <xf numFmtId="4" fontId="2" fillId="0" borderId="0" xfId="0" applyNumberFormat="1" applyFont="1" applyFill="1" applyAlignment="1">
      <alignment horizontal="left" vertical="center" wrapText="1"/>
    </xf>
    <xf numFmtId="4" fontId="2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4" fontId="1" fillId="0" borderId="0" xfId="0" applyNumberFormat="1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</xdr:colOff>
      <xdr:row>61</xdr:row>
      <xdr:rowOff>76200</xdr:rowOff>
    </xdr:to>
    <xdr:sp macro="" textlink="">
      <xdr:nvSpPr>
        <xdr:cNvPr id="9220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60</xdr:row>
      <xdr:rowOff>292100</xdr:rowOff>
    </xdr:to>
    <xdr:sp macro="" textlink="">
      <xdr:nvSpPr>
        <xdr:cNvPr id="512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60</xdr:row>
      <xdr:rowOff>292100</xdr:rowOff>
    </xdr:to>
    <xdr:sp macro="" textlink="">
      <xdr:nvSpPr>
        <xdr:cNvPr id="19460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65</xdr:row>
      <xdr:rowOff>165100</xdr:rowOff>
    </xdr:to>
    <xdr:sp macro="" textlink="">
      <xdr:nvSpPr>
        <xdr:cNvPr id="614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65</xdr:row>
      <xdr:rowOff>50800</xdr:rowOff>
    </xdr:to>
    <xdr:sp macro="" textlink="">
      <xdr:nvSpPr>
        <xdr:cNvPr id="717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61</xdr:row>
      <xdr:rowOff>63500</xdr:rowOff>
    </xdr:to>
    <xdr:sp macro="" textlink="">
      <xdr:nvSpPr>
        <xdr:cNvPr id="17414" name="Rectangle 6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596900</xdr:colOff>
      <xdr:row>64</xdr:row>
      <xdr:rowOff>114300</xdr:rowOff>
    </xdr:to>
    <xdr:sp macro="" textlink="">
      <xdr:nvSpPr>
        <xdr:cNvPr id="1331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61</xdr:row>
      <xdr:rowOff>165100</xdr:rowOff>
    </xdr:to>
    <xdr:sp macro="" textlink="">
      <xdr:nvSpPr>
        <xdr:cNvPr id="4100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62</xdr:row>
      <xdr:rowOff>139700</xdr:rowOff>
    </xdr:to>
    <xdr:sp macro="" textlink="">
      <xdr:nvSpPr>
        <xdr:cNvPr id="1536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69</xdr:row>
      <xdr:rowOff>63500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61</xdr:row>
      <xdr:rowOff>203200</xdr:rowOff>
    </xdr:to>
    <xdr:sp macro="" textlink="">
      <xdr:nvSpPr>
        <xdr:cNvPr id="14340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62</xdr:row>
      <xdr:rowOff>152400</xdr:rowOff>
    </xdr:to>
    <xdr:sp macro="" textlink="">
      <xdr:nvSpPr>
        <xdr:cNvPr id="2048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61</xdr:row>
      <xdr:rowOff>63500</xdr:rowOff>
    </xdr:to>
    <xdr:sp macro="" textlink="">
      <xdr:nvSpPr>
        <xdr:cNvPr id="1126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60</xdr:row>
      <xdr:rowOff>114300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101600</xdr:colOff>
      <xdr:row>65</xdr:row>
      <xdr:rowOff>0</xdr:rowOff>
    </xdr:to>
    <xdr:sp macro="" textlink="">
      <xdr:nvSpPr>
        <xdr:cNvPr id="1638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</xdr:colOff>
      <xdr:row>60</xdr:row>
      <xdr:rowOff>292100</xdr:rowOff>
    </xdr:to>
    <xdr:sp macro="" textlink="">
      <xdr:nvSpPr>
        <xdr:cNvPr id="1229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65</xdr:row>
      <xdr:rowOff>165100</xdr:rowOff>
    </xdr:to>
    <xdr:sp macro="" textlink="">
      <xdr:nvSpPr>
        <xdr:cNvPr id="1024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60</xdr:row>
      <xdr:rowOff>292100</xdr:rowOff>
    </xdr:to>
    <xdr:sp macro="" textlink="">
      <xdr:nvSpPr>
        <xdr:cNvPr id="2150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60</xdr:row>
      <xdr:rowOff>292100</xdr:rowOff>
    </xdr:to>
    <xdr:sp macro="" textlink="">
      <xdr:nvSpPr>
        <xdr:cNvPr id="8196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774700</xdr:colOff>
      <xdr:row>61</xdr:row>
      <xdr:rowOff>63500</xdr:rowOff>
    </xdr:to>
    <xdr:sp macro="" textlink="">
      <xdr:nvSpPr>
        <xdr:cNvPr id="18436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977900</xdr:colOff>
      <xdr:row>61</xdr:row>
      <xdr:rowOff>76200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20.vml"/><Relationship Id="rId3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vmlDrawing" Target="../drawings/vmlDrawing21.vml"/><Relationship Id="rId3" Type="http://schemas.openxmlformats.org/officeDocument/2006/relationships/comments" Target="../comments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ColWidth="14.5" defaultRowHeight="12.75" customHeight="1" x14ac:dyDescent="0.15"/>
  <cols>
    <col min="1" max="35" width="17.33203125" style="275" customWidth="1"/>
    <col min="36" max="16384" width="14.5" style="275"/>
  </cols>
  <sheetData>
    <row r="1" spans="1:35" ht="12.75" customHeight="1" x14ac:dyDescent="0.15">
      <c r="A1" s="273"/>
      <c r="B1" s="274" t="s">
        <v>0</v>
      </c>
      <c r="C1" s="274" t="s">
        <v>2</v>
      </c>
      <c r="D1" s="274" t="s">
        <v>3</v>
      </c>
      <c r="E1" s="274" t="s">
        <v>5</v>
      </c>
      <c r="F1" s="274" t="s">
        <v>6</v>
      </c>
      <c r="G1" s="274" t="s">
        <v>7</v>
      </c>
      <c r="H1" s="274" t="s">
        <v>8</v>
      </c>
      <c r="I1" s="274" t="s">
        <v>9</v>
      </c>
      <c r="J1" s="274" t="s">
        <v>10</v>
      </c>
      <c r="K1" s="274" t="s">
        <v>11</v>
      </c>
      <c r="L1" s="274" t="s">
        <v>12</v>
      </c>
      <c r="M1" s="274" t="s">
        <v>13</v>
      </c>
      <c r="N1" s="274" t="s">
        <v>14</v>
      </c>
      <c r="O1" s="274" t="s">
        <v>32</v>
      </c>
      <c r="P1" s="274" t="s">
        <v>16</v>
      </c>
      <c r="Q1" s="274" t="s">
        <v>17</v>
      </c>
      <c r="R1" s="274" t="s">
        <v>18</v>
      </c>
      <c r="S1" s="274"/>
      <c r="T1" s="274" t="s">
        <v>39</v>
      </c>
      <c r="U1" s="274" t="s">
        <v>40</v>
      </c>
      <c r="V1" s="274" t="s">
        <v>41</v>
      </c>
      <c r="W1" s="274" t="s">
        <v>42</v>
      </c>
      <c r="X1" s="274" t="s">
        <v>43</v>
      </c>
      <c r="Y1" s="274" t="s">
        <v>44</v>
      </c>
      <c r="Z1" s="274" t="s">
        <v>45</v>
      </c>
      <c r="AA1" s="274" t="s">
        <v>46</v>
      </c>
      <c r="AB1" s="274" t="s">
        <v>15</v>
      </c>
      <c r="AC1" s="274" t="s">
        <v>47</v>
      </c>
      <c r="AD1" s="274"/>
      <c r="AE1" s="274" t="s">
        <v>48</v>
      </c>
      <c r="AF1" s="274" t="s">
        <v>49</v>
      </c>
      <c r="AG1" s="274" t="s">
        <v>50</v>
      </c>
      <c r="AH1" s="274" t="s">
        <v>51</v>
      </c>
      <c r="AI1" s="274" t="s">
        <v>52</v>
      </c>
    </row>
    <row r="2" spans="1:35" ht="12.75" customHeight="1" x14ac:dyDescent="0.15">
      <c r="A2" s="276" t="s">
        <v>53</v>
      </c>
      <c r="B2" s="277">
        <f>Andrijevica!E5</f>
        <v>441438.80000000005</v>
      </c>
      <c r="C2" s="277">
        <v>326973.78000000003</v>
      </c>
      <c r="D2" s="277">
        <v>66123.95</v>
      </c>
      <c r="E2" s="277">
        <v>2737.67</v>
      </c>
      <c r="F2" s="277">
        <v>0</v>
      </c>
      <c r="G2" s="277">
        <v>0</v>
      </c>
      <c r="H2" s="277">
        <v>1127</v>
      </c>
      <c r="I2" s="277">
        <v>440</v>
      </c>
      <c r="J2" s="277">
        <v>295670.27</v>
      </c>
      <c r="K2" s="277">
        <v>197900</v>
      </c>
      <c r="L2" s="277">
        <v>22800.27</v>
      </c>
      <c r="M2" s="277">
        <v>2970</v>
      </c>
      <c r="N2" s="277">
        <v>164331.72</v>
      </c>
      <c r="O2" s="277">
        <v>20000</v>
      </c>
      <c r="P2" s="277">
        <v>119927.16</v>
      </c>
      <c r="Q2" s="277">
        <v>46819.51</v>
      </c>
      <c r="R2" s="277">
        <v>1088627.46</v>
      </c>
      <c r="S2" s="277"/>
      <c r="T2" s="277">
        <v>263434.81</v>
      </c>
      <c r="U2" s="277">
        <v>103590.68</v>
      </c>
      <c r="V2" s="277">
        <v>22779.81</v>
      </c>
      <c r="W2" s="277">
        <v>108564.58</v>
      </c>
      <c r="X2" s="277">
        <v>0</v>
      </c>
      <c r="Y2" s="277">
        <v>1677977.59</v>
      </c>
      <c r="Z2" s="277">
        <v>151852.06</v>
      </c>
      <c r="AA2" s="277">
        <v>1007810</v>
      </c>
      <c r="AB2" s="277">
        <v>0</v>
      </c>
      <c r="AC2" s="277">
        <v>1980103.23</v>
      </c>
      <c r="AD2" s="277"/>
      <c r="AE2" s="277"/>
      <c r="AF2" s="277"/>
      <c r="AG2" s="277"/>
      <c r="AH2" s="277"/>
      <c r="AI2" s="277"/>
    </row>
    <row r="3" spans="1:35" ht="12.75" customHeight="1" x14ac:dyDescent="0.15">
      <c r="A3" s="276" t="s">
        <v>65</v>
      </c>
      <c r="B3" s="277">
        <f>Bar!E5</f>
        <v>3287702.5100000002</v>
      </c>
      <c r="C3" s="277">
        <v>1933414.32</v>
      </c>
      <c r="D3" s="277">
        <v>810720.67</v>
      </c>
      <c r="E3" s="277">
        <v>70237.25</v>
      </c>
      <c r="F3" s="277">
        <v>154881.88</v>
      </c>
      <c r="G3" s="277">
        <v>5855.93</v>
      </c>
      <c r="H3" s="277">
        <v>74568.740000000005</v>
      </c>
      <c r="I3" s="277">
        <v>38313.5</v>
      </c>
      <c r="J3" s="277">
        <v>2929988.24</v>
      </c>
      <c r="K3" s="277">
        <v>815158.24</v>
      </c>
      <c r="L3" s="277">
        <v>119034</v>
      </c>
      <c r="M3" s="277">
        <v>125820</v>
      </c>
      <c r="N3" s="277">
        <v>5595432.6900000004</v>
      </c>
      <c r="O3" s="277">
        <v>0</v>
      </c>
      <c r="P3" s="277">
        <v>1770310.59</v>
      </c>
      <c r="Q3" s="277">
        <v>104783.21</v>
      </c>
      <c r="R3" s="277">
        <v>13726530.74</v>
      </c>
      <c r="S3" s="277"/>
      <c r="T3" s="277">
        <v>11457250.85</v>
      </c>
      <c r="U3" s="277">
        <v>6788410.0599999996</v>
      </c>
      <c r="V3" s="277">
        <v>334788.93</v>
      </c>
      <c r="W3" s="277">
        <v>170197.01</v>
      </c>
      <c r="X3" s="277">
        <v>1356358.51</v>
      </c>
      <c r="Y3" s="277">
        <v>0</v>
      </c>
      <c r="Z3" s="277">
        <v>0</v>
      </c>
      <c r="AA3" s="277">
        <v>0</v>
      </c>
      <c r="AB3" s="277">
        <v>840000</v>
      </c>
      <c r="AC3" s="277">
        <v>13756898.359999999</v>
      </c>
      <c r="AD3" s="277"/>
      <c r="AE3" s="277"/>
      <c r="AF3" s="277"/>
      <c r="AG3" s="277"/>
      <c r="AH3" s="277"/>
      <c r="AI3" s="277"/>
    </row>
    <row r="4" spans="1:35" ht="12.75" customHeight="1" x14ac:dyDescent="0.15">
      <c r="A4" s="276" t="s">
        <v>70</v>
      </c>
      <c r="B4" s="277">
        <f>Berane!E5</f>
        <v>2174445.59</v>
      </c>
      <c r="C4" s="277">
        <v>1469240.28</v>
      </c>
      <c r="D4" s="277">
        <v>542218.34</v>
      </c>
      <c r="E4" s="277">
        <v>30566.11</v>
      </c>
      <c r="F4" s="277">
        <v>14776.82</v>
      </c>
      <c r="G4" s="277">
        <v>10355</v>
      </c>
      <c r="H4" s="277">
        <v>15518.99</v>
      </c>
      <c r="I4" s="277">
        <v>1081415.44</v>
      </c>
      <c r="J4" s="277">
        <v>808107.46</v>
      </c>
      <c r="K4" s="277">
        <v>284353.53999999998</v>
      </c>
      <c r="L4" s="277">
        <v>74287.03</v>
      </c>
      <c r="M4" s="277">
        <v>102961.19</v>
      </c>
      <c r="N4" s="277">
        <v>1878210.76</v>
      </c>
      <c r="O4" s="277">
        <v>0</v>
      </c>
      <c r="P4" s="277">
        <v>1907226.03</v>
      </c>
      <c r="Q4" s="277">
        <v>229628.68</v>
      </c>
      <c r="R4" s="277">
        <v>8079032.96</v>
      </c>
      <c r="S4" s="277"/>
      <c r="T4" s="277">
        <v>1707500.54</v>
      </c>
      <c r="U4" s="277">
        <v>900658.36</v>
      </c>
      <c r="V4" s="277">
        <v>84402.559999999998</v>
      </c>
      <c r="W4" s="277">
        <v>180157.24</v>
      </c>
      <c r="X4" s="277">
        <v>209079.5</v>
      </c>
      <c r="Y4" s="277">
        <v>4084296.73</v>
      </c>
      <c r="Z4" s="277">
        <v>150633.5</v>
      </c>
      <c r="AA4" s="277">
        <v>3843496</v>
      </c>
      <c r="AB4" s="277">
        <v>2139100</v>
      </c>
      <c r="AC4" s="277">
        <v>8166172.0199999996</v>
      </c>
      <c r="AD4" s="277"/>
      <c r="AE4" s="277"/>
      <c r="AF4" s="277"/>
      <c r="AG4" s="277"/>
      <c r="AH4" s="277"/>
      <c r="AI4" s="277"/>
    </row>
    <row r="5" spans="1:35" ht="12.75" customHeight="1" x14ac:dyDescent="0.15">
      <c r="A5" s="276" t="s">
        <v>71</v>
      </c>
      <c r="B5" s="277">
        <f>'Bijelo Polje'!E5</f>
        <v>5743123.9500000002</v>
      </c>
      <c r="C5" s="277">
        <v>1184064.46</v>
      </c>
      <c r="D5" s="277">
        <v>534330.29</v>
      </c>
      <c r="E5" s="277">
        <v>469536.5</v>
      </c>
      <c r="F5" s="277">
        <v>0</v>
      </c>
      <c r="G5" s="277">
        <v>17926.34</v>
      </c>
      <c r="H5" s="277">
        <v>0</v>
      </c>
      <c r="I5" s="277">
        <v>167141.35999999999</v>
      </c>
      <c r="J5" s="277">
        <v>1584133.68</v>
      </c>
      <c r="K5" s="277">
        <v>1304739.3999999999</v>
      </c>
      <c r="L5" s="277">
        <v>152725.03</v>
      </c>
      <c r="M5" s="277">
        <v>103895</v>
      </c>
      <c r="N5" s="277">
        <v>1710726.9</v>
      </c>
      <c r="O5" s="277">
        <v>0</v>
      </c>
      <c r="P5" s="277">
        <v>2365210.89</v>
      </c>
      <c r="Q5" s="277">
        <v>128067.53</v>
      </c>
      <c r="R5" s="277">
        <v>8289810.1600000001</v>
      </c>
      <c r="S5" s="277"/>
      <c r="T5" s="277">
        <v>8702340.5500000007</v>
      </c>
      <c r="U5" s="277">
        <v>1417145.74</v>
      </c>
      <c r="V5" s="277">
        <v>91742.55</v>
      </c>
      <c r="W5" s="277">
        <v>214196.42</v>
      </c>
      <c r="X5" s="277">
        <v>1132106</v>
      </c>
      <c r="Y5" s="277">
        <v>4540836</v>
      </c>
      <c r="Z5" s="277">
        <v>0</v>
      </c>
      <c r="AA5" s="277">
        <v>0</v>
      </c>
      <c r="AB5" s="277">
        <v>522599.15</v>
      </c>
      <c r="AC5" s="277">
        <v>9617840.2799999993</v>
      </c>
      <c r="AD5" s="277"/>
      <c r="AE5" s="277"/>
      <c r="AF5" s="277"/>
      <c r="AG5" s="277"/>
      <c r="AH5" s="277"/>
      <c r="AI5" s="277"/>
    </row>
    <row r="6" spans="1:35" ht="12.75" customHeight="1" x14ac:dyDescent="0.15">
      <c r="A6" s="276" t="s">
        <v>72</v>
      </c>
      <c r="B6" s="277">
        <f>Budva!E5</f>
        <v>5154637.72</v>
      </c>
      <c r="C6" s="277">
        <v>3439247.06</v>
      </c>
      <c r="D6" s="277">
        <v>1286403.92</v>
      </c>
      <c r="E6" s="277">
        <v>56837.66</v>
      </c>
      <c r="F6" s="277">
        <v>215432.95999999999</v>
      </c>
      <c r="G6" s="277">
        <v>57726.32</v>
      </c>
      <c r="H6" s="277">
        <v>0</v>
      </c>
      <c r="I6" s="277">
        <v>260194.93</v>
      </c>
      <c r="J6" s="277">
        <v>1646095.55</v>
      </c>
      <c r="K6" s="277">
        <v>1579255.82</v>
      </c>
      <c r="L6" s="277">
        <v>50234.73</v>
      </c>
      <c r="M6" s="277">
        <v>16605</v>
      </c>
      <c r="N6" s="277">
        <v>2262650.1800000002</v>
      </c>
      <c r="O6" s="277">
        <v>0</v>
      </c>
      <c r="P6" s="277">
        <v>21027716.73</v>
      </c>
      <c r="Q6" s="277">
        <v>263529.09000000003</v>
      </c>
      <c r="R6" s="277">
        <v>30614824.199999999</v>
      </c>
      <c r="S6" s="277"/>
      <c r="T6" s="277">
        <v>25870246.5</v>
      </c>
      <c r="U6" s="277">
        <v>9290742.3100000005</v>
      </c>
      <c r="V6" s="277">
        <v>933838.52</v>
      </c>
      <c r="W6" s="277">
        <v>57097.95</v>
      </c>
      <c r="X6" s="277">
        <v>3619932.96</v>
      </c>
      <c r="Y6" s="277">
        <v>30000</v>
      </c>
      <c r="Z6" s="277">
        <v>0</v>
      </c>
      <c r="AA6" s="277">
        <v>0</v>
      </c>
      <c r="AB6" s="277">
        <v>1100000</v>
      </c>
      <c r="AC6" s="277">
        <v>30634838.670000002</v>
      </c>
      <c r="AD6" s="277"/>
      <c r="AE6" s="277"/>
      <c r="AF6" s="277"/>
      <c r="AG6" s="277"/>
      <c r="AH6" s="277"/>
      <c r="AI6" s="277"/>
    </row>
    <row r="7" spans="1:35" ht="12.75" customHeight="1" x14ac:dyDescent="0.15">
      <c r="A7" s="276" t="s">
        <v>73</v>
      </c>
      <c r="B7" s="277">
        <f>Cetinje!E5</f>
        <v>2990073.2800000003</v>
      </c>
      <c r="C7" s="277">
        <v>1080358.19</v>
      </c>
      <c r="D7" s="277">
        <v>558577.12</v>
      </c>
      <c r="E7" s="277">
        <v>235272.26</v>
      </c>
      <c r="F7" s="277">
        <v>129548.01</v>
      </c>
      <c r="G7" s="277">
        <v>17903.18</v>
      </c>
      <c r="H7" s="277">
        <v>0</v>
      </c>
      <c r="I7" s="277">
        <v>0</v>
      </c>
      <c r="J7" s="277">
        <v>680443.13</v>
      </c>
      <c r="K7" s="277">
        <v>56390.85</v>
      </c>
      <c r="L7" s="277">
        <v>37850</v>
      </c>
      <c r="M7" s="277">
        <v>65442.31</v>
      </c>
      <c r="N7" s="277">
        <v>792086.04</v>
      </c>
      <c r="O7" s="277">
        <v>997200</v>
      </c>
      <c r="P7" s="277">
        <v>1731429.02</v>
      </c>
      <c r="Q7" s="277">
        <v>0</v>
      </c>
      <c r="R7" s="277">
        <v>7191231.4699999997</v>
      </c>
      <c r="S7" s="277"/>
      <c r="T7" s="277">
        <v>1906036.67</v>
      </c>
      <c r="U7" s="277">
        <v>1010749.19</v>
      </c>
      <c r="V7" s="277">
        <v>78082.23</v>
      </c>
      <c r="W7" s="277">
        <v>32591.43</v>
      </c>
      <c r="X7" s="277">
        <v>4328.66</v>
      </c>
      <c r="Y7" s="277">
        <v>2740678.43</v>
      </c>
      <c r="Z7" s="277">
        <v>847100</v>
      </c>
      <c r="AA7" s="277">
        <v>1523692.4</v>
      </c>
      <c r="AB7" s="277">
        <v>2045000</v>
      </c>
      <c r="AC7" s="277">
        <v>7226710.8099999996</v>
      </c>
      <c r="AD7" s="277"/>
      <c r="AE7" s="277"/>
      <c r="AF7" s="277"/>
      <c r="AG7" s="277"/>
      <c r="AH7" s="277"/>
      <c r="AI7" s="277"/>
    </row>
    <row r="8" spans="1:35" ht="12.75" customHeight="1" x14ac:dyDescent="0.15">
      <c r="A8" s="276" t="s">
        <v>74</v>
      </c>
      <c r="B8" s="277">
        <f>Danilovgrad!E5</f>
        <v>1550578.29</v>
      </c>
      <c r="C8" s="277">
        <v>791261.05</v>
      </c>
      <c r="D8" s="277">
        <v>384008.9</v>
      </c>
      <c r="E8" s="277">
        <v>39455.47</v>
      </c>
      <c r="F8" s="277">
        <v>1376.72</v>
      </c>
      <c r="G8" s="277">
        <v>5810.4</v>
      </c>
      <c r="H8" s="277">
        <v>73545</v>
      </c>
      <c r="I8" s="277">
        <v>19440</v>
      </c>
      <c r="J8" s="277">
        <v>575489.86</v>
      </c>
      <c r="K8" s="277">
        <v>250829.15</v>
      </c>
      <c r="L8" s="277">
        <v>79418.06</v>
      </c>
      <c r="M8" s="277">
        <v>101169.05</v>
      </c>
      <c r="N8" s="277">
        <v>259543.29</v>
      </c>
      <c r="O8" s="277">
        <v>0</v>
      </c>
      <c r="P8" s="277">
        <v>94737.71</v>
      </c>
      <c r="Q8" s="277">
        <v>4077.57</v>
      </c>
      <c r="R8" s="277">
        <v>2503866.7200000002</v>
      </c>
      <c r="S8" s="277"/>
      <c r="T8" s="277">
        <v>1805190.47</v>
      </c>
      <c r="U8" s="277">
        <v>759848.22</v>
      </c>
      <c r="V8" s="277">
        <v>75066.960000000006</v>
      </c>
      <c r="W8" s="277">
        <v>444389.48</v>
      </c>
      <c r="X8" s="277">
        <v>0</v>
      </c>
      <c r="Y8" s="277">
        <v>1025923.97</v>
      </c>
      <c r="Z8" s="277">
        <v>147613.34</v>
      </c>
      <c r="AA8" s="277">
        <v>596449</v>
      </c>
      <c r="AB8" s="277">
        <v>0</v>
      </c>
      <c r="AC8" s="277">
        <v>2997193.97</v>
      </c>
      <c r="AD8" s="277"/>
      <c r="AE8" s="277"/>
      <c r="AF8" s="277"/>
      <c r="AG8" s="277"/>
      <c r="AH8" s="277"/>
      <c r="AI8" s="277"/>
    </row>
    <row r="9" spans="1:35" ht="12.75" customHeight="1" x14ac:dyDescent="0.15">
      <c r="A9" s="276" t="s">
        <v>75</v>
      </c>
      <c r="B9" s="277">
        <f>'Herceg Novi'!E5</f>
        <v>4458448.34</v>
      </c>
      <c r="C9" s="277">
        <v>2053328.89</v>
      </c>
      <c r="D9" s="277">
        <v>914106.09</v>
      </c>
      <c r="E9" s="277">
        <v>1315381.8999999999</v>
      </c>
      <c r="F9" s="277">
        <v>0</v>
      </c>
      <c r="G9" s="277">
        <v>0</v>
      </c>
      <c r="H9" s="277">
        <v>0</v>
      </c>
      <c r="I9" s="277">
        <v>0</v>
      </c>
      <c r="J9" s="277">
        <v>805351.79</v>
      </c>
      <c r="K9" s="277">
        <v>372259.77</v>
      </c>
      <c r="L9" s="277">
        <v>139708.57999999999</v>
      </c>
      <c r="M9" s="277">
        <v>197013.12</v>
      </c>
      <c r="N9" s="277">
        <v>350842.37</v>
      </c>
      <c r="O9" s="277">
        <v>943728.89</v>
      </c>
      <c r="P9" s="277">
        <v>3396057.27</v>
      </c>
      <c r="Q9" s="277">
        <v>54845.96</v>
      </c>
      <c r="R9" s="277">
        <v>10009274.619999999</v>
      </c>
      <c r="S9" s="277"/>
      <c r="T9" s="277">
        <v>8730019.7300000004</v>
      </c>
      <c r="U9" s="277">
        <v>5552597.5499999998</v>
      </c>
      <c r="V9" s="277">
        <v>424827.4</v>
      </c>
      <c r="W9" s="277">
        <v>0</v>
      </c>
      <c r="X9" s="277">
        <v>0</v>
      </c>
      <c r="Y9" s="277">
        <v>0</v>
      </c>
      <c r="Z9" s="277">
        <v>0</v>
      </c>
      <c r="AA9" s="277">
        <v>0</v>
      </c>
      <c r="AB9" s="277">
        <v>1485000</v>
      </c>
      <c r="AC9" s="277">
        <v>10215019.73</v>
      </c>
      <c r="AD9" s="277"/>
      <c r="AE9" s="277"/>
      <c r="AF9" s="277"/>
      <c r="AG9" s="277"/>
      <c r="AH9" s="277"/>
      <c r="AI9" s="277"/>
    </row>
    <row r="10" spans="1:35" ht="12.75" customHeight="1" x14ac:dyDescent="0.15">
      <c r="A10" s="276" t="s">
        <v>77</v>
      </c>
      <c r="B10" s="277">
        <f>Kolašin!E5</f>
        <v>1418211.13</v>
      </c>
      <c r="C10" s="277">
        <v>652492</v>
      </c>
      <c r="D10" s="277">
        <v>108157</v>
      </c>
      <c r="E10" s="277">
        <v>9042</v>
      </c>
      <c r="F10" s="277">
        <v>145129</v>
      </c>
      <c r="G10" s="277">
        <v>0</v>
      </c>
      <c r="H10" s="277">
        <v>4277</v>
      </c>
      <c r="I10" s="277">
        <v>0</v>
      </c>
      <c r="J10" s="277">
        <v>489087</v>
      </c>
      <c r="K10" s="277">
        <v>397840</v>
      </c>
      <c r="L10" s="277">
        <v>4294</v>
      </c>
      <c r="M10" s="277">
        <v>86953</v>
      </c>
      <c r="N10" s="277">
        <v>251286</v>
      </c>
      <c r="O10" s="277">
        <v>0</v>
      </c>
      <c r="P10" s="277">
        <v>2412476</v>
      </c>
      <c r="Q10" s="277">
        <v>0</v>
      </c>
      <c r="R10" s="277">
        <v>4571060</v>
      </c>
      <c r="S10" s="277"/>
      <c r="T10" s="277">
        <v>1343676</v>
      </c>
      <c r="U10" s="277">
        <v>631478</v>
      </c>
      <c r="V10" s="277">
        <v>26498</v>
      </c>
      <c r="W10" s="277">
        <v>139875</v>
      </c>
      <c r="X10" s="277">
        <v>0</v>
      </c>
      <c r="Y10" s="277">
        <v>1772747</v>
      </c>
      <c r="Z10" s="277">
        <v>0</v>
      </c>
      <c r="AA10" s="277">
        <v>1551936</v>
      </c>
      <c r="AB10" s="277">
        <v>1474667</v>
      </c>
      <c r="AC10" s="277">
        <v>4615721</v>
      </c>
      <c r="AD10" s="277"/>
      <c r="AE10" s="277"/>
      <c r="AF10" s="277"/>
      <c r="AG10" s="277"/>
      <c r="AH10" s="277"/>
      <c r="AI10" s="277"/>
    </row>
    <row r="11" spans="1:35" ht="12.75" customHeight="1" x14ac:dyDescent="0.15">
      <c r="A11" s="276" t="s">
        <v>78</v>
      </c>
      <c r="B11" s="277">
        <f>Kotor!E5</f>
        <v>2402262.41</v>
      </c>
      <c r="C11" s="277">
        <v>1307992</v>
      </c>
      <c r="D11" s="277">
        <v>423987</v>
      </c>
      <c r="E11" s="277">
        <v>12446</v>
      </c>
      <c r="F11" s="277">
        <v>154928</v>
      </c>
      <c r="G11" s="277">
        <v>0</v>
      </c>
      <c r="H11" s="277">
        <v>25880</v>
      </c>
      <c r="I11" s="277">
        <v>19570</v>
      </c>
      <c r="J11" s="277">
        <v>1134975</v>
      </c>
      <c r="K11" s="277">
        <v>770786</v>
      </c>
      <c r="L11" s="277">
        <v>113604</v>
      </c>
      <c r="M11" s="277">
        <v>30633</v>
      </c>
      <c r="N11" s="277">
        <v>518672</v>
      </c>
      <c r="O11" s="277">
        <v>0</v>
      </c>
      <c r="P11" s="277">
        <v>2775055</v>
      </c>
      <c r="Q11" s="277">
        <v>56798</v>
      </c>
      <c r="R11" s="277">
        <v>6907332</v>
      </c>
      <c r="S11" s="277"/>
      <c r="T11" s="277">
        <v>6531089</v>
      </c>
      <c r="U11" s="277">
        <v>4235333</v>
      </c>
      <c r="V11" s="277">
        <v>344695</v>
      </c>
      <c r="W11" s="277">
        <v>167752</v>
      </c>
      <c r="X11" s="277">
        <v>221002</v>
      </c>
      <c r="Y11" s="277">
        <v>0</v>
      </c>
      <c r="Z11" s="277">
        <v>0</v>
      </c>
      <c r="AA11" s="277">
        <v>0</v>
      </c>
      <c r="AB11" s="277">
        <v>197800</v>
      </c>
      <c r="AC11" s="277">
        <v>6974350</v>
      </c>
      <c r="AD11" s="277"/>
      <c r="AE11" s="277"/>
      <c r="AF11" s="277"/>
      <c r="AG11" s="277"/>
      <c r="AH11" s="277"/>
      <c r="AI11" s="277"/>
    </row>
    <row r="12" spans="1:35" ht="12.75" customHeight="1" x14ac:dyDescent="0.15">
      <c r="A12" s="276" t="s">
        <v>79</v>
      </c>
      <c r="B12" s="277">
        <f>Mojkovac!E5</f>
        <v>1222286.01</v>
      </c>
      <c r="C12" s="277">
        <v>762777</v>
      </c>
      <c r="D12" s="277">
        <v>179479</v>
      </c>
      <c r="E12" s="277">
        <v>56931</v>
      </c>
      <c r="F12" s="277">
        <v>0</v>
      </c>
      <c r="G12" s="277">
        <v>0</v>
      </c>
      <c r="H12" s="277">
        <v>0</v>
      </c>
      <c r="I12" s="277">
        <v>1709</v>
      </c>
      <c r="J12" s="277">
        <v>178521</v>
      </c>
      <c r="K12" s="277">
        <v>58191</v>
      </c>
      <c r="L12" s="277">
        <v>25371</v>
      </c>
      <c r="M12" s="277">
        <v>94959</v>
      </c>
      <c r="N12" s="277">
        <v>360374</v>
      </c>
      <c r="O12" s="277">
        <v>0</v>
      </c>
      <c r="P12" s="277">
        <v>215065</v>
      </c>
      <c r="Q12" s="277">
        <v>44347</v>
      </c>
      <c r="R12" s="277">
        <v>2022301</v>
      </c>
      <c r="S12" s="277"/>
      <c r="T12" s="277">
        <v>1210345</v>
      </c>
      <c r="U12" s="277">
        <v>291488</v>
      </c>
      <c r="V12" s="277">
        <v>158683</v>
      </c>
      <c r="W12" s="277">
        <v>251137</v>
      </c>
      <c r="X12" s="277">
        <v>9061</v>
      </c>
      <c r="Y12" s="277">
        <v>653143</v>
      </c>
      <c r="Z12" s="277">
        <v>73433</v>
      </c>
      <c r="AA12" s="277">
        <v>579710</v>
      </c>
      <c r="AB12" s="277">
        <v>150000</v>
      </c>
      <c r="AC12" s="277">
        <v>2024284</v>
      </c>
      <c r="AD12" s="277"/>
      <c r="AE12" s="277"/>
      <c r="AF12" s="277"/>
      <c r="AG12" s="277"/>
      <c r="AH12" s="277"/>
      <c r="AI12" s="277"/>
    </row>
    <row r="13" spans="1:35" ht="12.75" customHeight="1" x14ac:dyDescent="0.15">
      <c r="A13" s="276" t="s">
        <v>80</v>
      </c>
      <c r="B13" s="277">
        <f>Nikšić!E5</f>
        <v>7132775.0700000003</v>
      </c>
      <c r="C13" s="277">
        <v>1703029</v>
      </c>
      <c r="D13" s="277">
        <v>2062089</v>
      </c>
      <c r="E13" s="277">
        <v>110228</v>
      </c>
      <c r="F13" s="277">
        <v>872460</v>
      </c>
      <c r="G13" s="277">
        <v>87890</v>
      </c>
      <c r="H13" s="277">
        <v>79778</v>
      </c>
      <c r="I13" s="277">
        <v>0</v>
      </c>
      <c r="J13" s="277">
        <v>1060683</v>
      </c>
      <c r="K13" s="277">
        <v>216987</v>
      </c>
      <c r="L13" s="277">
        <v>63094</v>
      </c>
      <c r="M13" s="277">
        <v>108071</v>
      </c>
      <c r="N13" s="277">
        <v>2501122</v>
      </c>
      <c r="O13" s="277">
        <v>76753</v>
      </c>
      <c r="P13" s="277">
        <v>6572428</v>
      </c>
      <c r="Q13" s="277">
        <v>455799</v>
      </c>
      <c r="R13" s="277">
        <v>17799559</v>
      </c>
      <c r="S13" s="277"/>
      <c r="T13" s="277">
        <v>8900563</v>
      </c>
      <c r="U13" s="277">
        <v>6580984</v>
      </c>
      <c r="V13" s="277">
        <v>309068</v>
      </c>
      <c r="W13" s="277">
        <v>352268</v>
      </c>
      <c r="X13" s="277">
        <v>2343</v>
      </c>
      <c r="Y13" s="277">
        <v>3768967</v>
      </c>
      <c r="Z13" s="277">
        <v>402534</v>
      </c>
      <c r="AA13" s="277">
        <v>3301933</v>
      </c>
      <c r="AB13" s="277">
        <v>5130504</v>
      </c>
      <c r="AC13" s="277">
        <v>17806718</v>
      </c>
      <c r="AD13" s="277"/>
      <c r="AE13" s="277"/>
      <c r="AF13" s="277"/>
      <c r="AG13" s="277"/>
      <c r="AH13" s="277"/>
      <c r="AI13" s="277"/>
    </row>
    <row r="14" spans="1:35" ht="12.75" customHeight="1" x14ac:dyDescent="0.15">
      <c r="A14" s="276" t="s">
        <v>85</v>
      </c>
      <c r="B14" s="277">
        <f>Plav!E5</f>
        <v>535797.7300000001</v>
      </c>
      <c r="C14" s="277">
        <v>365316</v>
      </c>
      <c r="D14" s="277">
        <v>107175</v>
      </c>
      <c r="E14" s="277">
        <v>18175</v>
      </c>
      <c r="F14" s="277">
        <v>23621</v>
      </c>
      <c r="G14" s="277">
        <v>0</v>
      </c>
      <c r="H14" s="277">
        <v>4003</v>
      </c>
      <c r="I14" s="277">
        <v>0</v>
      </c>
      <c r="J14" s="277">
        <v>319251</v>
      </c>
      <c r="K14" s="277">
        <v>265741</v>
      </c>
      <c r="L14" s="277">
        <v>14230</v>
      </c>
      <c r="M14" s="277">
        <v>39279</v>
      </c>
      <c r="N14" s="277">
        <v>229142</v>
      </c>
      <c r="O14" s="277">
        <v>0</v>
      </c>
      <c r="P14" s="277">
        <v>931545</v>
      </c>
      <c r="Q14" s="277">
        <v>0</v>
      </c>
      <c r="R14" s="277">
        <v>2015735</v>
      </c>
      <c r="S14" s="277"/>
      <c r="T14" s="277">
        <v>1007844</v>
      </c>
      <c r="U14" s="277">
        <v>310043</v>
      </c>
      <c r="V14" s="277">
        <v>319658</v>
      </c>
      <c r="W14" s="277">
        <v>49752</v>
      </c>
      <c r="X14" s="277">
        <v>0</v>
      </c>
      <c r="Y14" s="277">
        <v>1017347</v>
      </c>
      <c r="Z14" s="277"/>
      <c r="AA14" s="277">
        <v>986049</v>
      </c>
      <c r="AB14" s="277">
        <v>0</v>
      </c>
      <c r="AC14" s="277">
        <v>2073141</v>
      </c>
      <c r="AD14" s="277"/>
      <c r="AE14" s="277"/>
      <c r="AF14" s="277"/>
      <c r="AG14" s="277"/>
      <c r="AH14" s="277"/>
      <c r="AI14" s="277"/>
    </row>
    <row r="15" spans="1:35" ht="12.75" customHeight="1" x14ac:dyDescent="0.15">
      <c r="A15" s="276" t="s">
        <v>87</v>
      </c>
      <c r="B15" s="277">
        <f>Pljevlja!E5</f>
        <v>4640163.62</v>
      </c>
      <c r="C15" s="277">
        <v>1590618</v>
      </c>
      <c r="D15" s="277">
        <v>1045923</v>
      </c>
      <c r="E15" s="277">
        <v>398467</v>
      </c>
      <c r="F15" s="277">
        <v>276648</v>
      </c>
      <c r="G15" s="277">
        <v>81144</v>
      </c>
      <c r="H15" s="277">
        <v>682248</v>
      </c>
      <c r="I15" s="277">
        <v>274164</v>
      </c>
      <c r="J15" s="277">
        <v>972795</v>
      </c>
      <c r="K15" s="277">
        <v>81000</v>
      </c>
      <c r="L15" s="277">
        <v>136963</v>
      </c>
      <c r="M15" s="277">
        <v>729941</v>
      </c>
      <c r="N15" s="277">
        <v>5293777</v>
      </c>
      <c r="O15" s="277">
        <v>495360</v>
      </c>
      <c r="P15" s="277">
        <v>883732</v>
      </c>
      <c r="Q15" s="277">
        <v>69132</v>
      </c>
      <c r="R15" s="277">
        <v>12629124</v>
      </c>
      <c r="S15" s="277"/>
      <c r="T15" s="277">
        <v>5259166</v>
      </c>
      <c r="U15" s="277">
        <v>2638489</v>
      </c>
      <c r="V15" s="277">
        <v>117160</v>
      </c>
      <c r="W15" s="277">
        <v>1245661</v>
      </c>
      <c r="X15" s="277">
        <v>73415</v>
      </c>
      <c r="Y15" s="277">
        <v>3198967</v>
      </c>
      <c r="Z15" s="277">
        <v>0</v>
      </c>
      <c r="AA15" s="277">
        <v>2015496</v>
      </c>
      <c r="AB15" s="277">
        <v>4169900</v>
      </c>
      <c r="AC15" s="277">
        <v>13049060</v>
      </c>
      <c r="AD15" s="277"/>
      <c r="AE15" s="277"/>
      <c r="AF15" s="277"/>
      <c r="AG15" s="277"/>
      <c r="AH15" s="277"/>
      <c r="AI15" s="277"/>
    </row>
    <row r="16" spans="1:35" ht="12.75" customHeight="1" x14ac:dyDescent="0.15">
      <c r="A16" s="276" t="s">
        <v>88</v>
      </c>
      <c r="B16" s="277">
        <f>Plužine!F5</f>
        <v>936915.06</v>
      </c>
      <c r="C16" s="277">
        <v>343200</v>
      </c>
      <c r="D16" s="277">
        <v>235707</v>
      </c>
      <c r="E16" s="277">
        <v>215002</v>
      </c>
      <c r="F16" s="277">
        <v>0</v>
      </c>
      <c r="G16" s="277">
        <v>0</v>
      </c>
      <c r="H16" s="277">
        <v>0</v>
      </c>
      <c r="I16" s="277">
        <v>0</v>
      </c>
      <c r="J16" s="277">
        <v>381544</v>
      </c>
      <c r="K16" s="277">
        <v>149155</v>
      </c>
      <c r="L16" s="277">
        <v>38937</v>
      </c>
      <c r="M16" s="277">
        <v>65429</v>
      </c>
      <c r="N16" s="277">
        <v>882223</v>
      </c>
      <c r="O16" s="277">
        <v>4500</v>
      </c>
      <c r="P16" s="277">
        <v>105012</v>
      </c>
      <c r="Q16" s="277">
        <v>78675</v>
      </c>
      <c r="R16" s="277">
        <v>2388867</v>
      </c>
      <c r="S16" s="277"/>
      <c r="T16" s="277">
        <v>3065859</v>
      </c>
      <c r="U16" s="277">
        <v>1550434</v>
      </c>
      <c r="V16" s="277">
        <v>4043</v>
      </c>
      <c r="W16" s="277">
        <v>619768</v>
      </c>
      <c r="X16" s="277">
        <v>0</v>
      </c>
      <c r="Y16" s="277">
        <v>743184</v>
      </c>
      <c r="Z16" s="277">
        <v>0</v>
      </c>
      <c r="AA16" s="277">
        <v>0</v>
      </c>
      <c r="AB16" s="277">
        <v>0</v>
      </c>
      <c r="AC16" s="277">
        <v>3899956</v>
      </c>
      <c r="AD16" s="277"/>
      <c r="AE16" s="277"/>
      <c r="AF16" s="277"/>
      <c r="AG16" s="277"/>
      <c r="AH16" s="277"/>
      <c r="AI16" s="277"/>
    </row>
    <row r="17" spans="1:35" ht="12.75" customHeight="1" x14ac:dyDescent="0.15">
      <c r="A17" s="276" t="s">
        <v>89</v>
      </c>
      <c r="B17" s="277">
        <f>Podgorica!E5</f>
        <v>15580885.869999999</v>
      </c>
      <c r="C17" s="277">
        <v>9117177</v>
      </c>
      <c r="D17" s="277">
        <v>4667898</v>
      </c>
      <c r="E17" s="277">
        <v>324856</v>
      </c>
      <c r="F17" s="277">
        <v>681221</v>
      </c>
      <c r="G17" s="277">
        <v>0</v>
      </c>
      <c r="H17" s="277">
        <v>0</v>
      </c>
      <c r="I17" s="277">
        <v>0</v>
      </c>
      <c r="J17" s="277">
        <v>9667292</v>
      </c>
      <c r="K17" s="277">
        <v>40000</v>
      </c>
      <c r="L17" s="277">
        <v>412669</v>
      </c>
      <c r="M17" s="277">
        <v>597527</v>
      </c>
      <c r="N17" s="277">
        <v>22936548</v>
      </c>
      <c r="O17" s="277">
        <v>0</v>
      </c>
      <c r="P17" s="277">
        <v>2455812</v>
      </c>
      <c r="Q17" s="277">
        <v>582268</v>
      </c>
      <c r="R17" s="277">
        <v>51222808</v>
      </c>
      <c r="S17" s="277"/>
      <c r="T17" s="277">
        <v>39555194</v>
      </c>
      <c r="U17" s="277">
        <v>21226838</v>
      </c>
      <c r="V17" s="277">
        <v>1851836</v>
      </c>
      <c r="W17" s="277">
        <v>912132</v>
      </c>
      <c r="X17" s="277">
        <v>3998398</v>
      </c>
      <c r="Y17" s="277">
        <v>101707</v>
      </c>
      <c r="Z17" s="277">
        <v>101707</v>
      </c>
      <c r="AA17" s="277">
        <v>0</v>
      </c>
      <c r="AB17" s="277">
        <v>0</v>
      </c>
      <c r="AC17" s="277">
        <v>51510401</v>
      </c>
      <c r="AD17" s="277"/>
      <c r="AE17" s="277"/>
      <c r="AF17" s="277"/>
      <c r="AG17" s="277"/>
      <c r="AH17" s="277"/>
      <c r="AI17" s="277"/>
    </row>
    <row r="18" spans="1:35" ht="12.75" customHeight="1" x14ac:dyDescent="0.15">
      <c r="A18" s="276" t="s">
        <v>90</v>
      </c>
      <c r="B18" s="277">
        <f>Rožaje!E5</f>
        <v>1418129.6600000001</v>
      </c>
      <c r="C18" s="277">
        <v>1067822</v>
      </c>
      <c r="D18" s="277">
        <v>224796</v>
      </c>
      <c r="E18" s="277">
        <v>32695</v>
      </c>
      <c r="F18" s="277">
        <v>32641</v>
      </c>
      <c r="G18" s="277">
        <v>0</v>
      </c>
      <c r="H18" s="277">
        <v>0</v>
      </c>
      <c r="I18" s="277">
        <v>0</v>
      </c>
      <c r="J18" s="277">
        <v>975610</v>
      </c>
      <c r="K18" s="277">
        <v>845106</v>
      </c>
      <c r="L18" s="277">
        <v>66303</v>
      </c>
      <c r="M18" s="277">
        <v>58540</v>
      </c>
      <c r="N18" s="277">
        <v>973806</v>
      </c>
      <c r="O18" s="277">
        <v>0</v>
      </c>
      <c r="P18" s="277">
        <v>386857</v>
      </c>
      <c r="Q18" s="277">
        <v>76686</v>
      </c>
      <c r="R18" s="277">
        <v>3831089</v>
      </c>
      <c r="S18" s="277"/>
      <c r="T18" s="277">
        <v>1420093</v>
      </c>
      <c r="U18" s="277">
        <v>367207</v>
      </c>
      <c r="V18" s="277">
        <v>45652</v>
      </c>
      <c r="W18" s="277">
        <v>412119</v>
      </c>
      <c r="X18" s="277">
        <v>8245</v>
      </c>
      <c r="Y18" s="277">
        <v>2073725</v>
      </c>
      <c r="Z18" s="277">
        <v>0</v>
      </c>
      <c r="AA18" s="277">
        <v>2073725</v>
      </c>
      <c r="AB18" s="277">
        <v>315000</v>
      </c>
      <c r="AC18" s="277">
        <v>3833251</v>
      </c>
      <c r="AD18" s="277"/>
      <c r="AE18" s="277"/>
      <c r="AF18" s="277"/>
      <c r="AG18" s="277"/>
      <c r="AH18" s="277"/>
      <c r="AI18" s="277"/>
    </row>
    <row r="19" spans="1:35" ht="12.75" customHeight="1" x14ac:dyDescent="0.15">
      <c r="A19" s="276" t="s">
        <v>92</v>
      </c>
      <c r="B19" s="277">
        <f>Šavnik!E5</f>
        <v>594380.30000000005</v>
      </c>
      <c r="C19" s="277">
        <v>333626</v>
      </c>
      <c r="D19" s="277">
        <v>97285</v>
      </c>
      <c r="E19" s="277">
        <v>120210</v>
      </c>
      <c r="F19" s="277">
        <v>0</v>
      </c>
      <c r="G19" s="277">
        <v>0</v>
      </c>
      <c r="H19" s="277">
        <v>0</v>
      </c>
      <c r="I19" s="277">
        <v>0</v>
      </c>
      <c r="J19" s="277">
        <v>184969</v>
      </c>
      <c r="K19" s="277">
        <v>5500</v>
      </c>
      <c r="L19" s="277">
        <v>2407</v>
      </c>
      <c r="M19" s="277">
        <v>58301</v>
      </c>
      <c r="N19" s="277">
        <v>57786</v>
      </c>
      <c r="O19" s="277">
        <v>0</v>
      </c>
      <c r="P19" s="277">
        <v>203910</v>
      </c>
      <c r="Q19" s="277">
        <v>0</v>
      </c>
      <c r="R19" s="277">
        <v>1041045</v>
      </c>
      <c r="S19" s="277"/>
      <c r="T19" s="277">
        <v>96436</v>
      </c>
      <c r="U19" s="277">
        <v>70768</v>
      </c>
      <c r="V19" s="277">
        <v>103</v>
      </c>
      <c r="W19" s="277">
        <v>9201</v>
      </c>
      <c r="X19" s="277">
        <v>141</v>
      </c>
      <c r="Y19" s="277">
        <v>1132052</v>
      </c>
      <c r="Z19" s="277">
        <v>0</v>
      </c>
      <c r="AA19" s="277">
        <v>968236</v>
      </c>
      <c r="AB19" s="277">
        <v>0</v>
      </c>
      <c r="AC19" s="277">
        <v>1586558</v>
      </c>
      <c r="AD19" s="277"/>
      <c r="AE19" s="277"/>
      <c r="AF19" s="277"/>
      <c r="AG19" s="277"/>
      <c r="AH19" s="277"/>
      <c r="AI19" s="277"/>
    </row>
    <row r="20" spans="1:35" ht="12.75" customHeight="1" x14ac:dyDescent="0.15">
      <c r="A20" s="276" t="s">
        <v>93</v>
      </c>
      <c r="B20" s="277">
        <f>Tivat!E5</f>
        <v>2323749.9900000007</v>
      </c>
      <c r="C20" s="277">
        <v>1126388</v>
      </c>
      <c r="D20" s="277">
        <v>864806</v>
      </c>
      <c r="E20" s="277">
        <v>72032</v>
      </c>
      <c r="F20" s="277">
        <v>0</v>
      </c>
      <c r="G20" s="277">
        <v>34934</v>
      </c>
      <c r="H20" s="277">
        <v>0</v>
      </c>
      <c r="I20" s="277">
        <v>69558</v>
      </c>
      <c r="J20" s="277">
        <v>1383240</v>
      </c>
      <c r="K20" s="277">
        <v>1383240</v>
      </c>
      <c r="L20" s="277">
        <v>94904</v>
      </c>
      <c r="M20" s="277">
        <v>186290</v>
      </c>
      <c r="N20" s="277">
        <v>2967601</v>
      </c>
      <c r="O20" s="277">
        <v>80000</v>
      </c>
      <c r="P20" s="277">
        <v>452587</v>
      </c>
      <c r="Q20" s="277">
        <v>90361</v>
      </c>
      <c r="R20" s="277">
        <v>7367098</v>
      </c>
      <c r="S20" s="277"/>
      <c r="T20" s="277">
        <v>6854379</v>
      </c>
      <c r="U20" s="277">
        <v>2856183</v>
      </c>
      <c r="V20" s="277">
        <v>449825</v>
      </c>
      <c r="W20" s="277">
        <v>22415</v>
      </c>
      <c r="X20" s="277">
        <v>118100</v>
      </c>
      <c r="Y20" s="277">
        <v>10000</v>
      </c>
      <c r="Z20" s="277">
        <v>0</v>
      </c>
      <c r="AA20" s="277">
        <v>0</v>
      </c>
      <c r="AB20" s="277">
        <v>0</v>
      </c>
      <c r="AC20" s="277">
        <v>10872870</v>
      </c>
      <c r="AD20" s="277"/>
      <c r="AE20" s="277"/>
      <c r="AF20" s="277"/>
      <c r="AG20" s="277"/>
      <c r="AH20" s="277"/>
      <c r="AI20" s="277"/>
    </row>
    <row r="21" spans="1:35" ht="12.75" customHeight="1" x14ac:dyDescent="0.15">
      <c r="A21" s="276" t="s">
        <v>94</v>
      </c>
      <c r="B21" s="277">
        <f>Ulcinj!E5</f>
        <v>1907415.5199999998</v>
      </c>
      <c r="C21" s="277">
        <v>1352604</v>
      </c>
      <c r="D21" s="277">
        <v>228147</v>
      </c>
      <c r="E21" s="277">
        <v>176782</v>
      </c>
      <c r="F21" s="277">
        <v>0</v>
      </c>
      <c r="G21" s="277">
        <v>0</v>
      </c>
      <c r="H21" s="277">
        <v>0</v>
      </c>
      <c r="I21" s="277">
        <v>0</v>
      </c>
      <c r="J21" s="277">
        <v>558097</v>
      </c>
      <c r="K21" s="277">
        <v>37458</v>
      </c>
      <c r="L21" s="277">
        <v>62984</v>
      </c>
      <c r="M21" s="277">
        <v>77615</v>
      </c>
      <c r="N21" s="277">
        <v>105934</v>
      </c>
      <c r="O21" s="277">
        <v>0</v>
      </c>
      <c r="P21" s="277">
        <v>2299015</v>
      </c>
      <c r="Q21" s="277">
        <v>100000</v>
      </c>
      <c r="R21" s="277">
        <v>4970462</v>
      </c>
      <c r="S21" s="277"/>
      <c r="T21" s="277">
        <v>2477509</v>
      </c>
      <c r="U21" s="277">
        <v>1680648</v>
      </c>
      <c r="V21" s="277">
        <v>289643</v>
      </c>
      <c r="W21" s="277">
        <v>29994</v>
      </c>
      <c r="X21" s="277">
        <v>320040</v>
      </c>
      <c r="Y21" s="277">
        <v>590228</v>
      </c>
      <c r="Z21" s="277">
        <v>0</v>
      </c>
      <c r="AA21" s="277">
        <v>501955</v>
      </c>
      <c r="AB21" s="277">
        <v>1644816</v>
      </c>
      <c r="AC21" s="277">
        <v>5046777</v>
      </c>
      <c r="AD21" s="277"/>
      <c r="AE21" s="277"/>
      <c r="AF21" s="277"/>
      <c r="AG21" s="277"/>
      <c r="AH21" s="277"/>
      <c r="AI21" s="277"/>
    </row>
    <row r="22" spans="1:35" ht="12.75" customHeight="1" x14ac:dyDescent="0.15">
      <c r="A22" s="276" t="s">
        <v>95</v>
      </c>
      <c r="B22" s="277">
        <f>Žabljak!E5</f>
        <v>532642.04</v>
      </c>
      <c r="C22" s="277">
        <v>281688</v>
      </c>
      <c r="D22" s="277">
        <v>164209</v>
      </c>
      <c r="E22" s="277">
        <v>6213</v>
      </c>
      <c r="F22" s="277">
        <v>0</v>
      </c>
      <c r="G22" s="277">
        <v>11425</v>
      </c>
      <c r="H22" s="277">
        <v>0</v>
      </c>
      <c r="I22" s="277">
        <v>48834</v>
      </c>
      <c r="J22" s="277">
        <v>149310.32</v>
      </c>
      <c r="K22" s="277">
        <v>97847.6</v>
      </c>
      <c r="L22" s="277">
        <v>12550.18</v>
      </c>
      <c r="M22" s="277">
        <v>38912.54</v>
      </c>
      <c r="N22" s="277">
        <v>299068</v>
      </c>
      <c r="O22" s="277">
        <v>0</v>
      </c>
      <c r="P22" s="277">
        <v>140543</v>
      </c>
      <c r="Q22" s="277">
        <v>0</v>
      </c>
      <c r="R22" s="277">
        <v>1170398</v>
      </c>
      <c r="S22" s="277"/>
      <c r="T22" s="277">
        <v>841610</v>
      </c>
      <c r="U22" s="277">
        <v>324018</v>
      </c>
      <c r="V22" s="277">
        <v>23582</v>
      </c>
      <c r="W22" s="277">
        <v>234425</v>
      </c>
      <c r="X22" s="277">
        <v>665</v>
      </c>
      <c r="Y22" s="277">
        <v>335399</v>
      </c>
      <c r="Z22" s="277">
        <v>0</v>
      </c>
      <c r="AA22" s="277">
        <v>188272</v>
      </c>
      <c r="AB22" s="277">
        <v>0</v>
      </c>
      <c r="AC22" s="277">
        <v>1184034.93</v>
      </c>
      <c r="AD22" s="277"/>
      <c r="AE22" s="277"/>
      <c r="AF22" s="277"/>
      <c r="AG22" s="277"/>
      <c r="AH22" s="277"/>
      <c r="AI22" s="27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20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56">
        <v>1990620.22</v>
      </c>
      <c r="D5" s="57">
        <v>1563488.35</v>
      </c>
      <c r="E5" s="57">
        <v>1550578.29</v>
      </c>
      <c r="F5" s="18"/>
    </row>
    <row r="6" spans="1:6" ht="13" x14ac:dyDescent="0.15">
      <c r="A6" s="19">
        <v>411</v>
      </c>
      <c r="B6" s="37" t="s">
        <v>38</v>
      </c>
      <c r="C6" s="56">
        <v>1188277.99</v>
      </c>
      <c r="D6" s="57">
        <v>806761.83</v>
      </c>
      <c r="E6" s="57">
        <v>791261.05</v>
      </c>
      <c r="F6" s="41"/>
    </row>
    <row r="7" spans="1:6" ht="13" x14ac:dyDescent="0.15">
      <c r="A7" s="19">
        <v>412</v>
      </c>
      <c r="B7" s="58" t="s">
        <v>54</v>
      </c>
      <c r="C7" s="56">
        <v>188834.89</v>
      </c>
      <c r="D7" s="57">
        <v>194695.42</v>
      </c>
      <c r="E7" s="57">
        <v>141467.18</v>
      </c>
      <c r="F7" s="41"/>
    </row>
    <row r="8" spans="1:6" ht="13" x14ac:dyDescent="0.15">
      <c r="A8" s="19">
        <v>413</v>
      </c>
      <c r="B8" s="58" t="s">
        <v>3</v>
      </c>
      <c r="C8" s="119">
        <v>443637</v>
      </c>
      <c r="D8" s="57">
        <v>380965.63</v>
      </c>
      <c r="E8" s="57">
        <v>384008.9</v>
      </c>
      <c r="F8" s="41"/>
    </row>
    <row r="9" spans="1:6" ht="13" x14ac:dyDescent="0.15">
      <c r="A9" s="44">
        <v>414</v>
      </c>
      <c r="B9" s="37" t="s">
        <v>5</v>
      </c>
      <c r="C9" s="56">
        <v>30069.85</v>
      </c>
      <c r="D9" s="57">
        <v>31498.61</v>
      </c>
      <c r="E9" s="57">
        <v>39455.47</v>
      </c>
      <c r="F9" s="41"/>
    </row>
    <row r="10" spans="1:6" ht="13" x14ac:dyDescent="0.15">
      <c r="A10" s="19">
        <v>415</v>
      </c>
      <c r="B10" s="60" t="s">
        <v>6</v>
      </c>
      <c r="C10" s="56">
        <v>7501.45</v>
      </c>
      <c r="D10" s="57">
        <v>3921.12</v>
      </c>
      <c r="E10" s="57">
        <v>1376.72</v>
      </c>
      <c r="F10" s="41"/>
    </row>
    <row r="11" spans="1:6" ht="13" x14ac:dyDescent="0.15">
      <c r="A11" s="19">
        <v>416</v>
      </c>
      <c r="B11" s="37" t="s">
        <v>7</v>
      </c>
      <c r="C11" s="56">
        <v>6003.36</v>
      </c>
      <c r="D11" s="57">
        <v>5826.48</v>
      </c>
      <c r="E11" s="57">
        <v>5810.4</v>
      </c>
      <c r="F11" s="41"/>
    </row>
    <row r="12" spans="1:6" ht="13" x14ac:dyDescent="0.15">
      <c r="A12" s="19">
        <v>417</v>
      </c>
      <c r="B12" s="37" t="s">
        <v>8</v>
      </c>
      <c r="C12" s="56">
        <v>70945.34</v>
      </c>
      <c r="D12" s="57">
        <v>71271</v>
      </c>
      <c r="E12" s="57">
        <v>73545</v>
      </c>
      <c r="F12" s="41"/>
    </row>
    <row r="13" spans="1:6" ht="13" x14ac:dyDescent="0.15">
      <c r="A13" s="19">
        <v>418</v>
      </c>
      <c r="B13" s="37" t="s">
        <v>55</v>
      </c>
      <c r="C13" s="56">
        <v>55350.74</v>
      </c>
      <c r="D13" s="57">
        <v>68548.259999999995</v>
      </c>
      <c r="E13" s="57">
        <v>113653.57</v>
      </c>
      <c r="F13" s="41"/>
    </row>
    <row r="14" spans="1:6" ht="13" x14ac:dyDescent="0.15">
      <c r="A14" s="19">
        <v>42</v>
      </c>
      <c r="B14" s="47" t="s">
        <v>9</v>
      </c>
      <c r="C14" s="56">
        <v>13320</v>
      </c>
      <c r="D14" s="57">
        <v>4440</v>
      </c>
      <c r="E14" s="57">
        <v>19440</v>
      </c>
      <c r="F14" s="41"/>
    </row>
    <row r="15" spans="1:6" ht="16.5" customHeight="1" x14ac:dyDescent="0.15">
      <c r="A15" s="49">
        <v>43</v>
      </c>
      <c r="B15" s="60" t="s">
        <v>10</v>
      </c>
      <c r="C15" s="71">
        <v>1344122.08</v>
      </c>
      <c r="D15" s="75">
        <v>730551.52</v>
      </c>
      <c r="E15" s="71">
        <v>575489.86</v>
      </c>
      <c r="F15" s="18"/>
    </row>
    <row r="16" spans="1:6" ht="13" x14ac:dyDescent="0.15">
      <c r="A16" s="44" t="s">
        <v>58</v>
      </c>
      <c r="B16" s="45" t="s">
        <v>11</v>
      </c>
      <c r="C16" s="38">
        <v>682135.39</v>
      </c>
      <c r="D16" s="39">
        <v>242428.67</v>
      </c>
      <c r="E16" s="39">
        <v>250829.15</v>
      </c>
      <c r="F16" s="18"/>
    </row>
    <row r="17" spans="1:6" ht="31.5" customHeight="1" x14ac:dyDescent="0.15">
      <c r="A17" s="44" t="s">
        <v>59</v>
      </c>
      <c r="B17" s="45" t="s">
        <v>12</v>
      </c>
      <c r="C17" s="40">
        <v>147438.23000000001</v>
      </c>
      <c r="D17" s="40">
        <v>130627.21</v>
      </c>
      <c r="E17" s="40">
        <v>79418.06</v>
      </c>
      <c r="F17" s="18"/>
    </row>
    <row r="18" spans="1:6" ht="13" x14ac:dyDescent="0.15">
      <c r="A18" s="44" t="s">
        <v>60</v>
      </c>
      <c r="B18" s="74" t="s">
        <v>13</v>
      </c>
      <c r="C18" s="38">
        <v>135677.82999999999</v>
      </c>
      <c r="D18" s="39">
        <v>116542.19</v>
      </c>
      <c r="E18" s="39">
        <v>101169.05</v>
      </c>
      <c r="F18" s="88"/>
    </row>
    <row r="19" spans="1:6" ht="13" x14ac:dyDescent="0.15">
      <c r="A19" s="44" t="s">
        <v>61</v>
      </c>
      <c r="B19" s="74" t="s">
        <v>62</v>
      </c>
      <c r="C19" s="38">
        <v>378870.63</v>
      </c>
      <c r="D19" s="39">
        <v>240953.45</v>
      </c>
      <c r="E19" s="39">
        <v>144073.60000000001</v>
      </c>
      <c r="F19" s="95"/>
    </row>
    <row r="20" spans="1:6" ht="13" x14ac:dyDescent="0.15">
      <c r="A20" s="19">
        <v>44</v>
      </c>
      <c r="B20" s="37" t="s">
        <v>14</v>
      </c>
      <c r="C20" s="56">
        <v>805140.51</v>
      </c>
      <c r="D20" s="57">
        <v>321199.87</v>
      </c>
      <c r="E20" s="57">
        <v>259543.29</v>
      </c>
      <c r="F20" s="18"/>
    </row>
    <row r="21" spans="1:6" ht="13" x14ac:dyDescent="0.15">
      <c r="A21" s="19">
        <v>45</v>
      </c>
      <c r="B21" s="47" t="s">
        <v>63</v>
      </c>
      <c r="C21" s="16"/>
      <c r="D21" s="18"/>
      <c r="E21" s="18"/>
      <c r="F21" s="18"/>
    </row>
    <row r="22" spans="1:6" ht="13" x14ac:dyDescent="0.15">
      <c r="A22" s="19">
        <v>46</v>
      </c>
      <c r="B22" s="20" t="s">
        <v>16</v>
      </c>
      <c r="C22" s="56">
        <v>84593.12</v>
      </c>
      <c r="D22" s="57">
        <v>211857.25</v>
      </c>
      <c r="E22" s="57">
        <v>94737.71</v>
      </c>
      <c r="F22" s="18"/>
    </row>
    <row r="23" spans="1:6" ht="13" x14ac:dyDescent="0.15">
      <c r="A23" s="19">
        <v>47</v>
      </c>
      <c r="B23" s="20" t="s">
        <v>17</v>
      </c>
      <c r="C23" s="56">
        <v>3183.02</v>
      </c>
      <c r="D23" s="57">
        <v>50727.63</v>
      </c>
      <c r="E23" s="57">
        <v>4077.57</v>
      </c>
      <c r="F23" s="18"/>
    </row>
    <row r="24" spans="1:6" ht="13" x14ac:dyDescent="0.15">
      <c r="A24" s="3"/>
      <c r="B24" s="20" t="s">
        <v>18</v>
      </c>
      <c r="C24" s="56">
        <v>4240978.95</v>
      </c>
      <c r="D24" s="57">
        <v>2882264.62</v>
      </c>
      <c r="E24" s="57">
        <v>2503866.7200000002</v>
      </c>
      <c r="F24" s="18"/>
    </row>
    <row r="25" spans="1:6" ht="13" x14ac:dyDescent="0.15">
      <c r="A25" s="3"/>
      <c r="B25" s="103" t="s">
        <v>64</v>
      </c>
      <c r="C25" s="104"/>
      <c r="D25" s="105"/>
      <c r="E25" s="105"/>
      <c r="F25" s="105"/>
    </row>
    <row r="26" spans="1:6" ht="13" x14ac:dyDescent="0.15">
      <c r="A26" s="19">
        <v>71</v>
      </c>
      <c r="B26" s="20" t="s">
        <v>39</v>
      </c>
      <c r="C26" s="57">
        <v>1823998.6</v>
      </c>
      <c r="D26" s="57">
        <v>1734387.22</v>
      </c>
      <c r="E26" s="57">
        <v>1805190.47</v>
      </c>
      <c r="F26" s="15"/>
    </row>
    <row r="27" spans="1:6" ht="13" x14ac:dyDescent="0.15">
      <c r="A27" s="44">
        <v>711</v>
      </c>
      <c r="B27" s="45" t="s">
        <v>40</v>
      </c>
      <c r="C27" s="39">
        <v>741086.11</v>
      </c>
      <c r="D27" s="39">
        <v>741390.22</v>
      </c>
      <c r="E27" s="39">
        <v>759848.22</v>
      </c>
      <c r="F27" s="41"/>
    </row>
    <row r="28" spans="1:6" ht="13" x14ac:dyDescent="0.15">
      <c r="A28" s="44">
        <v>713</v>
      </c>
      <c r="B28" s="45" t="s">
        <v>41</v>
      </c>
      <c r="C28" s="39">
        <v>118959.3</v>
      </c>
      <c r="D28" s="39">
        <v>74821.039999999994</v>
      </c>
      <c r="E28" s="39">
        <v>75066.960000000006</v>
      </c>
      <c r="F28" s="41"/>
    </row>
    <row r="29" spans="1:6" ht="13" x14ac:dyDescent="0.15">
      <c r="A29" s="44">
        <v>714</v>
      </c>
      <c r="B29" s="45" t="s">
        <v>42</v>
      </c>
      <c r="C29" s="39">
        <v>62295.71</v>
      </c>
      <c r="D29" s="39">
        <v>204106.38</v>
      </c>
      <c r="E29" s="39">
        <v>444389.48</v>
      </c>
      <c r="F29" s="41"/>
    </row>
    <row r="30" spans="1:6" ht="13" x14ac:dyDescent="0.15">
      <c r="A30" s="80"/>
      <c r="B30" s="45" t="s">
        <v>66</v>
      </c>
      <c r="C30" s="48">
        <f>22351.97+433135.59+146790.72+38055.88</f>
        <v>640334.16</v>
      </c>
      <c r="D30" s="48">
        <f>314326.84+68902.12+35698.07</f>
        <v>418927.03</v>
      </c>
      <c r="E30" s="48">
        <f>208474.93+47338.24</f>
        <v>255813.16999999998</v>
      </c>
      <c r="F30" s="41"/>
    </row>
    <row r="31" spans="1:6" ht="13" x14ac:dyDescent="0.15">
      <c r="A31" s="44">
        <v>715</v>
      </c>
      <c r="B31" s="45" t="s">
        <v>67</v>
      </c>
      <c r="C31" s="38">
        <v>254884.52</v>
      </c>
      <c r="D31" s="39">
        <v>295142.75</v>
      </c>
      <c r="E31" s="39">
        <v>270072.64</v>
      </c>
      <c r="F31" s="41"/>
    </row>
    <row r="32" spans="1:6" ht="13" x14ac:dyDescent="0.15">
      <c r="A32" s="19">
        <v>72</v>
      </c>
      <c r="B32" s="113" t="s">
        <v>43</v>
      </c>
      <c r="C32" s="56">
        <v>186345.8</v>
      </c>
      <c r="D32" s="57">
        <v>0</v>
      </c>
      <c r="E32" s="18"/>
      <c r="F32" s="48"/>
    </row>
    <row r="33" spans="1:6" ht="18" customHeight="1" x14ac:dyDescent="0.15">
      <c r="A33" s="115">
        <v>73</v>
      </c>
      <c r="B33" s="47" t="s">
        <v>68</v>
      </c>
      <c r="C33" s="71">
        <v>1504415.48</v>
      </c>
      <c r="D33" s="75">
        <v>697854.93</v>
      </c>
      <c r="E33" s="75">
        <v>166079.53</v>
      </c>
      <c r="F33" s="117"/>
    </row>
    <row r="34" spans="1:6" ht="13" x14ac:dyDescent="0.15">
      <c r="A34" s="19">
        <v>74</v>
      </c>
      <c r="B34" s="60" t="s">
        <v>44</v>
      </c>
      <c r="C34" s="56">
        <v>1424074</v>
      </c>
      <c r="D34" s="57">
        <v>616102</v>
      </c>
      <c r="E34" s="57">
        <v>1025923.97</v>
      </c>
      <c r="F34" s="18"/>
    </row>
    <row r="35" spans="1:6" ht="13" x14ac:dyDescent="0.15">
      <c r="A35" s="44">
        <v>741</v>
      </c>
      <c r="B35" s="45" t="s">
        <v>45</v>
      </c>
      <c r="C35" s="38">
        <v>100000</v>
      </c>
      <c r="D35" s="39">
        <v>90000</v>
      </c>
      <c r="E35" s="39">
        <v>147613.34</v>
      </c>
      <c r="F35" s="18"/>
    </row>
    <row r="36" spans="1:6" ht="13" x14ac:dyDescent="0.15">
      <c r="A36" s="44">
        <v>742</v>
      </c>
      <c r="B36" s="45" t="s">
        <v>46</v>
      </c>
      <c r="C36" s="38">
        <v>1324074</v>
      </c>
      <c r="D36" s="39">
        <v>526102</v>
      </c>
      <c r="E36" s="39">
        <v>596449</v>
      </c>
      <c r="F36" s="18"/>
    </row>
    <row r="37" spans="1:6" ht="13" x14ac:dyDescent="0.15">
      <c r="A37" s="80"/>
      <c r="B37" s="45" t="s">
        <v>81</v>
      </c>
      <c r="C37" s="108"/>
      <c r="D37" s="109"/>
      <c r="E37" s="109"/>
      <c r="F37" s="18"/>
    </row>
    <row r="38" spans="1:6" ht="13" x14ac:dyDescent="0.15">
      <c r="A38" s="19">
        <v>751</v>
      </c>
      <c r="B38" s="37" t="s">
        <v>63</v>
      </c>
      <c r="C38" s="16"/>
      <c r="D38" s="18"/>
      <c r="E38" s="18"/>
      <c r="F38" s="18"/>
    </row>
    <row r="39" spans="1:6" ht="13" x14ac:dyDescent="0.15">
      <c r="A39" s="3"/>
      <c r="B39" s="37" t="s">
        <v>82</v>
      </c>
      <c r="C39" s="56">
        <v>4938833.88</v>
      </c>
      <c r="D39" s="57">
        <v>3048344.15</v>
      </c>
      <c r="E39" s="57">
        <v>2997193.97</v>
      </c>
      <c r="F39" s="18"/>
    </row>
    <row r="40" spans="1:6" ht="13" x14ac:dyDescent="0.15">
      <c r="A40" s="3"/>
      <c r="B40" s="103" t="s">
        <v>83</v>
      </c>
      <c r="C40" s="104"/>
      <c r="D40" s="105"/>
      <c r="E40" s="105"/>
      <c r="F40" s="105"/>
    </row>
    <row r="41" spans="1:6" ht="13" x14ac:dyDescent="0.15">
      <c r="A41" s="3"/>
      <c r="B41" s="42" t="s">
        <v>84</v>
      </c>
      <c r="C41" s="66"/>
      <c r="D41" s="48"/>
      <c r="E41" s="48"/>
      <c r="F41" s="48"/>
    </row>
    <row r="42" spans="1:6" ht="13" x14ac:dyDescent="0.15">
      <c r="A42" s="3"/>
      <c r="B42" s="42" t="s">
        <v>49</v>
      </c>
      <c r="C42" s="66"/>
      <c r="D42" s="48"/>
      <c r="E42" s="48"/>
      <c r="F42" s="48"/>
    </row>
    <row r="43" spans="1:6" ht="13" x14ac:dyDescent="0.15">
      <c r="A43" s="3"/>
      <c r="B43" s="42" t="s">
        <v>51</v>
      </c>
      <c r="C43" s="66"/>
      <c r="D43" s="48"/>
      <c r="E43" s="48"/>
      <c r="F43" s="48"/>
    </row>
    <row r="44" spans="1:6" ht="13" x14ac:dyDescent="0.15">
      <c r="A44" s="3"/>
      <c r="B44" s="42" t="s">
        <v>86</v>
      </c>
      <c r="C44" s="66"/>
      <c r="D44" s="48"/>
      <c r="E44" s="48"/>
      <c r="F44" s="48"/>
    </row>
    <row r="45" spans="1:6" ht="13" x14ac:dyDescent="0.15">
      <c r="A45" s="3"/>
      <c r="B45" s="134"/>
      <c r="C45" s="104"/>
      <c r="D45" s="105"/>
      <c r="E45" s="105"/>
      <c r="F45" s="105"/>
    </row>
    <row r="46" spans="1:6" ht="19.5" customHeight="1" x14ac:dyDescent="0.15">
      <c r="B46" s="140"/>
      <c r="C46" s="140"/>
      <c r="D46" s="141"/>
      <c r="E46" s="140"/>
      <c r="F46" s="140"/>
    </row>
    <row r="47" spans="1:6" ht="19.5" customHeight="1" x14ac:dyDescent="0.15">
      <c r="B47" s="148" t="s">
        <v>96</v>
      </c>
      <c r="C47" s="1"/>
      <c r="D47" s="150"/>
      <c r="E47" s="1"/>
    </row>
    <row r="48" spans="1:6" ht="19.5" customHeight="1" x14ac:dyDescent="0.15">
      <c r="A48" s="3"/>
      <c r="B48" s="151" t="s">
        <v>106</v>
      </c>
      <c r="C48" s="114"/>
      <c r="D48" s="139"/>
      <c r="E48" s="158"/>
      <c r="F48" s="8"/>
    </row>
    <row r="49" spans="1:6" ht="24" customHeight="1" x14ac:dyDescent="0.15">
      <c r="A49" s="3"/>
      <c r="B49" s="153" t="s">
        <v>112</v>
      </c>
      <c r="C49" s="159">
        <v>77133.27</v>
      </c>
      <c r="D49" s="159">
        <v>53213.42</v>
      </c>
      <c r="E49" s="161">
        <v>56032.34</v>
      </c>
      <c r="F49" s="8"/>
    </row>
    <row r="50" spans="1:6" ht="24" customHeight="1" x14ac:dyDescent="0.15">
      <c r="A50" s="3"/>
      <c r="B50" s="153" t="s">
        <v>160</v>
      </c>
      <c r="C50" s="159">
        <v>147441.19</v>
      </c>
      <c r="D50" s="159">
        <v>171164.81</v>
      </c>
      <c r="E50" s="161">
        <v>118044.82</v>
      </c>
      <c r="F50" s="8"/>
    </row>
    <row r="51" spans="1:6" ht="24" customHeight="1" x14ac:dyDescent="0.15">
      <c r="A51" s="3"/>
      <c r="B51" s="166" t="s">
        <v>144</v>
      </c>
      <c r="C51" s="159">
        <v>44575.040000000001</v>
      </c>
      <c r="D51" s="159">
        <v>30682.82</v>
      </c>
      <c r="E51" s="161">
        <v>21973.59</v>
      </c>
      <c r="F51" s="8"/>
    </row>
    <row r="52" spans="1:6" ht="24" customHeight="1" x14ac:dyDescent="0.15">
      <c r="A52" s="3"/>
      <c r="B52" s="166" t="s">
        <v>161</v>
      </c>
      <c r="C52" s="159">
        <v>0</v>
      </c>
      <c r="D52" s="159">
        <v>0</v>
      </c>
      <c r="E52" s="161">
        <v>0</v>
      </c>
      <c r="F52" s="8"/>
    </row>
    <row r="53" spans="1:6" ht="24" customHeight="1" x14ac:dyDescent="0.15">
      <c r="A53" s="3"/>
      <c r="B53" s="166" t="s">
        <v>162</v>
      </c>
      <c r="C53" s="159">
        <v>657977</v>
      </c>
      <c r="D53" s="159">
        <v>430334.37</v>
      </c>
      <c r="E53" s="161">
        <v>368299.36</v>
      </c>
      <c r="F53" s="8"/>
    </row>
    <row r="54" spans="1:6" ht="24" customHeight="1" x14ac:dyDescent="0.15">
      <c r="A54" s="3"/>
      <c r="B54" s="166" t="s">
        <v>127</v>
      </c>
      <c r="C54" s="159">
        <v>424878.43</v>
      </c>
      <c r="D54" s="159">
        <v>438545.38</v>
      </c>
      <c r="E54" s="161">
        <v>318974</v>
      </c>
      <c r="F54" s="8"/>
    </row>
    <row r="55" spans="1:6" ht="31.5" customHeight="1" x14ac:dyDescent="0.15">
      <c r="A55" s="3"/>
      <c r="B55" s="153" t="s">
        <v>163</v>
      </c>
      <c r="C55" s="159">
        <v>142207.41</v>
      </c>
      <c r="D55" s="159">
        <v>86648.97</v>
      </c>
      <c r="E55" s="161">
        <v>68368.92</v>
      </c>
      <c r="F55" s="8"/>
    </row>
    <row r="56" spans="1:6" ht="24" customHeight="1" x14ac:dyDescent="0.15">
      <c r="A56" s="3"/>
      <c r="B56" s="166" t="s">
        <v>164</v>
      </c>
      <c r="C56" s="159">
        <v>542677.52</v>
      </c>
      <c r="D56" s="159">
        <v>347998.51</v>
      </c>
      <c r="E56" s="161">
        <v>330387.83</v>
      </c>
      <c r="F56" s="8"/>
    </row>
    <row r="57" spans="1:6" ht="24" customHeight="1" x14ac:dyDescent="0.15">
      <c r="A57" s="3"/>
      <c r="B57" s="166" t="s">
        <v>165</v>
      </c>
      <c r="C57" s="159">
        <v>149323.93</v>
      </c>
      <c r="D57" s="159">
        <v>83269.75</v>
      </c>
      <c r="E57" s="161">
        <v>112980.81</v>
      </c>
      <c r="F57" s="8"/>
    </row>
    <row r="58" spans="1:6" ht="24" customHeight="1" x14ac:dyDescent="0.15">
      <c r="A58" s="3"/>
      <c r="B58" s="166" t="s">
        <v>138</v>
      </c>
      <c r="C58" s="159">
        <v>299436.39</v>
      </c>
      <c r="D58" s="159">
        <v>240198.64</v>
      </c>
      <c r="E58" s="161">
        <v>251054.51</v>
      </c>
      <c r="F58" s="8"/>
    </row>
    <row r="59" spans="1:6" ht="24" customHeight="1" x14ac:dyDescent="0.15">
      <c r="A59" s="3"/>
      <c r="B59" s="166" t="s">
        <v>136</v>
      </c>
      <c r="C59" s="159">
        <v>95255.039999999994</v>
      </c>
      <c r="D59" s="159">
        <v>53382.49</v>
      </c>
      <c r="E59" s="161">
        <v>54939.040000000001</v>
      </c>
      <c r="F59" s="8"/>
    </row>
    <row r="60" spans="1:6" ht="24" customHeight="1" x14ac:dyDescent="0.15">
      <c r="A60" s="3"/>
      <c r="B60" s="166" t="s">
        <v>167</v>
      </c>
      <c r="C60" s="159">
        <v>262174.51</v>
      </c>
      <c r="D60" s="159">
        <v>161553.63</v>
      </c>
      <c r="E60" s="161">
        <v>168530.72</v>
      </c>
      <c r="F60" s="8"/>
    </row>
    <row r="61" spans="1:6" ht="24" customHeight="1" x14ac:dyDescent="0.15">
      <c r="A61" s="3"/>
      <c r="B61" s="166" t="s">
        <v>108</v>
      </c>
      <c r="C61" s="159">
        <v>200776.48</v>
      </c>
      <c r="D61" s="159">
        <v>203171.24</v>
      </c>
      <c r="E61" s="161">
        <v>171203.67</v>
      </c>
      <c r="F61" s="8"/>
    </row>
    <row r="62" spans="1:6" ht="24" customHeight="1" x14ac:dyDescent="0.15">
      <c r="A62" s="3"/>
      <c r="B62" s="166" t="s">
        <v>168</v>
      </c>
      <c r="C62" s="159">
        <v>49119.07</v>
      </c>
      <c r="D62" s="159">
        <v>39647.879999999997</v>
      </c>
      <c r="E62" s="161">
        <v>42576.57</v>
      </c>
      <c r="F62" s="8"/>
    </row>
    <row r="63" spans="1:6" ht="24" customHeight="1" x14ac:dyDescent="0.15">
      <c r="A63" s="3"/>
      <c r="B63" s="166" t="s">
        <v>169</v>
      </c>
      <c r="C63" s="159">
        <v>81750.259999999995</v>
      </c>
      <c r="D63" s="159">
        <v>53153.63</v>
      </c>
      <c r="E63" s="161">
        <v>16537.849999999999</v>
      </c>
      <c r="F63" s="8"/>
    </row>
    <row r="64" spans="1:6" ht="24" customHeight="1" x14ac:dyDescent="0.15">
      <c r="A64" s="3"/>
      <c r="B64" s="166" t="s">
        <v>170</v>
      </c>
      <c r="C64" s="159">
        <v>38535.050000000003</v>
      </c>
      <c r="D64" s="159">
        <v>24924.22</v>
      </c>
      <c r="E64" s="161">
        <v>10710.15</v>
      </c>
      <c r="F64" s="8"/>
    </row>
    <row r="65" spans="1:6" ht="24" customHeight="1" x14ac:dyDescent="0.15">
      <c r="A65" s="3"/>
      <c r="B65" s="166" t="s">
        <v>171</v>
      </c>
      <c r="C65" s="159" t="s">
        <v>173</v>
      </c>
      <c r="D65" s="159">
        <v>32341.63</v>
      </c>
      <c r="E65" s="161">
        <v>36660.79</v>
      </c>
      <c r="F65" s="8"/>
    </row>
    <row r="66" spans="1:6" ht="24" customHeight="1" x14ac:dyDescent="0.15">
      <c r="A66" s="3"/>
      <c r="B66" s="166" t="s">
        <v>176</v>
      </c>
      <c r="C66" s="159">
        <v>685331.99</v>
      </c>
      <c r="D66" s="159">
        <v>259431.9</v>
      </c>
      <c r="E66" s="161">
        <v>249178.94</v>
      </c>
      <c r="F66" s="8"/>
    </row>
    <row r="67" spans="1:6" ht="24" customHeight="1" x14ac:dyDescent="0.15">
      <c r="A67" s="3"/>
      <c r="B67" s="166" t="s">
        <v>177</v>
      </c>
      <c r="C67" s="159">
        <v>261647.2</v>
      </c>
      <c r="D67" s="159">
        <v>155458.19</v>
      </c>
      <c r="E67" s="161">
        <v>60903.5</v>
      </c>
      <c r="F67" s="8"/>
    </row>
    <row r="68" spans="1:6" ht="19.5" customHeight="1" x14ac:dyDescent="0.15">
      <c r="A68" s="3"/>
      <c r="B68" s="169"/>
      <c r="C68" s="167"/>
      <c r="D68" s="167"/>
      <c r="E68" s="198"/>
      <c r="F68" s="8"/>
    </row>
    <row r="69" spans="1:6" ht="19.5" customHeight="1" x14ac:dyDescent="0.15">
      <c r="A69" s="3"/>
      <c r="B69" s="151" t="s">
        <v>142</v>
      </c>
      <c r="C69" s="206">
        <v>4240978.95</v>
      </c>
      <c r="D69" s="206">
        <v>2882264.62</v>
      </c>
      <c r="E69" s="206">
        <v>2503866.7200000002</v>
      </c>
      <c r="F69" s="8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6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5" width="16.83203125" customWidth="1"/>
    <col min="6" max="6" width="15.5" customWidth="1"/>
  </cols>
  <sheetData>
    <row r="1" spans="1:6" ht="27.75" customHeight="1" x14ac:dyDescent="0.15">
      <c r="B1" s="1"/>
      <c r="C1" s="1"/>
      <c r="D1" s="1"/>
      <c r="E1" s="1"/>
    </row>
    <row r="2" spans="1:6" ht="13" x14ac:dyDescent="0.15">
      <c r="A2" s="3"/>
      <c r="B2" s="4" t="s">
        <v>21</v>
      </c>
      <c r="C2" s="4">
        <v>2009</v>
      </c>
      <c r="D2" s="7">
        <v>2010</v>
      </c>
      <c r="E2" s="7">
        <v>2011</v>
      </c>
      <c r="F2" s="8"/>
    </row>
    <row r="3" spans="1:6" ht="13" x14ac:dyDescent="0.15">
      <c r="A3" s="3"/>
      <c r="B3" s="9" t="s">
        <v>22</v>
      </c>
      <c r="C3" s="50"/>
      <c r="D3" s="51"/>
      <c r="E3" s="52"/>
    </row>
    <row r="4" spans="1:6" ht="13" x14ac:dyDescent="0.15">
      <c r="A4" s="3"/>
      <c r="B4" s="15"/>
      <c r="C4" s="53"/>
      <c r="D4" s="53"/>
      <c r="E4" s="16"/>
      <c r="F4" s="8"/>
    </row>
    <row r="5" spans="1:6" ht="13" x14ac:dyDescent="0.15">
      <c r="A5" s="19">
        <v>41</v>
      </c>
      <c r="B5" s="20" t="s">
        <v>0</v>
      </c>
      <c r="C5" s="54">
        <f t="shared" ref="C5:E5" si="0">SUM(C6:C13)</f>
        <v>6419943.3599999994</v>
      </c>
      <c r="D5" s="54">
        <f t="shared" si="0"/>
        <v>5505729.3800000008</v>
      </c>
      <c r="E5" s="24">
        <f t="shared" si="0"/>
        <v>4458448.34</v>
      </c>
      <c r="F5" s="8"/>
    </row>
    <row r="6" spans="1:6" ht="13" x14ac:dyDescent="0.15">
      <c r="A6" s="19">
        <v>411</v>
      </c>
      <c r="B6" s="36" t="s">
        <v>38</v>
      </c>
      <c r="C6" s="43">
        <v>2750572.68</v>
      </c>
      <c r="D6" s="40">
        <v>2495054.27</v>
      </c>
      <c r="E6" s="38">
        <v>2053328.89</v>
      </c>
      <c r="F6" s="8"/>
    </row>
    <row r="7" spans="1:6" ht="13" x14ac:dyDescent="0.15">
      <c r="A7" s="19">
        <v>412</v>
      </c>
      <c r="B7" s="42" t="s">
        <v>54</v>
      </c>
      <c r="C7" s="43">
        <v>309860.69</v>
      </c>
      <c r="D7" s="40">
        <v>295479.21999999997</v>
      </c>
      <c r="E7" s="38">
        <v>175631.46</v>
      </c>
      <c r="F7" s="8"/>
    </row>
    <row r="8" spans="1:6" ht="13" x14ac:dyDescent="0.15">
      <c r="A8" s="19">
        <v>413</v>
      </c>
      <c r="B8" s="42" t="s">
        <v>3</v>
      </c>
      <c r="C8" s="61">
        <v>1304631.43</v>
      </c>
      <c r="D8" s="40">
        <v>1056776.04</v>
      </c>
      <c r="E8" s="38">
        <v>914106.09</v>
      </c>
      <c r="F8" s="8"/>
    </row>
    <row r="9" spans="1:6" ht="13" x14ac:dyDescent="0.15">
      <c r="A9" s="44">
        <v>414</v>
      </c>
      <c r="B9" s="36" t="s">
        <v>5</v>
      </c>
      <c r="C9" s="43">
        <v>2054878.56</v>
      </c>
      <c r="D9" s="40">
        <v>1658419.85</v>
      </c>
      <c r="E9" s="38">
        <v>1315381.8999999999</v>
      </c>
      <c r="F9" s="8"/>
    </row>
    <row r="10" spans="1:6" ht="13" x14ac:dyDescent="0.15">
      <c r="A10" s="19">
        <v>415</v>
      </c>
      <c r="B10" s="45" t="s">
        <v>6</v>
      </c>
      <c r="C10" s="64"/>
      <c r="D10" s="65"/>
      <c r="E10" s="66"/>
      <c r="F10" s="8"/>
    </row>
    <row r="11" spans="1:6" ht="13" x14ac:dyDescent="0.15">
      <c r="A11" s="19">
        <v>416</v>
      </c>
      <c r="B11" s="36" t="s">
        <v>7</v>
      </c>
      <c r="C11" s="46"/>
      <c r="D11" s="67"/>
      <c r="E11" s="66"/>
      <c r="F11" s="8"/>
    </row>
    <row r="12" spans="1:6" ht="13" x14ac:dyDescent="0.15">
      <c r="A12" s="19">
        <v>417</v>
      </c>
      <c r="B12" s="36" t="s">
        <v>8</v>
      </c>
      <c r="C12" s="46"/>
      <c r="D12" s="67"/>
      <c r="E12" s="66"/>
      <c r="F12" s="8"/>
    </row>
    <row r="13" spans="1:6" ht="13" x14ac:dyDescent="0.15">
      <c r="A13" s="19">
        <v>418</v>
      </c>
      <c r="B13" s="36" t="s">
        <v>55</v>
      </c>
      <c r="C13" s="46"/>
      <c r="D13" s="67"/>
      <c r="E13" s="66"/>
      <c r="F13" s="8"/>
    </row>
    <row r="14" spans="1:6" ht="13" x14ac:dyDescent="0.15">
      <c r="A14" s="19">
        <v>42</v>
      </c>
      <c r="B14" s="47" t="s">
        <v>9</v>
      </c>
      <c r="C14" s="68"/>
      <c r="D14" s="116"/>
      <c r="E14" s="83"/>
      <c r="F14" s="8"/>
    </row>
    <row r="15" spans="1:6" ht="16.5" customHeight="1" x14ac:dyDescent="0.15">
      <c r="A15" s="49">
        <v>43</v>
      </c>
      <c r="B15" s="60" t="s">
        <v>10</v>
      </c>
      <c r="C15" s="131">
        <v>1202499.08</v>
      </c>
      <c r="D15" s="131">
        <v>840604.93</v>
      </c>
      <c r="E15" s="71">
        <v>805351.79</v>
      </c>
      <c r="F15" s="8"/>
    </row>
    <row r="16" spans="1:6" ht="13" x14ac:dyDescent="0.15">
      <c r="A16" s="44" t="s">
        <v>58</v>
      </c>
      <c r="B16" s="45" t="s">
        <v>11</v>
      </c>
      <c r="C16" s="64">
        <f>93000+493463.38</f>
        <v>586463.38</v>
      </c>
      <c r="D16" s="64">
        <f>8832+387244.37</f>
        <v>396076.37</v>
      </c>
      <c r="E16" s="67">
        <f>8808+363451.77</f>
        <v>372259.77</v>
      </c>
      <c r="F16" s="8"/>
    </row>
    <row r="17" spans="1:6" ht="31.5" customHeight="1" x14ac:dyDescent="0.15">
      <c r="A17" s="44" t="s">
        <v>59</v>
      </c>
      <c r="B17" s="45" t="s">
        <v>12</v>
      </c>
      <c r="C17" s="64">
        <f>94170.72+170191.11</f>
        <v>264361.82999999996</v>
      </c>
      <c r="D17" s="177">
        <f>96715.55+62137.16</f>
        <v>158852.71000000002</v>
      </c>
      <c r="E17" s="67">
        <f>82312.16+57396.42</f>
        <v>139708.58000000002</v>
      </c>
      <c r="F17" s="8"/>
    </row>
    <row r="18" spans="1:6" ht="13" x14ac:dyDescent="0.15">
      <c r="A18" s="44" t="s">
        <v>60</v>
      </c>
      <c r="B18" s="74" t="s">
        <v>13</v>
      </c>
      <c r="C18" s="46">
        <f>22947.63+106413.91+38205+28936.36</f>
        <v>196502.90000000002</v>
      </c>
      <c r="D18" s="46">
        <f>12274+70506.34+30385+20498</f>
        <v>133663.34</v>
      </c>
      <c r="E18" s="46">
        <f>10983+149559.12+27645+8826</f>
        <v>197013.12</v>
      </c>
      <c r="F18" s="8"/>
    </row>
    <row r="19" spans="1:6" ht="13" x14ac:dyDescent="0.15">
      <c r="A19" s="44" t="s">
        <v>61</v>
      </c>
      <c r="B19" s="74" t="s">
        <v>62</v>
      </c>
      <c r="C19" s="43">
        <v>155170.97</v>
      </c>
      <c r="D19" s="43">
        <v>152012.51</v>
      </c>
      <c r="E19" s="43">
        <v>96370.32</v>
      </c>
      <c r="F19" s="8"/>
    </row>
    <row r="20" spans="1:6" ht="13" x14ac:dyDescent="0.15">
      <c r="A20" s="19">
        <v>44</v>
      </c>
      <c r="B20" s="37" t="s">
        <v>14</v>
      </c>
      <c r="C20" s="75">
        <v>1652084.97</v>
      </c>
      <c r="D20" s="71">
        <v>1768958.34</v>
      </c>
      <c r="E20" s="56">
        <v>350842.37</v>
      </c>
      <c r="F20" s="8"/>
    </row>
    <row r="21" spans="1:6" ht="13" x14ac:dyDescent="0.15">
      <c r="A21" s="19">
        <v>45</v>
      </c>
      <c r="B21" s="47" t="s">
        <v>63</v>
      </c>
      <c r="C21" s="68"/>
      <c r="D21" s="204">
        <v>234630.28</v>
      </c>
      <c r="E21" s="56">
        <v>943728.89</v>
      </c>
      <c r="F21" s="8"/>
    </row>
    <row r="22" spans="1:6" ht="13" x14ac:dyDescent="0.15">
      <c r="A22" s="19">
        <v>46</v>
      </c>
      <c r="B22" s="20" t="s">
        <v>16</v>
      </c>
      <c r="C22" s="75">
        <v>764051.85</v>
      </c>
      <c r="D22" s="71">
        <v>2326350.96</v>
      </c>
      <c r="E22" s="56">
        <v>3396057.27</v>
      </c>
      <c r="F22" s="8"/>
    </row>
    <row r="23" spans="1:6" ht="13" x14ac:dyDescent="0.15">
      <c r="A23" s="19">
        <v>47</v>
      </c>
      <c r="B23" s="20" t="s">
        <v>17</v>
      </c>
      <c r="C23" s="109">
        <f>96224.33+92095.57</f>
        <v>188319.90000000002</v>
      </c>
      <c r="D23" s="108">
        <f>70703.52+19605.96</f>
        <v>90309.48000000001</v>
      </c>
      <c r="E23" s="16">
        <f>49069.96+5776</f>
        <v>54845.96</v>
      </c>
      <c r="F23" s="8"/>
    </row>
    <row r="24" spans="1:6" ht="13" x14ac:dyDescent="0.15">
      <c r="A24" s="3"/>
      <c r="B24" s="20" t="s">
        <v>18</v>
      </c>
      <c r="C24" s="75">
        <v>10226899.16</v>
      </c>
      <c r="D24" s="71">
        <v>10766583.369999999</v>
      </c>
      <c r="E24" s="56">
        <v>10009274.619999999</v>
      </c>
      <c r="F24" s="8"/>
    </row>
    <row r="25" spans="1:6" ht="13" x14ac:dyDescent="0.15">
      <c r="A25" s="3"/>
      <c r="B25" s="103" t="s">
        <v>64</v>
      </c>
      <c r="C25" s="217"/>
      <c r="D25" s="217"/>
      <c r="E25" s="104"/>
      <c r="F25" s="8"/>
    </row>
    <row r="26" spans="1:6" ht="13" x14ac:dyDescent="0.15">
      <c r="A26" s="19">
        <v>71</v>
      </c>
      <c r="B26" s="20" t="s">
        <v>39</v>
      </c>
      <c r="C26" s="219">
        <f t="shared" ref="C26:E26" si="1">SUM(C27:C31)</f>
        <v>10357467.420000002</v>
      </c>
      <c r="D26" s="219">
        <f t="shared" si="1"/>
        <v>9284135.5</v>
      </c>
      <c r="E26" s="30">
        <f t="shared" si="1"/>
        <v>8730019.7300000004</v>
      </c>
      <c r="F26" s="8"/>
    </row>
    <row r="27" spans="1:6" ht="13" x14ac:dyDescent="0.15">
      <c r="A27" s="44">
        <v>711</v>
      </c>
      <c r="B27" s="45" t="s">
        <v>40</v>
      </c>
      <c r="C27" s="236">
        <v>5509373.96</v>
      </c>
      <c r="D27" s="236">
        <v>4945291.9000000004</v>
      </c>
      <c r="E27" s="39">
        <v>5552597.5499999998</v>
      </c>
      <c r="F27" s="8"/>
    </row>
    <row r="28" spans="1:6" ht="13" x14ac:dyDescent="0.15">
      <c r="A28" s="44">
        <v>713</v>
      </c>
      <c r="B28" s="45" t="s">
        <v>41</v>
      </c>
      <c r="C28" s="236">
        <v>437578.23999999999</v>
      </c>
      <c r="D28" s="236">
        <v>419166.65</v>
      </c>
      <c r="E28" s="39">
        <v>424827.4</v>
      </c>
      <c r="F28" s="8"/>
    </row>
    <row r="29" spans="1:6" ht="13" x14ac:dyDescent="0.15">
      <c r="A29" s="44">
        <v>714</v>
      </c>
      <c r="B29" s="45" t="s">
        <v>42</v>
      </c>
      <c r="C29" s="64"/>
      <c r="D29" s="64"/>
      <c r="E29" s="48"/>
      <c r="F29" s="8"/>
    </row>
    <row r="30" spans="1:6" ht="13" x14ac:dyDescent="0.15">
      <c r="A30" s="80"/>
      <c r="B30" s="45" t="s">
        <v>66</v>
      </c>
      <c r="C30" s="236">
        <v>3053677.51</v>
      </c>
      <c r="D30" s="236">
        <v>2758259.93</v>
      </c>
      <c r="E30" s="39">
        <v>1552702.28</v>
      </c>
      <c r="F30" s="8"/>
    </row>
    <row r="31" spans="1:6" ht="13" x14ac:dyDescent="0.15">
      <c r="A31" s="44">
        <v>715</v>
      </c>
      <c r="B31" s="45" t="s">
        <v>67</v>
      </c>
      <c r="C31" s="236">
        <v>1356837.71</v>
      </c>
      <c r="D31" s="236">
        <v>1161417.02</v>
      </c>
      <c r="E31" s="38">
        <v>1199892.5</v>
      </c>
      <c r="F31" s="8"/>
    </row>
    <row r="32" spans="1:6" ht="13" x14ac:dyDescent="0.15">
      <c r="A32" s="19">
        <v>72</v>
      </c>
      <c r="B32" s="113" t="s">
        <v>43</v>
      </c>
      <c r="C32" s="138"/>
      <c r="D32" s="138"/>
      <c r="E32" s="83"/>
      <c r="F32" s="8"/>
    </row>
    <row r="33" spans="1:6" ht="18" customHeight="1" x14ac:dyDescent="0.15">
      <c r="A33" s="115">
        <v>73</v>
      </c>
      <c r="B33" s="47" t="s">
        <v>68</v>
      </c>
      <c r="C33" s="68"/>
      <c r="D33" s="68"/>
      <c r="E33" s="154"/>
      <c r="F33" s="8"/>
    </row>
    <row r="34" spans="1:6" ht="13" x14ac:dyDescent="0.15">
      <c r="A34" s="19">
        <v>74</v>
      </c>
      <c r="B34" s="60" t="s">
        <v>44</v>
      </c>
      <c r="C34" s="131">
        <v>86857</v>
      </c>
      <c r="D34" s="68"/>
      <c r="E34" s="108"/>
      <c r="F34" s="8"/>
    </row>
    <row r="35" spans="1:6" ht="13" x14ac:dyDescent="0.15">
      <c r="A35" s="44">
        <v>741</v>
      </c>
      <c r="B35" s="45" t="s">
        <v>45</v>
      </c>
      <c r="C35" s="64"/>
      <c r="D35" s="64"/>
      <c r="E35" s="108"/>
      <c r="F35" s="8"/>
    </row>
    <row r="36" spans="1:6" ht="13" x14ac:dyDescent="0.15">
      <c r="A36" s="44">
        <v>742</v>
      </c>
      <c r="B36" s="45" t="s">
        <v>46</v>
      </c>
      <c r="C36" s="64"/>
      <c r="D36" s="64"/>
      <c r="E36" s="108"/>
      <c r="F36" s="8"/>
    </row>
    <row r="37" spans="1:6" ht="13" x14ac:dyDescent="0.15">
      <c r="A37" s="80"/>
      <c r="B37" s="45" t="s">
        <v>81</v>
      </c>
      <c r="C37" s="238" t="s">
        <v>322</v>
      </c>
      <c r="D37" s="64"/>
      <c r="E37" s="108"/>
      <c r="F37" s="8"/>
    </row>
    <row r="38" spans="1:6" ht="13" x14ac:dyDescent="0.15">
      <c r="A38" s="19">
        <v>751</v>
      </c>
      <c r="B38" s="37" t="s">
        <v>63</v>
      </c>
      <c r="C38" s="109"/>
      <c r="D38" s="75">
        <v>1655000</v>
      </c>
      <c r="E38" s="56">
        <v>1485000</v>
      </c>
      <c r="F38" s="8"/>
    </row>
    <row r="39" spans="1:6" ht="13" x14ac:dyDescent="0.15">
      <c r="A39" s="3"/>
      <c r="B39" s="37" t="s">
        <v>82</v>
      </c>
      <c r="C39" s="75">
        <v>10444324.42</v>
      </c>
      <c r="D39" s="75">
        <v>10939135.5</v>
      </c>
      <c r="E39" s="56">
        <v>10215019.73</v>
      </c>
      <c r="F39" s="8"/>
    </row>
    <row r="40" spans="1:6" ht="13" x14ac:dyDescent="0.15">
      <c r="A40" s="3"/>
      <c r="B40" s="103" t="s">
        <v>83</v>
      </c>
      <c r="C40" s="217"/>
      <c r="D40" s="217"/>
      <c r="E40" s="104"/>
      <c r="F40" s="8"/>
    </row>
    <row r="41" spans="1:6" ht="13" x14ac:dyDescent="0.15">
      <c r="A41" s="3"/>
      <c r="B41" s="42" t="s">
        <v>84</v>
      </c>
      <c r="C41" s="240"/>
      <c r="D41" s="240"/>
      <c r="E41" s="66"/>
      <c r="F41" s="8"/>
    </row>
    <row r="42" spans="1:6" ht="13" x14ac:dyDescent="0.15">
      <c r="A42" s="3"/>
      <c r="B42" s="42" t="s">
        <v>49</v>
      </c>
      <c r="C42" s="240"/>
      <c r="D42" s="240"/>
      <c r="E42" s="66"/>
      <c r="F42" s="8"/>
    </row>
    <row r="43" spans="1:6" ht="13" x14ac:dyDescent="0.15">
      <c r="A43" s="3"/>
      <c r="B43" s="42" t="s">
        <v>51</v>
      </c>
      <c r="C43" s="240"/>
      <c r="D43" s="240"/>
      <c r="E43" s="66"/>
      <c r="F43" s="8"/>
    </row>
    <row r="44" spans="1:6" ht="13" x14ac:dyDescent="0.15">
      <c r="A44" s="3"/>
      <c r="B44" s="42" t="s">
        <v>86</v>
      </c>
      <c r="C44" s="240"/>
      <c r="D44" s="240"/>
      <c r="E44" s="66"/>
      <c r="F44" s="8"/>
    </row>
    <row r="45" spans="1:6" ht="13" x14ac:dyDescent="0.15">
      <c r="A45" s="3"/>
      <c r="B45" s="134"/>
      <c r="C45" s="244"/>
      <c r="D45" s="244"/>
      <c r="E45" s="104"/>
      <c r="F45" s="8"/>
    </row>
    <row r="46" spans="1:6" ht="20.25" customHeight="1" x14ac:dyDescent="0.15">
      <c r="B46" s="140"/>
      <c r="C46" s="140"/>
      <c r="D46" s="140"/>
      <c r="E46" s="140"/>
    </row>
    <row r="47" spans="1:6" ht="19.5" customHeight="1" x14ac:dyDescent="0.15">
      <c r="B47" s="148" t="s">
        <v>96</v>
      </c>
      <c r="C47" s="1"/>
      <c r="D47" s="1"/>
      <c r="E47" s="1"/>
    </row>
    <row r="48" spans="1:6" ht="19.5" customHeight="1" x14ac:dyDescent="0.15">
      <c r="A48" s="3"/>
      <c r="B48" s="193" t="s">
        <v>106</v>
      </c>
      <c r="C48" s="159">
        <v>8641177.6899999995</v>
      </c>
      <c r="D48" s="159">
        <v>9059252.9900000002</v>
      </c>
      <c r="E48" s="159">
        <v>9690497.4100000001</v>
      </c>
      <c r="F48" s="8"/>
    </row>
    <row r="49" spans="1:6" ht="24" customHeight="1" x14ac:dyDescent="0.15">
      <c r="A49" s="3"/>
      <c r="B49" s="153" t="s">
        <v>114</v>
      </c>
      <c r="C49" s="224">
        <v>251480.51</v>
      </c>
      <c r="D49" s="224">
        <v>203546.85</v>
      </c>
      <c r="E49" s="159">
        <v>176152.57</v>
      </c>
      <c r="F49" s="8"/>
    </row>
    <row r="50" spans="1:6" ht="24" customHeight="1" x14ac:dyDescent="0.15">
      <c r="A50" s="3"/>
      <c r="B50" s="153" t="s">
        <v>331</v>
      </c>
      <c r="C50" s="224">
        <v>331831.44</v>
      </c>
      <c r="D50" s="224">
        <v>304147.23</v>
      </c>
      <c r="E50" s="159">
        <v>211151.99</v>
      </c>
      <c r="F50" s="8"/>
    </row>
    <row r="51" spans="1:6" ht="24" customHeight="1" x14ac:dyDescent="0.15">
      <c r="A51" s="3"/>
      <c r="B51" s="166" t="s">
        <v>247</v>
      </c>
      <c r="C51" s="159">
        <v>48541.85</v>
      </c>
      <c r="D51" s="159">
        <v>231182.27</v>
      </c>
      <c r="E51" s="159">
        <v>149779.73000000001</v>
      </c>
      <c r="F51" s="8"/>
    </row>
    <row r="52" spans="1:6" ht="24" customHeight="1" x14ac:dyDescent="0.15">
      <c r="A52" s="3"/>
      <c r="B52" s="166" t="s">
        <v>213</v>
      </c>
      <c r="C52" s="159">
        <v>157296.42000000001</v>
      </c>
      <c r="D52" s="159">
        <v>161743.22</v>
      </c>
      <c r="E52" s="159">
        <v>132998.31</v>
      </c>
      <c r="F52" s="8"/>
    </row>
    <row r="53" spans="1:6" ht="24" customHeight="1" x14ac:dyDescent="0.15">
      <c r="A53" s="3"/>
      <c r="B53" s="166" t="s">
        <v>136</v>
      </c>
      <c r="C53" s="159">
        <v>220522.25</v>
      </c>
      <c r="D53" s="159">
        <v>146785.32</v>
      </c>
      <c r="E53" s="159">
        <v>94958.77</v>
      </c>
      <c r="F53" s="8"/>
    </row>
    <row r="54" spans="1:6" ht="24" customHeight="1" x14ac:dyDescent="0.15">
      <c r="A54" s="3"/>
      <c r="B54" s="153" t="s">
        <v>332</v>
      </c>
      <c r="C54" s="224">
        <v>2137773.5499999998</v>
      </c>
      <c r="D54" s="224">
        <v>1738171.94</v>
      </c>
      <c r="E54" s="159">
        <v>1310889.1399999999</v>
      </c>
      <c r="F54" s="8"/>
    </row>
    <row r="55" spans="1:6" ht="24" customHeight="1" x14ac:dyDescent="0.15">
      <c r="A55" s="3"/>
      <c r="B55" s="153" t="s">
        <v>333</v>
      </c>
      <c r="C55" s="224">
        <v>197114.48</v>
      </c>
      <c r="D55" s="224">
        <v>204490.69</v>
      </c>
      <c r="E55" s="159">
        <v>161009.14000000001</v>
      </c>
      <c r="F55" s="8"/>
    </row>
    <row r="56" spans="1:6" ht="24" customHeight="1" x14ac:dyDescent="0.15">
      <c r="A56" s="3"/>
      <c r="B56" s="153" t="s">
        <v>149</v>
      </c>
      <c r="C56" s="247"/>
      <c r="D56" s="224">
        <v>2936865.59</v>
      </c>
      <c r="E56" s="159">
        <v>4658169.72</v>
      </c>
      <c r="F56" s="8"/>
    </row>
    <row r="57" spans="1:6" ht="24" customHeight="1" x14ac:dyDescent="0.15">
      <c r="A57" s="3"/>
      <c r="B57" s="153" t="s">
        <v>334</v>
      </c>
      <c r="C57" s="159">
        <v>95457.26</v>
      </c>
      <c r="D57" s="247"/>
      <c r="E57" s="167"/>
      <c r="F57" s="8"/>
    </row>
    <row r="58" spans="1:6" ht="24" customHeight="1" x14ac:dyDescent="0.15">
      <c r="A58" s="3"/>
      <c r="B58" s="166" t="s">
        <v>211</v>
      </c>
      <c r="C58" s="159">
        <v>1269800.03</v>
      </c>
      <c r="D58" s="167"/>
      <c r="E58" s="249"/>
      <c r="F58" s="8"/>
    </row>
    <row r="59" spans="1:6" ht="24" customHeight="1" x14ac:dyDescent="0.15">
      <c r="A59" s="3"/>
      <c r="B59" s="166" t="s">
        <v>134</v>
      </c>
      <c r="C59" s="159">
        <v>72810.720000000001</v>
      </c>
      <c r="D59" s="159">
        <v>63711.96</v>
      </c>
      <c r="E59" s="159">
        <v>50904.03</v>
      </c>
      <c r="F59" s="8"/>
    </row>
    <row r="60" spans="1:6" ht="24" customHeight="1" x14ac:dyDescent="0.15">
      <c r="A60" s="3"/>
      <c r="B60" s="166" t="s">
        <v>335</v>
      </c>
      <c r="C60" s="159">
        <v>919880.18</v>
      </c>
      <c r="D60" s="167"/>
      <c r="E60" s="167"/>
      <c r="F60" s="8"/>
    </row>
    <row r="61" spans="1:6" ht="24" customHeight="1" x14ac:dyDescent="0.15">
      <c r="A61" s="3"/>
      <c r="B61" s="166" t="s">
        <v>336</v>
      </c>
      <c r="C61" s="167"/>
      <c r="D61" s="159">
        <v>1674276.9</v>
      </c>
      <c r="E61" s="159">
        <v>1561374.35</v>
      </c>
      <c r="F61" s="8"/>
    </row>
    <row r="62" spans="1:6" ht="24" customHeight="1" x14ac:dyDescent="0.15">
      <c r="A62" s="3"/>
      <c r="B62" s="226" t="s">
        <v>337</v>
      </c>
      <c r="C62" s="192" t="s">
        <v>338</v>
      </c>
      <c r="D62" s="167"/>
      <c r="E62" s="167"/>
      <c r="F62" s="8"/>
    </row>
    <row r="63" spans="1:6" ht="24" customHeight="1" x14ac:dyDescent="0.15">
      <c r="A63" s="3"/>
      <c r="B63" s="166" t="s">
        <v>248</v>
      </c>
      <c r="C63" s="159">
        <v>189104.72</v>
      </c>
      <c r="D63" s="167"/>
      <c r="E63" s="167"/>
      <c r="F63" s="8"/>
    </row>
    <row r="64" spans="1:6" ht="24" customHeight="1" x14ac:dyDescent="0.15">
      <c r="A64" s="3"/>
      <c r="B64" s="166" t="s">
        <v>339</v>
      </c>
      <c r="C64" s="159">
        <v>39011.49</v>
      </c>
      <c r="D64" s="159">
        <v>37190.519999999997</v>
      </c>
      <c r="E64" s="159">
        <v>29084.31</v>
      </c>
      <c r="F64" s="8"/>
    </row>
    <row r="65" spans="1:6" ht="24" customHeight="1" x14ac:dyDescent="0.15">
      <c r="A65" s="3"/>
      <c r="B65" s="166" t="s">
        <v>121</v>
      </c>
      <c r="C65" s="159">
        <v>446616.02</v>
      </c>
      <c r="D65" s="159">
        <v>396083.9</v>
      </c>
      <c r="E65" s="159">
        <v>319981.61</v>
      </c>
      <c r="F65" s="8"/>
    </row>
    <row r="66" spans="1:6" ht="24" customHeight="1" x14ac:dyDescent="0.15">
      <c r="A66" s="3"/>
      <c r="B66" s="166" t="s">
        <v>340</v>
      </c>
      <c r="C66" s="159">
        <v>52036.05</v>
      </c>
      <c r="D66" s="159">
        <v>53120.13</v>
      </c>
      <c r="E66" s="159">
        <v>56943.63</v>
      </c>
      <c r="F66" s="8"/>
    </row>
    <row r="67" spans="1:6" ht="24" customHeight="1" x14ac:dyDescent="0.15">
      <c r="A67" s="3"/>
      <c r="B67" s="166" t="s">
        <v>341</v>
      </c>
      <c r="C67" s="159">
        <v>242170.58</v>
      </c>
      <c r="D67" s="159">
        <v>231149.32</v>
      </c>
      <c r="E67" s="159">
        <v>182090.17</v>
      </c>
      <c r="F67" s="8"/>
    </row>
    <row r="68" spans="1:6" ht="24" customHeight="1" x14ac:dyDescent="0.15">
      <c r="A68" s="3"/>
      <c r="B68" s="166" t="s">
        <v>342</v>
      </c>
      <c r="C68" s="159">
        <v>121581.81</v>
      </c>
      <c r="D68" s="159">
        <v>115866.75</v>
      </c>
      <c r="E68" s="159">
        <v>105315.15</v>
      </c>
      <c r="F68" s="8"/>
    </row>
    <row r="69" spans="1:6" ht="24" customHeight="1" x14ac:dyDescent="0.15">
      <c r="A69" s="3"/>
      <c r="B69" s="166" t="s">
        <v>343</v>
      </c>
      <c r="C69" s="159">
        <v>347979.39</v>
      </c>
      <c r="D69" s="159">
        <v>326037.19</v>
      </c>
      <c r="E69" s="159">
        <v>262081.39</v>
      </c>
      <c r="F69" s="8"/>
    </row>
    <row r="70" spans="1:6" ht="24" customHeight="1" x14ac:dyDescent="0.15">
      <c r="A70" s="3"/>
      <c r="B70" s="166" t="s">
        <v>344</v>
      </c>
      <c r="C70" s="159">
        <v>105500</v>
      </c>
      <c r="D70" s="159">
        <v>111506.27</v>
      </c>
      <c r="E70" s="159">
        <v>99000</v>
      </c>
      <c r="F70" s="8"/>
    </row>
    <row r="71" spans="1:6" ht="24" customHeight="1" x14ac:dyDescent="0.15">
      <c r="A71" s="3"/>
      <c r="B71" s="166" t="s">
        <v>345</v>
      </c>
      <c r="C71" s="159">
        <v>105951.78</v>
      </c>
      <c r="D71" s="159">
        <v>107303.31</v>
      </c>
      <c r="E71" s="159">
        <v>112207.41</v>
      </c>
      <c r="F71" s="8"/>
    </row>
    <row r="72" spans="1:6" ht="24" customHeight="1" x14ac:dyDescent="0.15">
      <c r="A72" s="3"/>
      <c r="B72" s="166" t="s">
        <v>346</v>
      </c>
      <c r="C72" s="159">
        <v>17162.11</v>
      </c>
      <c r="D72" s="159">
        <v>16073.63</v>
      </c>
      <c r="E72" s="159">
        <v>12363.99</v>
      </c>
      <c r="F72" s="8"/>
    </row>
    <row r="73" spans="1:6" ht="24" customHeight="1" x14ac:dyDescent="0.15">
      <c r="A73" s="3"/>
      <c r="B73" s="173"/>
      <c r="C73" s="167"/>
      <c r="D73" s="167"/>
      <c r="E73" s="167"/>
      <c r="F73" s="8"/>
    </row>
    <row r="74" spans="1:6" ht="24" customHeight="1" x14ac:dyDescent="0.15">
      <c r="A74" s="3"/>
      <c r="B74" s="174" t="s">
        <v>155</v>
      </c>
      <c r="C74" s="159">
        <v>1585721.47</v>
      </c>
      <c r="D74" s="159">
        <v>1707330.38</v>
      </c>
      <c r="E74" s="159">
        <v>318777.21000000002</v>
      </c>
      <c r="F74" s="8"/>
    </row>
    <row r="75" spans="1:6" ht="24" customHeight="1" x14ac:dyDescent="0.15">
      <c r="A75" s="3"/>
      <c r="B75" s="169"/>
      <c r="C75" s="167"/>
      <c r="D75" s="252"/>
      <c r="E75" s="167"/>
      <c r="F75" s="8"/>
    </row>
    <row r="76" spans="1:6" ht="19.5" customHeight="1" x14ac:dyDescent="0.15">
      <c r="A76" s="3"/>
      <c r="B76" s="151" t="s">
        <v>142</v>
      </c>
      <c r="C76" s="206">
        <v>10226899.16</v>
      </c>
      <c r="D76" s="206">
        <v>10766583.369999999</v>
      </c>
      <c r="E76" s="206">
        <v>10009274.619999999</v>
      </c>
      <c r="F76" s="8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3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23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72">
        <v>1577284.99</v>
      </c>
      <c r="D5" s="73">
        <v>950692.56</v>
      </c>
      <c r="E5" s="73">
        <v>1418211.13</v>
      </c>
      <c r="F5" s="18"/>
    </row>
    <row r="6" spans="1:6" ht="13" x14ac:dyDescent="0.15">
      <c r="A6" s="19">
        <v>411</v>
      </c>
      <c r="B6" s="36" t="s">
        <v>38</v>
      </c>
      <c r="C6" s="38">
        <v>1126512.1000000001</v>
      </c>
      <c r="D6" s="39">
        <v>664178.18999999994</v>
      </c>
      <c r="E6" s="39">
        <v>652491.96</v>
      </c>
      <c r="F6" s="41"/>
    </row>
    <row r="7" spans="1:6" ht="13" x14ac:dyDescent="0.15">
      <c r="A7" s="19">
        <v>412</v>
      </c>
      <c r="B7" s="42" t="s">
        <v>54</v>
      </c>
      <c r="C7" s="38">
        <v>48248.06</v>
      </c>
      <c r="D7" s="39">
        <v>7345</v>
      </c>
      <c r="E7" s="39">
        <v>498657.47</v>
      </c>
      <c r="F7" s="41"/>
    </row>
    <row r="8" spans="1:6" ht="13" x14ac:dyDescent="0.15">
      <c r="A8" s="19">
        <v>413</v>
      </c>
      <c r="B8" s="42" t="s">
        <v>3</v>
      </c>
      <c r="C8" s="38">
        <v>268887.81</v>
      </c>
      <c r="D8" s="39">
        <v>167166.69</v>
      </c>
      <c r="E8" s="39">
        <v>108156.79</v>
      </c>
      <c r="F8" s="41"/>
    </row>
    <row r="9" spans="1:6" ht="13" x14ac:dyDescent="0.15">
      <c r="A9" s="44">
        <v>414</v>
      </c>
      <c r="B9" s="36" t="s">
        <v>5</v>
      </c>
      <c r="C9" s="38">
        <v>25884</v>
      </c>
      <c r="D9" s="39">
        <v>13878.16</v>
      </c>
      <c r="E9" s="39">
        <v>9042.4</v>
      </c>
      <c r="F9" s="41"/>
    </row>
    <row r="10" spans="1:6" ht="13" x14ac:dyDescent="0.15">
      <c r="A10" s="19">
        <v>415</v>
      </c>
      <c r="B10" s="45" t="s">
        <v>6</v>
      </c>
      <c r="C10" s="38">
        <v>82168.800000000003</v>
      </c>
      <c r="D10" s="39">
        <v>96838.52</v>
      </c>
      <c r="E10" s="39">
        <v>145128.93</v>
      </c>
      <c r="F10" s="41"/>
    </row>
    <row r="11" spans="1:6" ht="13" x14ac:dyDescent="0.15">
      <c r="A11" s="19">
        <v>416</v>
      </c>
      <c r="B11" s="36" t="s">
        <v>7</v>
      </c>
      <c r="C11" s="38">
        <v>11930.61</v>
      </c>
      <c r="D11" s="39">
        <v>0</v>
      </c>
      <c r="E11" s="48"/>
      <c r="F11" s="41"/>
    </row>
    <row r="12" spans="1:6" ht="13" x14ac:dyDescent="0.15">
      <c r="A12" s="19">
        <v>417</v>
      </c>
      <c r="B12" s="36" t="s">
        <v>8</v>
      </c>
      <c r="C12" s="38">
        <v>0</v>
      </c>
      <c r="D12" s="39">
        <v>0</v>
      </c>
      <c r="E12" s="39">
        <v>4276.58</v>
      </c>
      <c r="F12" s="41"/>
    </row>
    <row r="13" spans="1:6" ht="13" x14ac:dyDescent="0.15">
      <c r="A13" s="19">
        <v>418</v>
      </c>
      <c r="B13" s="36" t="s">
        <v>55</v>
      </c>
      <c r="C13" s="38">
        <v>13653.61</v>
      </c>
      <c r="D13" s="39">
        <v>1286</v>
      </c>
      <c r="E13" s="39">
        <v>457</v>
      </c>
      <c r="F13" s="41"/>
    </row>
    <row r="14" spans="1:6" ht="13" x14ac:dyDescent="0.15">
      <c r="A14" s="19">
        <v>42</v>
      </c>
      <c r="B14" s="47" t="s">
        <v>9</v>
      </c>
      <c r="C14" s="56">
        <v>0</v>
      </c>
      <c r="D14" s="57">
        <v>0</v>
      </c>
      <c r="E14" s="57">
        <v>0</v>
      </c>
      <c r="F14" s="41"/>
    </row>
    <row r="15" spans="1:6" ht="16.5" customHeight="1" x14ac:dyDescent="0.15">
      <c r="A15" s="49">
        <v>43</v>
      </c>
      <c r="B15" s="60" t="s">
        <v>10</v>
      </c>
      <c r="C15" s="71">
        <v>369490.65</v>
      </c>
      <c r="D15" s="75">
        <v>300919.82</v>
      </c>
      <c r="E15" s="71">
        <v>489086.75</v>
      </c>
      <c r="F15" s="18"/>
    </row>
    <row r="16" spans="1:6" ht="13" x14ac:dyDescent="0.15">
      <c r="A16" s="44" t="s">
        <v>58</v>
      </c>
      <c r="B16" s="45" t="s">
        <v>11</v>
      </c>
      <c r="C16" s="40">
        <v>306304.63</v>
      </c>
      <c r="D16" s="43">
        <v>205331.18</v>
      </c>
      <c r="E16" s="40">
        <v>397840.48</v>
      </c>
      <c r="F16" s="18"/>
    </row>
    <row r="17" spans="1:6" ht="31.5" customHeight="1" x14ac:dyDescent="0.15">
      <c r="A17" s="44" t="s">
        <v>59</v>
      </c>
      <c r="B17" s="45" t="s">
        <v>12</v>
      </c>
      <c r="C17" s="40">
        <v>8669.0499999999993</v>
      </c>
      <c r="D17" s="43">
        <v>30334.32</v>
      </c>
      <c r="E17" s="40">
        <v>4293.7299999999996</v>
      </c>
      <c r="F17" s="18"/>
    </row>
    <row r="18" spans="1:6" ht="13" x14ac:dyDescent="0.15">
      <c r="A18" s="44" t="s">
        <v>60</v>
      </c>
      <c r="B18" s="74" t="s">
        <v>13</v>
      </c>
      <c r="C18" s="43">
        <v>54516.97</v>
      </c>
      <c r="D18" s="40">
        <v>65254.32</v>
      </c>
      <c r="E18" s="39">
        <v>86952.54</v>
      </c>
      <c r="F18" s="88"/>
    </row>
    <row r="19" spans="1:6" ht="13" x14ac:dyDescent="0.15">
      <c r="A19" s="44" t="s">
        <v>61</v>
      </c>
      <c r="B19" s="74" t="s">
        <v>62</v>
      </c>
      <c r="C19" s="46"/>
      <c r="D19" s="108"/>
      <c r="E19" s="18"/>
      <c r="F19" s="95"/>
    </row>
    <row r="20" spans="1:6" ht="13" x14ac:dyDescent="0.15">
      <c r="A20" s="19">
        <v>44</v>
      </c>
      <c r="B20" s="37" t="s">
        <v>14</v>
      </c>
      <c r="C20" s="56">
        <v>753312.52</v>
      </c>
      <c r="D20" s="57">
        <v>175514.17</v>
      </c>
      <c r="E20" s="57">
        <v>251286.11</v>
      </c>
      <c r="F20" s="18"/>
    </row>
    <row r="21" spans="1:6" ht="13" x14ac:dyDescent="0.15">
      <c r="A21" s="19">
        <v>45</v>
      </c>
      <c r="B21" s="47" t="s">
        <v>63</v>
      </c>
      <c r="C21" s="56">
        <v>0</v>
      </c>
      <c r="D21" s="57">
        <v>0</v>
      </c>
      <c r="E21" s="18"/>
      <c r="F21" s="18"/>
    </row>
    <row r="22" spans="1:6" ht="13" x14ac:dyDescent="0.15">
      <c r="A22" s="19">
        <v>46</v>
      </c>
      <c r="B22" s="20" t="s">
        <v>16</v>
      </c>
      <c r="C22" s="56">
        <v>1285317.24</v>
      </c>
      <c r="D22" s="57">
        <v>1195644.6399999999</v>
      </c>
      <c r="E22" s="57">
        <v>2412475.9300000002</v>
      </c>
      <c r="F22" s="18"/>
    </row>
    <row r="23" spans="1:6" ht="13" x14ac:dyDescent="0.15">
      <c r="A23" s="19">
        <v>47</v>
      </c>
      <c r="B23" s="20" t="s">
        <v>17</v>
      </c>
      <c r="C23" s="56">
        <v>0</v>
      </c>
      <c r="D23" s="57">
        <v>0</v>
      </c>
      <c r="E23" s="18"/>
      <c r="F23" s="18"/>
    </row>
    <row r="24" spans="1:6" ht="13" x14ac:dyDescent="0.15">
      <c r="A24" s="3"/>
      <c r="B24" s="20" t="s">
        <v>18</v>
      </c>
      <c r="C24" s="72">
        <v>3985405.4</v>
      </c>
      <c r="D24" s="73">
        <v>2622771.19</v>
      </c>
      <c r="E24" s="73">
        <v>4571059.92</v>
      </c>
      <c r="F24" s="18"/>
    </row>
    <row r="25" spans="1:6" ht="13" x14ac:dyDescent="0.15">
      <c r="A25" s="3"/>
      <c r="B25" s="103" t="s">
        <v>64</v>
      </c>
      <c r="C25" s="104"/>
      <c r="D25" s="105"/>
      <c r="E25" s="105"/>
      <c r="F25" s="105"/>
    </row>
    <row r="26" spans="1:6" ht="13" x14ac:dyDescent="0.15">
      <c r="A26" s="19">
        <v>71</v>
      </c>
      <c r="B26" s="20" t="s">
        <v>39</v>
      </c>
      <c r="C26" s="107">
        <f t="shared" ref="C26:E26" si="0">SUM(C27:C31)</f>
        <v>2308424.37</v>
      </c>
      <c r="D26" s="107">
        <f t="shared" si="0"/>
        <v>1696433.8199999998</v>
      </c>
      <c r="E26" s="107">
        <f t="shared" si="0"/>
        <v>1343675.61</v>
      </c>
      <c r="F26" s="15"/>
    </row>
    <row r="27" spans="1:6" ht="13" x14ac:dyDescent="0.15">
      <c r="A27" s="44">
        <v>711</v>
      </c>
      <c r="B27" s="45" t="s">
        <v>40</v>
      </c>
      <c r="C27" s="48">
        <f>82628.66+673271.23+156110.15</f>
        <v>912010.04</v>
      </c>
      <c r="D27" s="48">
        <f>87712.73+741584.42+178715.61</f>
        <v>1008012.76</v>
      </c>
      <c r="E27" s="48">
        <f>81403.93+459600.19+90473.42</f>
        <v>631477.54</v>
      </c>
      <c r="F27" s="41"/>
    </row>
    <row r="28" spans="1:6" ht="13" x14ac:dyDescent="0.15">
      <c r="A28" s="44">
        <v>713</v>
      </c>
      <c r="B28" s="45" t="s">
        <v>41</v>
      </c>
      <c r="C28" s="39">
        <v>18981.43</v>
      </c>
      <c r="D28" s="39">
        <v>47490.68</v>
      </c>
      <c r="E28" s="39">
        <v>26497.71</v>
      </c>
      <c r="F28" s="41"/>
    </row>
    <row r="29" spans="1:6" ht="13" x14ac:dyDescent="0.15">
      <c r="A29" s="44">
        <v>714</v>
      </c>
      <c r="B29" s="45" t="s">
        <v>42</v>
      </c>
      <c r="C29" s="48">
        <f>8675.05+45892.02</f>
        <v>54567.069999999992</v>
      </c>
      <c r="D29" s="48">
        <f>18350.07+1240.06+51423.8</f>
        <v>71013.930000000008</v>
      </c>
      <c r="E29" s="48">
        <f>36841.78+103032.88</f>
        <v>139874.66</v>
      </c>
      <c r="F29" s="41"/>
    </row>
    <row r="30" spans="1:6" ht="13" x14ac:dyDescent="0.15">
      <c r="A30" s="80"/>
      <c r="B30" s="45" t="s">
        <v>66</v>
      </c>
      <c r="C30" s="48">
        <f>79696.02+788066.66</f>
        <v>867762.68</v>
      </c>
      <c r="D30" s="48">
        <f>340889.67+82349.33</f>
        <v>423239</v>
      </c>
      <c r="E30" s="48">
        <f>238192.98+41864.75</f>
        <v>280057.73</v>
      </c>
      <c r="F30" s="41"/>
    </row>
    <row r="31" spans="1:6" ht="13" x14ac:dyDescent="0.15">
      <c r="A31" s="44">
        <v>715</v>
      </c>
      <c r="B31" s="45" t="s">
        <v>67</v>
      </c>
      <c r="C31" s="38">
        <v>455103.15</v>
      </c>
      <c r="D31" s="39">
        <v>146677.45000000001</v>
      </c>
      <c r="E31" s="39">
        <v>265767.96999999997</v>
      </c>
      <c r="F31" s="41"/>
    </row>
    <row r="32" spans="1:6" ht="13" x14ac:dyDescent="0.15">
      <c r="A32" s="19">
        <v>72</v>
      </c>
      <c r="B32" s="113" t="s">
        <v>43</v>
      </c>
      <c r="C32" s="56">
        <v>0</v>
      </c>
      <c r="D32" s="57">
        <v>152627.37</v>
      </c>
      <c r="E32" s="48"/>
      <c r="F32" s="48"/>
    </row>
    <row r="33" spans="1:6" ht="18" customHeight="1" x14ac:dyDescent="0.15">
      <c r="A33" s="115">
        <v>73</v>
      </c>
      <c r="B33" s="47" t="s">
        <v>68</v>
      </c>
      <c r="C33" s="131">
        <v>9756.7000000000007</v>
      </c>
      <c r="D33" s="131">
        <v>2605.9499999999998</v>
      </c>
      <c r="E33" s="131">
        <v>24630.11</v>
      </c>
      <c r="F33" s="117"/>
    </row>
    <row r="34" spans="1:6" ht="13" x14ac:dyDescent="0.15">
      <c r="A34" s="19">
        <v>74</v>
      </c>
      <c r="B34" s="60" t="s">
        <v>44</v>
      </c>
      <c r="C34" s="71">
        <v>674557</v>
      </c>
      <c r="D34" s="75">
        <v>497985</v>
      </c>
      <c r="E34" s="75">
        <v>1772747.49</v>
      </c>
      <c r="F34" s="18"/>
    </row>
    <row r="35" spans="1:6" ht="13" x14ac:dyDescent="0.15">
      <c r="A35" s="44">
        <v>741</v>
      </c>
      <c r="B35" s="45" t="s">
        <v>45</v>
      </c>
      <c r="C35" s="178"/>
      <c r="D35" s="179"/>
      <c r="E35" s="46"/>
      <c r="F35" s="18"/>
    </row>
    <row r="36" spans="1:6" ht="13" x14ac:dyDescent="0.15">
      <c r="A36" s="44">
        <v>742</v>
      </c>
      <c r="B36" s="45" t="s">
        <v>46</v>
      </c>
      <c r="C36" s="40">
        <v>674557</v>
      </c>
      <c r="D36" s="43">
        <v>402985</v>
      </c>
      <c r="E36" s="43">
        <v>1551936</v>
      </c>
      <c r="F36" s="18"/>
    </row>
    <row r="37" spans="1:6" ht="13" x14ac:dyDescent="0.15">
      <c r="A37" s="80"/>
      <c r="B37" s="45" t="s">
        <v>81</v>
      </c>
      <c r="C37" s="67"/>
      <c r="D37" s="147">
        <v>95000</v>
      </c>
      <c r="E37" s="111" t="s">
        <v>157</v>
      </c>
      <c r="F37" s="18"/>
    </row>
    <row r="38" spans="1:6" ht="13" x14ac:dyDescent="0.15">
      <c r="A38" s="19">
        <v>751</v>
      </c>
      <c r="B38" s="37" t="s">
        <v>63</v>
      </c>
      <c r="C38" s="56">
        <v>995000</v>
      </c>
      <c r="D38" s="57">
        <v>300000</v>
      </c>
      <c r="E38" s="57">
        <v>1474667.47</v>
      </c>
      <c r="F38" s="18"/>
    </row>
    <row r="39" spans="1:6" ht="13" x14ac:dyDescent="0.15">
      <c r="A39" s="3"/>
      <c r="B39" s="37" t="s">
        <v>82</v>
      </c>
      <c r="C39" s="56">
        <v>3987738.07</v>
      </c>
      <c r="D39" s="57">
        <v>2649652.14</v>
      </c>
      <c r="E39" s="57">
        <v>4615720.68</v>
      </c>
      <c r="F39" s="18"/>
    </row>
    <row r="40" spans="1:6" ht="13" x14ac:dyDescent="0.15">
      <c r="A40" s="3"/>
      <c r="B40" s="103" t="s">
        <v>83</v>
      </c>
      <c r="C40" s="104"/>
      <c r="D40" s="105"/>
      <c r="E40" s="105"/>
      <c r="F40" s="105"/>
    </row>
    <row r="41" spans="1:6" ht="13" x14ac:dyDescent="0.15">
      <c r="A41" s="3"/>
      <c r="B41" s="42" t="s">
        <v>84</v>
      </c>
      <c r="C41" s="66"/>
      <c r="D41" s="48"/>
      <c r="E41" s="48"/>
      <c r="F41" s="48"/>
    </row>
    <row r="42" spans="1:6" ht="13" x14ac:dyDescent="0.15">
      <c r="A42" s="3"/>
      <c r="B42" s="42" t="s">
        <v>49</v>
      </c>
      <c r="C42" s="66"/>
      <c r="D42" s="48"/>
      <c r="E42" s="48"/>
      <c r="F42" s="48"/>
    </row>
    <row r="43" spans="1:6" ht="13" x14ac:dyDescent="0.15">
      <c r="A43" s="3"/>
      <c r="B43" s="42" t="s">
        <v>51</v>
      </c>
      <c r="C43" s="66"/>
      <c r="D43" s="48"/>
      <c r="E43" s="48"/>
      <c r="F43" s="48"/>
    </row>
    <row r="44" spans="1:6" ht="13" x14ac:dyDescent="0.15">
      <c r="A44" s="3"/>
      <c r="B44" s="42" t="s">
        <v>86</v>
      </c>
      <c r="C44" s="66"/>
      <c r="D44" s="48"/>
      <c r="E44" s="48"/>
      <c r="F44" s="48"/>
    </row>
    <row r="45" spans="1:6" ht="13" x14ac:dyDescent="0.15">
      <c r="A45" s="3"/>
      <c r="B45" s="134"/>
      <c r="C45" s="104"/>
      <c r="D45" s="105"/>
      <c r="E45" s="105"/>
      <c r="F45" s="105"/>
    </row>
    <row r="46" spans="1:6" ht="19.5" customHeight="1" x14ac:dyDescent="0.15">
      <c r="B46" s="140"/>
      <c r="C46" s="140"/>
      <c r="D46" s="141"/>
      <c r="E46" s="140"/>
      <c r="F46" s="140"/>
    </row>
    <row r="47" spans="1:6" ht="19.5" customHeight="1" x14ac:dyDescent="0.15">
      <c r="B47" s="148" t="s">
        <v>96</v>
      </c>
      <c r="C47" s="1"/>
      <c r="D47" s="150"/>
      <c r="E47" s="1"/>
    </row>
    <row r="48" spans="1:6" ht="19.5" customHeight="1" x14ac:dyDescent="0.15">
      <c r="A48" s="3"/>
      <c r="B48" s="202" t="s">
        <v>106</v>
      </c>
      <c r="C48" s="159">
        <v>3229080.22</v>
      </c>
      <c r="D48" s="159">
        <v>2447713.7799999998</v>
      </c>
      <c r="E48" s="159">
        <v>4098426.13</v>
      </c>
      <c r="F48" s="8"/>
    </row>
    <row r="49" spans="1:6" ht="24" customHeight="1" x14ac:dyDescent="0.15">
      <c r="A49" s="3"/>
      <c r="B49" s="153" t="s">
        <v>158</v>
      </c>
      <c r="C49" s="159">
        <v>183382.15</v>
      </c>
      <c r="D49" s="159">
        <v>66712.899999999994</v>
      </c>
      <c r="E49" s="159">
        <v>118203.63</v>
      </c>
      <c r="F49" s="8"/>
    </row>
    <row r="50" spans="1:6" ht="24" customHeight="1" x14ac:dyDescent="0.15">
      <c r="A50" s="3"/>
      <c r="B50" s="153" t="s">
        <v>141</v>
      </c>
      <c r="C50" s="159">
        <v>33613.410000000003</v>
      </c>
      <c r="D50" s="159">
        <v>97205.52</v>
      </c>
      <c r="E50" s="159">
        <v>70314.87</v>
      </c>
      <c r="F50" s="8"/>
    </row>
    <row r="51" spans="1:6" ht="24" customHeight="1" x14ac:dyDescent="0.15">
      <c r="A51" s="3"/>
      <c r="B51" s="153" t="s">
        <v>115</v>
      </c>
      <c r="C51" s="159">
        <v>33613.410000000003</v>
      </c>
      <c r="D51" s="159">
        <v>21412.54</v>
      </c>
      <c r="E51" s="159">
        <v>14956.2</v>
      </c>
      <c r="F51" s="8"/>
    </row>
    <row r="52" spans="1:6" ht="24" customHeight="1" x14ac:dyDescent="0.15">
      <c r="A52" s="3"/>
      <c r="B52" s="166" t="s">
        <v>203</v>
      </c>
      <c r="C52" s="167">
        <f>677063.78+6839.05+1830</f>
        <v>685732.83000000007</v>
      </c>
      <c r="D52" s="167">
        <f>461235+500+28949.32+885</f>
        <v>491569.32</v>
      </c>
      <c r="E52" s="167">
        <f>710022.35+655+1569.9+2000.09</f>
        <v>714247.34</v>
      </c>
      <c r="F52" s="8"/>
    </row>
    <row r="53" spans="1:6" ht="24" customHeight="1" x14ac:dyDescent="0.15">
      <c r="A53" s="3"/>
      <c r="B53" s="166" t="s">
        <v>207</v>
      </c>
      <c r="C53" s="159">
        <v>1236674.25</v>
      </c>
      <c r="D53" s="159">
        <v>1014704.17</v>
      </c>
      <c r="E53" s="159">
        <v>2408587.5099999998</v>
      </c>
      <c r="F53" s="8"/>
    </row>
    <row r="54" spans="1:6" ht="24" customHeight="1" x14ac:dyDescent="0.15">
      <c r="A54" s="3"/>
      <c r="B54" s="166" t="s">
        <v>208</v>
      </c>
      <c r="C54" s="159">
        <v>134526.31</v>
      </c>
      <c r="D54" s="159">
        <v>114017.92</v>
      </c>
      <c r="E54" s="159">
        <v>103296.54</v>
      </c>
      <c r="F54" s="8"/>
    </row>
    <row r="55" spans="1:6" ht="24" customHeight="1" x14ac:dyDescent="0.15">
      <c r="A55" s="3"/>
      <c r="B55" s="153" t="s">
        <v>134</v>
      </c>
      <c r="C55" s="159">
        <v>22617.16</v>
      </c>
      <c r="D55" s="159">
        <v>15650.5</v>
      </c>
      <c r="E55" s="159">
        <v>35749.550000000003</v>
      </c>
      <c r="F55" s="8"/>
    </row>
    <row r="56" spans="1:6" ht="24" customHeight="1" x14ac:dyDescent="0.15">
      <c r="A56" s="3"/>
      <c r="B56" s="166" t="s">
        <v>209</v>
      </c>
      <c r="C56" s="159">
        <v>433665.27</v>
      </c>
      <c r="D56" s="159">
        <v>460217.4</v>
      </c>
      <c r="E56" s="159">
        <v>337095.93</v>
      </c>
      <c r="F56" s="8"/>
    </row>
    <row r="57" spans="1:6" ht="24" customHeight="1" x14ac:dyDescent="0.15">
      <c r="A57" s="3"/>
      <c r="B57" s="166" t="s">
        <v>210</v>
      </c>
      <c r="C57" s="159">
        <v>62055.93</v>
      </c>
      <c r="D57" s="159">
        <v>35970.14</v>
      </c>
      <c r="E57" s="159">
        <v>41260.06</v>
      </c>
      <c r="F57" s="8"/>
    </row>
    <row r="58" spans="1:6" ht="24" customHeight="1" x14ac:dyDescent="0.15">
      <c r="A58" s="3"/>
      <c r="B58" s="166" t="s">
        <v>136</v>
      </c>
      <c r="C58" s="159">
        <v>57213.34</v>
      </c>
      <c r="D58" s="159">
        <v>20006.78</v>
      </c>
      <c r="E58" s="159">
        <v>41831.82</v>
      </c>
      <c r="F58" s="8"/>
    </row>
    <row r="59" spans="1:6" ht="24" customHeight="1" x14ac:dyDescent="0.15">
      <c r="A59" s="3"/>
      <c r="B59" s="166" t="s">
        <v>121</v>
      </c>
      <c r="C59" s="159">
        <v>190084.34</v>
      </c>
      <c r="D59" s="159">
        <v>110246.59</v>
      </c>
      <c r="E59" s="159">
        <v>212882.63</v>
      </c>
      <c r="F59" s="8"/>
    </row>
    <row r="60" spans="1:6" ht="24" customHeight="1" x14ac:dyDescent="0.15">
      <c r="A60" s="3"/>
      <c r="B60" s="173"/>
      <c r="C60" s="167"/>
      <c r="D60" s="167"/>
      <c r="E60" s="167"/>
      <c r="F60" s="8"/>
    </row>
    <row r="61" spans="1:6" ht="24" customHeight="1" x14ac:dyDescent="0.15">
      <c r="A61" s="3"/>
      <c r="B61" s="174" t="s">
        <v>155</v>
      </c>
      <c r="C61" s="159">
        <v>756051.9</v>
      </c>
      <c r="D61" s="159">
        <v>177348.72</v>
      </c>
      <c r="E61" s="159">
        <v>474114.6</v>
      </c>
      <c r="F61" s="8"/>
    </row>
    <row r="62" spans="1:6" ht="19.5" customHeight="1" x14ac:dyDescent="0.15">
      <c r="A62" s="3"/>
      <c r="B62" s="169"/>
      <c r="C62" s="167"/>
      <c r="D62" s="167"/>
      <c r="E62" s="167"/>
      <c r="F62" s="8"/>
    </row>
    <row r="63" spans="1:6" ht="19.5" customHeight="1" x14ac:dyDescent="0.15">
      <c r="A63" s="3"/>
      <c r="B63" s="193" t="s">
        <v>142</v>
      </c>
      <c r="C63" s="206">
        <v>3985132.12</v>
      </c>
      <c r="D63" s="206">
        <v>2625062.5</v>
      </c>
      <c r="E63" s="206">
        <v>4572540.7300000004</v>
      </c>
      <c r="F63" s="8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8" width="11.832031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3"/>
      <c r="B2" s="4" t="s">
        <v>24</v>
      </c>
      <c r="C2" s="4">
        <v>2009</v>
      </c>
      <c r="D2" s="7">
        <v>2010</v>
      </c>
      <c r="E2" s="7">
        <v>2011</v>
      </c>
      <c r="F2" s="10"/>
      <c r="G2" s="8"/>
    </row>
    <row r="3" spans="1:7" ht="13" x14ac:dyDescent="0.15">
      <c r="A3" s="3"/>
      <c r="B3" s="9" t="s">
        <v>22</v>
      </c>
      <c r="C3" s="11"/>
      <c r="D3" s="12"/>
      <c r="E3" s="13"/>
      <c r="F3" s="14"/>
      <c r="G3" s="8"/>
    </row>
    <row r="4" spans="1:7" ht="13" x14ac:dyDescent="0.15">
      <c r="A4" s="3"/>
      <c r="B4" s="15"/>
      <c r="C4" s="16"/>
      <c r="D4" s="18"/>
      <c r="E4" s="18"/>
      <c r="F4" s="18"/>
      <c r="G4" s="8"/>
    </row>
    <row r="5" spans="1:7" ht="13" x14ac:dyDescent="0.15">
      <c r="A5" s="19">
        <v>41</v>
      </c>
      <c r="B5" s="20" t="s">
        <v>0</v>
      </c>
      <c r="C5" s="29">
        <f t="shared" ref="C5:E5" si="0">SUM(C6:C13)</f>
        <v>3754123.41</v>
      </c>
      <c r="D5" s="30">
        <f t="shared" si="0"/>
        <v>3106185.2</v>
      </c>
      <c r="E5" s="30">
        <f t="shared" si="0"/>
        <v>2402262.41</v>
      </c>
      <c r="F5" s="18"/>
      <c r="G5" s="8"/>
    </row>
    <row r="6" spans="1:7" ht="13" x14ac:dyDescent="0.15">
      <c r="A6" s="19">
        <v>411</v>
      </c>
      <c r="B6" s="36" t="s">
        <v>38</v>
      </c>
      <c r="C6" s="66">
        <f>1442836.01+214560.54+336738.86+289038.03+26465.86</f>
        <v>2309639.3000000003</v>
      </c>
      <c r="D6" s="39">
        <v>1908757.02</v>
      </c>
      <c r="E6" s="39">
        <v>1307992.3899999999</v>
      </c>
      <c r="F6" s="41"/>
      <c r="G6" s="8"/>
    </row>
    <row r="7" spans="1:7" ht="13" x14ac:dyDescent="0.15">
      <c r="A7" s="19">
        <v>412</v>
      </c>
      <c r="B7" s="42" t="s">
        <v>54</v>
      </c>
      <c r="C7" s="66">
        <f>60132.46+35288.2+37785+4950+64604.8+46646.27+47400+132614.42</f>
        <v>429421.15</v>
      </c>
      <c r="D7" s="39">
        <v>231585.12</v>
      </c>
      <c r="E7" s="39">
        <v>105166.99</v>
      </c>
      <c r="F7" s="41"/>
      <c r="G7" s="8"/>
    </row>
    <row r="8" spans="1:7" ht="13" x14ac:dyDescent="0.15">
      <c r="A8" s="19">
        <v>413</v>
      </c>
      <c r="B8" s="42" t="s">
        <v>3</v>
      </c>
      <c r="C8" s="55">
        <v>660040.79</v>
      </c>
      <c r="D8" s="39">
        <v>499679.18</v>
      </c>
      <c r="E8" s="39">
        <v>423986.67</v>
      </c>
      <c r="F8" s="41"/>
      <c r="G8" s="8"/>
    </row>
    <row r="9" spans="1:7" ht="13" x14ac:dyDescent="0.15">
      <c r="A9" s="44">
        <v>414</v>
      </c>
      <c r="B9" s="36" t="s">
        <v>5</v>
      </c>
      <c r="C9" s="66">
        <f>16467.2+23130.65</f>
        <v>39597.850000000006</v>
      </c>
      <c r="D9" s="39">
        <v>13131.66</v>
      </c>
      <c r="E9" s="39">
        <v>12446.37</v>
      </c>
      <c r="F9" s="41"/>
      <c r="G9" s="8"/>
    </row>
    <row r="10" spans="1:7" ht="13" x14ac:dyDescent="0.15">
      <c r="A10" s="19">
        <v>415</v>
      </c>
      <c r="B10" s="45" t="s">
        <v>6</v>
      </c>
      <c r="C10" s="66">
        <f>5227.3+8319.32</f>
        <v>13546.619999999999</v>
      </c>
      <c r="D10" s="39">
        <v>84936.46</v>
      </c>
      <c r="E10" s="39">
        <v>154927.82</v>
      </c>
      <c r="F10" s="41"/>
      <c r="G10" s="8"/>
    </row>
    <row r="11" spans="1:7" ht="13" x14ac:dyDescent="0.15">
      <c r="A11" s="19">
        <v>416</v>
      </c>
      <c r="B11" s="36" t="s">
        <v>7</v>
      </c>
      <c r="C11" s="38">
        <v>37648.400000000001</v>
      </c>
      <c r="D11" s="39">
        <v>37982.339999999997</v>
      </c>
      <c r="E11" s="39">
        <v>0</v>
      </c>
      <c r="F11" s="41"/>
      <c r="G11" s="8"/>
    </row>
    <row r="12" spans="1:7" ht="13" x14ac:dyDescent="0.15">
      <c r="A12" s="19">
        <v>417</v>
      </c>
      <c r="B12" s="36" t="s">
        <v>8</v>
      </c>
      <c r="C12" s="38">
        <v>28000</v>
      </c>
      <c r="D12" s="39">
        <v>28000</v>
      </c>
      <c r="E12" s="39">
        <v>25880.080000000002</v>
      </c>
      <c r="F12" s="41"/>
      <c r="G12" s="8"/>
    </row>
    <row r="13" spans="1:7" ht="13" x14ac:dyDescent="0.15">
      <c r="A13" s="19">
        <v>418</v>
      </c>
      <c r="B13" s="36" t="s">
        <v>55</v>
      </c>
      <c r="C13" s="66">
        <f>430+1638+234161.3</f>
        <v>236229.3</v>
      </c>
      <c r="D13" s="39">
        <v>302113.42</v>
      </c>
      <c r="E13" s="39">
        <v>371862.09</v>
      </c>
      <c r="F13" s="41"/>
      <c r="G13" s="8"/>
    </row>
    <row r="14" spans="1:7" ht="13" x14ac:dyDescent="0.15">
      <c r="A14" s="19">
        <v>42</v>
      </c>
      <c r="B14" s="47" t="s">
        <v>9</v>
      </c>
      <c r="C14" s="16">
        <f>1251.38+8960</f>
        <v>10211.380000000001</v>
      </c>
      <c r="D14" s="57">
        <v>8614.52</v>
      </c>
      <c r="E14" s="57">
        <v>19570.3</v>
      </c>
      <c r="F14" s="41"/>
      <c r="G14" s="8"/>
    </row>
    <row r="15" spans="1:7" ht="16.5" customHeight="1" x14ac:dyDescent="0.15">
      <c r="A15" s="49">
        <v>43</v>
      </c>
      <c r="B15" s="60" t="s">
        <v>10</v>
      </c>
      <c r="C15" s="71">
        <v>1430779.52</v>
      </c>
      <c r="D15" s="75">
        <v>707903.29</v>
      </c>
      <c r="E15" s="71">
        <v>1134974.5900000001</v>
      </c>
      <c r="F15" s="18"/>
      <c r="G15" s="8"/>
    </row>
    <row r="16" spans="1:7" ht="13" x14ac:dyDescent="0.15">
      <c r="A16" s="44" t="s">
        <v>58</v>
      </c>
      <c r="B16" s="45" t="s">
        <v>11</v>
      </c>
      <c r="C16" s="67">
        <f>26388.07+328866.96+387679.88+12000</f>
        <v>754934.91</v>
      </c>
      <c r="D16" s="46">
        <f>6600+309996.18+184245+10600</f>
        <v>511441.18</v>
      </c>
      <c r="E16" s="67">
        <f>20500+10866.26+26791.98+61644.44+225406.43+222160.85+3937.31+148446.21+8500+41432.07+1100</f>
        <v>770785.54999999993</v>
      </c>
      <c r="F16" s="18"/>
      <c r="G16" s="8"/>
    </row>
    <row r="17" spans="1:8" ht="31.5" customHeight="1" x14ac:dyDescent="0.15">
      <c r="A17" s="44" t="s">
        <v>59</v>
      </c>
      <c r="B17" s="45" t="s">
        <v>12</v>
      </c>
      <c r="C17" s="67">
        <f>36206.6+5160+93352.28</f>
        <v>134718.88</v>
      </c>
      <c r="D17" s="46">
        <f>13744+5135+53912.4</f>
        <v>72791.399999999994</v>
      </c>
      <c r="E17" s="67">
        <f>19982+2025+91596.52</f>
        <v>113603.52</v>
      </c>
      <c r="F17" s="18"/>
      <c r="G17" s="8"/>
    </row>
    <row r="18" spans="1:8" ht="13" x14ac:dyDescent="0.15">
      <c r="A18" s="44" t="s">
        <v>60</v>
      </c>
      <c r="B18" s="74" t="s">
        <v>13</v>
      </c>
      <c r="C18" s="46">
        <f>29970+54640+7458</f>
        <v>92068</v>
      </c>
      <c r="D18" s="67">
        <f>18896+24480+5043.75</f>
        <v>48419.75</v>
      </c>
      <c r="E18" s="48">
        <f>13310.22+11770+5552.5</f>
        <v>30632.720000000001</v>
      </c>
      <c r="F18" s="88"/>
    </row>
    <row r="19" spans="1:8" ht="13" x14ac:dyDescent="0.15">
      <c r="A19" s="44" t="s">
        <v>61</v>
      </c>
      <c r="B19" s="74" t="s">
        <v>62</v>
      </c>
      <c r="C19" s="43">
        <v>449058.73</v>
      </c>
      <c r="D19" s="40">
        <v>75250.960000000006</v>
      </c>
      <c r="E19" s="48">
        <f>39072+180880.8</f>
        <v>219952.8</v>
      </c>
      <c r="F19" s="95"/>
    </row>
    <row r="20" spans="1:8" ht="13" x14ac:dyDescent="0.15">
      <c r="A20" s="19">
        <v>44</v>
      </c>
      <c r="B20" s="37" t="s">
        <v>14</v>
      </c>
      <c r="C20" s="16">
        <f>690.35+760.5+64700+24900+4347.99+6843.82+1000+172791.82+48080.59+5646.13</f>
        <v>329761.19999999995</v>
      </c>
      <c r="D20" s="57">
        <v>1524337.51</v>
      </c>
      <c r="E20" s="57">
        <v>518671.65</v>
      </c>
      <c r="F20" s="18"/>
      <c r="G20" s="8"/>
    </row>
    <row r="21" spans="1:8" ht="13" x14ac:dyDescent="0.15">
      <c r="A21" s="19">
        <v>45</v>
      </c>
      <c r="B21" s="47" t="s">
        <v>63</v>
      </c>
      <c r="C21" s="56">
        <v>15000</v>
      </c>
      <c r="D21" s="18"/>
      <c r="E21" s="18"/>
      <c r="F21" s="18"/>
      <c r="G21" s="8"/>
    </row>
    <row r="22" spans="1:8" ht="13" x14ac:dyDescent="0.15">
      <c r="A22" s="19">
        <v>46</v>
      </c>
      <c r="B22" s="20" t="s">
        <v>16</v>
      </c>
      <c r="C22" s="16">
        <f>10722.33+187186.23+42070.48+420959.55</f>
        <v>660938.59</v>
      </c>
      <c r="D22" s="18">
        <f>168348.36+2017533.46</f>
        <v>2185881.8199999998</v>
      </c>
      <c r="E22" s="18">
        <f>1035040.52+1740014.35</f>
        <v>2775054.87</v>
      </c>
      <c r="F22" s="18"/>
      <c r="G22" s="8"/>
    </row>
    <row r="23" spans="1:8" ht="13" x14ac:dyDescent="0.15">
      <c r="A23" s="19">
        <v>47</v>
      </c>
      <c r="B23" s="20" t="s">
        <v>17</v>
      </c>
      <c r="C23" s="16">
        <f>130558.12+70424.55</f>
        <v>200982.66999999998</v>
      </c>
      <c r="D23" s="18">
        <f>110704.54+18605.57</f>
        <v>129310.10999999999</v>
      </c>
      <c r="E23" s="18">
        <f>43124.33+13674.1</f>
        <v>56798.43</v>
      </c>
      <c r="F23" s="18"/>
      <c r="G23" s="8"/>
    </row>
    <row r="24" spans="1:8" ht="13" x14ac:dyDescent="0.15">
      <c r="A24" s="3"/>
      <c r="B24" s="20" t="s">
        <v>18</v>
      </c>
      <c r="C24" s="56">
        <v>6401796.7699999996</v>
      </c>
      <c r="D24" s="57">
        <v>7662232.4500000002</v>
      </c>
      <c r="E24" s="57">
        <v>6907332.25</v>
      </c>
      <c r="F24" s="18"/>
      <c r="G24" s="8"/>
    </row>
    <row r="25" spans="1:8" ht="13" x14ac:dyDescent="0.15">
      <c r="A25" s="3"/>
      <c r="B25" s="103" t="s">
        <v>64</v>
      </c>
      <c r="C25" s="104"/>
      <c r="D25" s="105"/>
      <c r="E25" s="105"/>
      <c r="F25" s="105"/>
      <c r="G25" s="8"/>
    </row>
    <row r="26" spans="1:8" ht="13" x14ac:dyDescent="0.15">
      <c r="A26" s="19">
        <v>71</v>
      </c>
      <c r="B26" s="20" t="s">
        <v>39</v>
      </c>
      <c r="C26" s="30">
        <f t="shared" ref="C26:E26" si="1">SUM(C27:C31)</f>
        <v>5474426.1099999994</v>
      </c>
      <c r="D26" s="30">
        <f t="shared" si="1"/>
        <v>4913552.01</v>
      </c>
      <c r="E26" s="30">
        <f t="shared" si="1"/>
        <v>6531088.8999999994</v>
      </c>
      <c r="F26" s="15"/>
      <c r="G26" s="8"/>
    </row>
    <row r="27" spans="1:8" ht="13" x14ac:dyDescent="0.15">
      <c r="A27" s="44">
        <v>711</v>
      </c>
      <c r="B27" s="45" t="s">
        <v>40</v>
      </c>
      <c r="C27" s="39">
        <v>3303201.16</v>
      </c>
      <c r="D27" s="39">
        <v>3197892.52</v>
      </c>
      <c r="E27" s="39">
        <v>4235333.1399999997</v>
      </c>
      <c r="F27" s="41"/>
      <c r="G27" s="8"/>
    </row>
    <row r="28" spans="1:8" ht="13" x14ac:dyDescent="0.15">
      <c r="A28" s="44">
        <v>713</v>
      </c>
      <c r="B28" s="45" t="s">
        <v>41</v>
      </c>
      <c r="C28" s="39">
        <v>495473.27</v>
      </c>
      <c r="D28" s="39">
        <v>317316.3</v>
      </c>
      <c r="E28" s="39">
        <v>344695.1</v>
      </c>
      <c r="F28" s="41"/>
      <c r="G28" s="8"/>
    </row>
    <row r="29" spans="1:8" ht="13" x14ac:dyDescent="0.15">
      <c r="A29" s="44">
        <v>714</v>
      </c>
      <c r="B29" s="45" t="s">
        <v>42</v>
      </c>
      <c r="C29" s="48">
        <f>12230.75+76952.28</f>
        <v>89183.03</v>
      </c>
      <c r="D29" s="48">
        <f>4200.9+49944.9</f>
        <v>54145.8</v>
      </c>
      <c r="E29" s="48">
        <f>27250.56+140501.25</f>
        <v>167751.81</v>
      </c>
      <c r="F29" s="41"/>
      <c r="G29" s="8"/>
    </row>
    <row r="30" spans="1:8" ht="13" x14ac:dyDescent="0.15">
      <c r="A30" s="80"/>
      <c r="B30" s="45" t="s">
        <v>66</v>
      </c>
      <c r="C30" s="39">
        <v>126478.11</v>
      </c>
      <c r="D30" s="39">
        <v>117707.7</v>
      </c>
      <c r="E30" s="48">
        <f>15303.53+146248.66</f>
        <v>161552.19</v>
      </c>
      <c r="F30" s="41"/>
      <c r="G30" s="8"/>
    </row>
    <row r="31" spans="1:8" ht="13" x14ac:dyDescent="0.15">
      <c r="A31" s="44">
        <v>715</v>
      </c>
      <c r="B31" s="45" t="s">
        <v>67</v>
      </c>
      <c r="C31" s="38">
        <v>1460090.54</v>
      </c>
      <c r="D31" s="39">
        <v>1226489.69</v>
      </c>
      <c r="E31" s="39">
        <v>1621756.66</v>
      </c>
      <c r="F31" s="41"/>
      <c r="G31" s="8"/>
      <c r="H31" s="63">
        <f>SUM(D27:D35)</f>
        <v>5583949.3599999994</v>
      </c>
    </row>
    <row r="32" spans="1:8" ht="13" x14ac:dyDescent="0.15">
      <c r="A32" s="19">
        <v>72</v>
      </c>
      <c r="B32" s="113" t="s">
        <v>43</v>
      </c>
      <c r="C32" s="56">
        <v>134239.18</v>
      </c>
      <c r="D32" s="57">
        <v>621489.97</v>
      </c>
      <c r="E32" s="57">
        <v>221001.9</v>
      </c>
      <c r="F32" s="48"/>
      <c r="G32" s="8"/>
    </row>
    <row r="33" spans="1:7" ht="18" customHeight="1" x14ac:dyDescent="0.15">
      <c r="A33" s="115">
        <v>73</v>
      </c>
      <c r="B33" s="47" t="s">
        <v>68</v>
      </c>
      <c r="C33" s="68">
        <f>15385.87+812514.83</f>
        <v>827900.7</v>
      </c>
      <c r="D33" s="68">
        <f>14128.15+34779.23</f>
        <v>48907.380000000005</v>
      </c>
      <c r="E33" s="68">
        <f>6384.59+18074.82</f>
        <v>24459.41</v>
      </c>
      <c r="F33" s="117"/>
      <c r="G33" s="8"/>
    </row>
    <row r="34" spans="1:7" ht="13" x14ac:dyDescent="0.15">
      <c r="A34" s="19">
        <v>74</v>
      </c>
      <c r="B34" s="60" t="s">
        <v>44</v>
      </c>
      <c r="C34" s="108"/>
      <c r="D34" s="109"/>
      <c r="E34" s="109"/>
      <c r="F34" s="18"/>
      <c r="G34" s="8"/>
    </row>
    <row r="35" spans="1:7" ht="13" x14ac:dyDescent="0.15">
      <c r="A35" s="44">
        <v>741</v>
      </c>
      <c r="B35" s="45" t="s">
        <v>45</v>
      </c>
      <c r="C35" s="108"/>
      <c r="D35" s="138"/>
      <c r="E35" s="109"/>
      <c r="F35" s="18"/>
      <c r="G35" s="8"/>
    </row>
    <row r="36" spans="1:7" ht="13" x14ac:dyDescent="0.15">
      <c r="A36" s="44">
        <v>742</v>
      </c>
      <c r="B36" s="45" t="s">
        <v>46</v>
      </c>
      <c r="C36" s="108"/>
      <c r="D36" s="109"/>
      <c r="E36" s="109"/>
      <c r="F36" s="18"/>
      <c r="G36" s="8"/>
    </row>
    <row r="37" spans="1:7" ht="13" x14ac:dyDescent="0.15">
      <c r="A37" s="80"/>
      <c r="B37" s="45" t="s">
        <v>81</v>
      </c>
      <c r="C37" s="108"/>
      <c r="D37" s="109"/>
      <c r="E37" s="109"/>
      <c r="F37" s="18"/>
      <c r="G37" s="8"/>
    </row>
    <row r="38" spans="1:7" ht="13" x14ac:dyDescent="0.15">
      <c r="A38" s="19">
        <v>751</v>
      </c>
      <c r="B38" s="37" t="s">
        <v>63</v>
      </c>
      <c r="C38" s="16"/>
      <c r="D38" s="97">
        <v>2096357.91</v>
      </c>
      <c r="E38" s="57">
        <v>197800</v>
      </c>
      <c r="F38" s="18"/>
      <c r="G38" s="8"/>
    </row>
    <row r="39" spans="1:7" ht="13" x14ac:dyDescent="0.15">
      <c r="A39" s="3"/>
      <c r="B39" s="37" t="s">
        <v>82</v>
      </c>
      <c r="C39" s="119">
        <v>6436575.9900000002</v>
      </c>
      <c r="D39" s="57">
        <v>7680307.2699999996</v>
      </c>
      <c r="E39" s="57">
        <v>6974350.21</v>
      </c>
      <c r="F39" s="18"/>
      <c r="G39" s="8"/>
    </row>
    <row r="40" spans="1:7" ht="13" x14ac:dyDescent="0.15">
      <c r="A40" s="3"/>
      <c r="B40" s="103" t="s">
        <v>83</v>
      </c>
      <c r="C40" s="104"/>
      <c r="D40" s="105"/>
      <c r="E40" s="105"/>
      <c r="F40" s="105"/>
      <c r="G40" s="8"/>
    </row>
    <row r="41" spans="1:7" ht="13" x14ac:dyDescent="0.15">
      <c r="A41" s="3"/>
      <c r="B41" s="42" t="s">
        <v>84</v>
      </c>
      <c r="C41" s="66"/>
      <c r="D41" s="48"/>
      <c r="E41" s="48"/>
      <c r="F41" s="48"/>
      <c r="G41" s="8"/>
    </row>
    <row r="42" spans="1:7" ht="13" x14ac:dyDescent="0.15">
      <c r="A42" s="3"/>
      <c r="B42" s="42" t="s">
        <v>49</v>
      </c>
      <c r="C42" s="66"/>
      <c r="D42" s="48"/>
      <c r="E42" s="48"/>
      <c r="F42" s="48"/>
      <c r="G42" s="8"/>
    </row>
    <row r="43" spans="1:7" ht="13" x14ac:dyDescent="0.15">
      <c r="A43" s="3"/>
      <c r="B43" s="42" t="s">
        <v>51</v>
      </c>
      <c r="C43" s="66"/>
      <c r="D43" s="48"/>
      <c r="E43" s="48"/>
      <c r="F43" s="48"/>
      <c r="G43" s="8"/>
    </row>
    <row r="44" spans="1:7" ht="13" x14ac:dyDescent="0.15">
      <c r="A44" s="3"/>
      <c r="B44" s="42" t="s">
        <v>86</v>
      </c>
      <c r="C44" s="66"/>
      <c r="D44" s="48"/>
      <c r="E44" s="48"/>
      <c r="F44" s="48"/>
      <c r="G44" s="8"/>
    </row>
    <row r="45" spans="1:7" ht="13" x14ac:dyDescent="0.15">
      <c r="A45" s="3"/>
      <c r="B45" s="134"/>
      <c r="C45" s="104"/>
      <c r="D45" s="105"/>
      <c r="E45" s="105"/>
      <c r="F45" s="105"/>
      <c r="G45" s="8"/>
    </row>
    <row r="46" spans="1:7" ht="19.5" customHeight="1" x14ac:dyDescent="0.15">
      <c r="B46" s="140"/>
      <c r="C46" s="140"/>
      <c r="D46" s="141"/>
      <c r="E46" s="140"/>
      <c r="F46" s="140"/>
    </row>
    <row r="47" spans="1:7" ht="19.5" customHeight="1" x14ac:dyDescent="0.15">
      <c r="B47" s="148" t="s">
        <v>96</v>
      </c>
      <c r="C47" s="1"/>
      <c r="D47" s="150"/>
      <c r="E47" s="1"/>
    </row>
    <row r="48" spans="1:7" ht="19.5" customHeight="1" x14ac:dyDescent="0.15">
      <c r="A48" s="3"/>
      <c r="B48" s="151" t="s">
        <v>106</v>
      </c>
      <c r="C48" s="167"/>
      <c r="D48" s="167"/>
      <c r="E48" s="198"/>
      <c r="F48" s="8"/>
    </row>
    <row r="49" spans="1:6" ht="24" customHeight="1" x14ac:dyDescent="0.15">
      <c r="A49" s="3"/>
      <c r="B49" s="153" t="s">
        <v>223</v>
      </c>
      <c r="C49" s="159">
        <v>202990.79</v>
      </c>
      <c r="D49" s="159">
        <v>152210.37</v>
      </c>
      <c r="E49" s="161">
        <v>148075.06</v>
      </c>
      <c r="F49" s="8"/>
    </row>
    <row r="50" spans="1:6" ht="24" customHeight="1" x14ac:dyDescent="0.15">
      <c r="A50" s="3"/>
      <c r="B50" s="153" t="s">
        <v>226</v>
      </c>
      <c r="C50" s="159">
        <v>350618.32</v>
      </c>
      <c r="D50" s="159">
        <v>223191.84</v>
      </c>
      <c r="E50" s="161">
        <v>196000.73</v>
      </c>
      <c r="F50" s="8"/>
    </row>
    <row r="51" spans="1:6" ht="24" customHeight="1" x14ac:dyDescent="0.15">
      <c r="A51" s="3"/>
      <c r="B51" s="166" t="s">
        <v>228</v>
      </c>
      <c r="C51" s="159">
        <v>70891.179999999993</v>
      </c>
      <c r="D51" s="159">
        <v>43231.48</v>
      </c>
      <c r="E51" s="161">
        <v>33050.5</v>
      </c>
      <c r="F51" s="8"/>
    </row>
    <row r="52" spans="1:6" ht="24" customHeight="1" x14ac:dyDescent="0.15">
      <c r="A52" s="3"/>
      <c r="B52" s="166" t="s">
        <v>203</v>
      </c>
      <c r="C52" s="159">
        <v>326987.87</v>
      </c>
      <c r="D52" s="159">
        <v>149835.78</v>
      </c>
      <c r="E52" s="161">
        <v>203951.13</v>
      </c>
      <c r="F52" s="8"/>
    </row>
    <row r="53" spans="1:6" ht="24" customHeight="1" x14ac:dyDescent="0.15">
      <c r="A53" s="3"/>
      <c r="B53" s="166" t="s">
        <v>185</v>
      </c>
      <c r="C53" s="159">
        <v>59106.78</v>
      </c>
      <c r="D53" s="159">
        <v>38960.69</v>
      </c>
      <c r="E53" s="209"/>
    </row>
    <row r="54" spans="1:6" ht="31.5" customHeight="1" x14ac:dyDescent="0.15">
      <c r="A54" s="3"/>
      <c r="B54" s="153" t="s">
        <v>237</v>
      </c>
      <c r="C54" s="159">
        <v>193710.79</v>
      </c>
      <c r="D54" s="159">
        <v>113819.1</v>
      </c>
      <c r="E54" s="161">
        <v>112097.37</v>
      </c>
      <c r="F54" s="8"/>
    </row>
    <row r="55" spans="1:6" ht="24" customHeight="1" x14ac:dyDescent="0.15">
      <c r="A55" s="3"/>
      <c r="B55" s="153" t="s">
        <v>238</v>
      </c>
      <c r="C55" s="159">
        <v>2233544.56</v>
      </c>
      <c r="D55" s="159">
        <v>4895587.25</v>
      </c>
      <c r="E55" s="161">
        <v>4162250.6</v>
      </c>
      <c r="F55" s="8"/>
    </row>
    <row r="56" spans="1:6" ht="24" customHeight="1" x14ac:dyDescent="0.15">
      <c r="A56" s="3"/>
      <c r="B56" s="166" t="s">
        <v>239</v>
      </c>
      <c r="C56" s="159">
        <v>62341.14</v>
      </c>
      <c r="D56" s="159">
        <v>29707.599999999999</v>
      </c>
      <c r="E56" s="161">
        <v>48489.3</v>
      </c>
      <c r="F56" s="8"/>
    </row>
    <row r="57" spans="1:6" ht="24" customHeight="1" x14ac:dyDescent="0.15">
      <c r="A57" s="3"/>
      <c r="B57" s="166" t="s">
        <v>240</v>
      </c>
      <c r="C57" s="159">
        <v>337779.4</v>
      </c>
      <c r="D57" s="159">
        <v>363233.4</v>
      </c>
      <c r="E57" s="161">
        <v>436729.06</v>
      </c>
      <c r="F57" s="8"/>
    </row>
    <row r="58" spans="1:6" ht="24" customHeight="1" x14ac:dyDescent="0.15">
      <c r="A58" s="3"/>
      <c r="B58" s="166" t="s">
        <v>241</v>
      </c>
      <c r="C58" s="159">
        <v>966615.88</v>
      </c>
      <c r="D58" s="159">
        <v>649259.6</v>
      </c>
      <c r="E58" s="161">
        <v>920863.61</v>
      </c>
      <c r="F58" s="8"/>
    </row>
    <row r="59" spans="1:6" ht="24" customHeight="1" x14ac:dyDescent="0.15">
      <c r="A59" s="3"/>
      <c r="B59" s="166" t="s">
        <v>242</v>
      </c>
      <c r="C59" s="159">
        <v>160681.57</v>
      </c>
      <c r="D59" s="159">
        <v>84813.81</v>
      </c>
      <c r="E59" s="198"/>
      <c r="F59" s="8"/>
    </row>
    <row r="60" spans="1:6" ht="24" customHeight="1" x14ac:dyDescent="0.15">
      <c r="A60" s="3"/>
      <c r="B60" s="166" t="s">
        <v>243</v>
      </c>
      <c r="C60" s="159">
        <v>287467.31</v>
      </c>
      <c r="D60" s="159">
        <v>185788.59</v>
      </c>
      <c r="E60" s="198"/>
      <c r="F60" s="8"/>
    </row>
    <row r="61" spans="1:6" ht="24" customHeight="1" x14ac:dyDescent="0.15">
      <c r="A61" s="3"/>
      <c r="B61" s="166" t="s">
        <v>244</v>
      </c>
      <c r="C61" s="159">
        <v>118935.77</v>
      </c>
      <c r="D61" s="159">
        <v>78272.87</v>
      </c>
      <c r="E61" s="198"/>
      <c r="F61" s="8"/>
    </row>
    <row r="62" spans="1:6" ht="24" customHeight="1" x14ac:dyDescent="0.15">
      <c r="A62" s="3"/>
      <c r="B62" s="166" t="s">
        <v>138</v>
      </c>
      <c r="C62" s="159">
        <v>299589.13</v>
      </c>
      <c r="D62" s="159">
        <v>190670.5</v>
      </c>
      <c r="E62" s="161">
        <v>212701.55</v>
      </c>
      <c r="F62" s="8"/>
    </row>
    <row r="63" spans="1:6" ht="24" customHeight="1" x14ac:dyDescent="0.15">
      <c r="A63" s="3"/>
      <c r="B63" s="166" t="s">
        <v>245</v>
      </c>
      <c r="C63" s="159">
        <v>18001.810000000001</v>
      </c>
      <c r="D63" s="159">
        <v>10769.13</v>
      </c>
      <c r="E63" s="161">
        <v>10793.88</v>
      </c>
      <c r="F63" s="8"/>
    </row>
    <row r="64" spans="1:6" ht="24" customHeight="1" x14ac:dyDescent="0.15">
      <c r="A64" s="3"/>
      <c r="B64" s="166" t="s">
        <v>136</v>
      </c>
      <c r="C64" s="159">
        <v>213232.5</v>
      </c>
      <c r="D64" s="159">
        <v>121817.49</v>
      </c>
      <c r="E64" s="161">
        <v>127342.86</v>
      </c>
      <c r="F64" s="8"/>
    </row>
    <row r="65" spans="1:6" ht="24" customHeight="1" x14ac:dyDescent="0.15">
      <c r="A65" s="3"/>
      <c r="B65" s="166" t="s">
        <v>121</v>
      </c>
      <c r="C65" s="159">
        <v>319175.59000000003</v>
      </c>
      <c r="D65" s="159">
        <v>225545.82</v>
      </c>
      <c r="E65" s="161">
        <v>228499.66</v>
      </c>
      <c r="F65" s="8"/>
    </row>
    <row r="66" spans="1:6" ht="24" customHeight="1" x14ac:dyDescent="0.15">
      <c r="A66" s="3"/>
      <c r="B66" s="166" t="s">
        <v>246</v>
      </c>
      <c r="C66" s="159">
        <v>69088.62</v>
      </c>
      <c r="D66" s="159">
        <v>43712.27</v>
      </c>
      <c r="E66" s="198"/>
      <c r="F66" s="8"/>
    </row>
    <row r="67" spans="1:6" ht="24" customHeight="1" x14ac:dyDescent="0.15">
      <c r="A67" s="3"/>
      <c r="B67" s="166" t="s">
        <v>247</v>
      </c>
      <c r="C67" s="159">
        <v>25112.47</v>
      </c>
      <c r="D67" s="159">
        <v>9743.6</v>
      </c>
      <c r="E67" s="161">
        <v>18669.099999999999</v>
      </c>
      <c r="F67" s="8"/>
    </row>
    <row r="68" spans="1:6" ht="24" customHeight="1" x14ac:dyDescent="0.15">
      <c r="A68" s="3"/>
      <c r="B68" s="166" t="s">
        <v>248</v>
      </c>
      <c r="C68" s="159">
        <v>85934.29</v>
      </c>
      <c r="D68" s="159">
        <v>52061.26</v>
      </c>
      <c r="E68" s="161">
        <v>47817.84</v>
      </c>
      <c r="F68" s="8"/>
    </row>
    <row r="69" spans="1:6" ht="19.5" customHeight="1" x14ac:dyDescent="0.15">
      <c r="A69" s="3"/>
      <c r="B69" s="169"/>
      <c r="C69" s="167"/>
      <c r="D69" s="167"/>
      <c r="E69" s="198"/>
      <c r="F69" s="8"/>
    </row>
    <row r="70" spans="1:6" ht="19.5" customHeight="1" x14ac:dyDescent="0.15">
      <c r="A70" s="3"/>
      <c r="B70" s="151" t="s">
        <v>142</v>
      </c>
      <c r="C70" s="206">
        <v>6401796.7699999996</v>
      </c>
      <c r="D70" s="206">
        <v>7662232.4500000002</v>
      </c>
      <c r="E70" s="206">
        <v>6907332.25</v>
      </c>
      <c r="F70" s="8"/>
    </row>
    <row r="71" spans="1:6" ht="19.5" customHeight="1" x14ac:dyDescent="0.15">
      <c r="B71" s="140"/>
      <c r="C71" s="140"/>
      <c r="D71" s="141"/>
      <c r="E71" s="14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25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24">
        <f t="shared" ref="C5:E5" si="0">SUM(C6:C13)</f>
        <v>1192545.4799999997</v>
      </c>
      <c r="D5" s="30">
        <f t="shared" si="0"/>
        <v>1083952.45</v>
      </c>
      <c r="E5" s="30">
        <f t="shared" si="0"/>
        <v>1222286.01</v>
      </c>
      <c r="F5" s="18"/>
    </row>
    <row r="6" spans="1:6" ht="13" x14ac:dyDescent="0.15">
      <c r="A6" s="19">
        <v>411</v>
      </c>
      <c r="B6" s="37" t="s">
        <v>38</v>
      </c>
      <c r="C6" s="56">
        <v>666552.71</v>
      </c>
      <c r="D6" s="57">
        <v>667385.4</v>
      </c>
      <c r="E6" s="57">
        <v>762776.83</v>
      </c>
      <c r="F6" s="41"/>
    </row>
    <row r="7" spans="1:6" ht="13" x14ac:dyDescent="0.15">
      <c r="A7" s="19">
        <v>412</v>
      </c>
      <c r="B7" s="58" t="s">
        <v>54</v>
      </c>
      <c r="C7" s="56">
        <v>193918.85</v>
      </c>
      <c r="D7" s="57">
        <v>156583.76999999999</v>
      </c>
      <c r="E7" s="57">
        <v>130313</v>
      </c>
      <c r="F7" s="41"/>
    </row>
    <row r="8" spans="1:6" ht="13" x14ac:dyDescent="0.15">
      <c r="A8" s="19">
        <v>413</v>
      </c>
      <c r="B8" s="58" t="s">
        <v>3</v>
      </c>
      <c r="C8" s="56">
        <v>255915.51999999999</v>
      </c>
      <c r="D8" s="57">
        <v>171365.97</v>
      </c>
      <c r="E8" s="57">
        <v>179478.79</v>
      </c>
      <c r="F8" s="41"/>
    </row>
    <row r="9" spans="1:6" ht="13" x14ac:dyDescent="0.15">
      <c r="A9" s="44">
        <v>414</v>
      </c>
      <c r="B9" s="37" t="s">
        <v>5</v>
      </c>
      <c r="C9" s="56">
        <v>25298.74</v>
      </c>
      <c r="D9" s="57">
        <v>35009.800000000003</v>
      </c>
      <c r="E9" s="57">
        <v>56931.09</v>
      </c>
      <c r="F9" s="41"/>
    </row>
    <row r="10" spans="1:6" ht="13" x14ac:dyDescent="0.15">
      <c r="A10" s="19">
        <v>415</v>
      </c>
      <c r="B10" s="60" t="s">
        <v>6</v>
      </c>
      <c r="C10" s="16"/>
      <c r="D10" s="18"/>
      <c r="E10" s="18"/>
      <c r="F10" s="41"/>
    </row>
    <row r="11" spans="1:6" ht="13" x14ac:dyDescent="0.15">
      <c r="A11" s="19">
        <v>416</v>
      </c>
      <c r="B11" s="37" t="s">
        <v>7</v>
      </c>
      <c r="C11" s="16"/>
      <c r="D11" s="18"/>
      <c r="E11" s="18"/>
      <c r="F11" s="41"/>
    </row>
    <row r="12" spans="1:6" ht="13" x14ac:dyDescent="0.15">
      <c r="A12" s="19">
        <v>417</v>
      </c>
      <c r="B12" s="37" t="s">
        <v>8</v>
      </c>
      <c r="C12" s="16"/>
      <c r="D12" s="18"/>
      <c r="E12" s="18"/>
      <c r="F12" s="41"/>
    </row>
    <row r="13" spans="1:6" ht="13" x14ac:dyDescent="0.15">
      <c r="A13" s="19">
        <v>418</v>
      </c>
      <c r="B13" s="37" t="s">
        <v>55</v>
      </c>
      <c r="C13" s="56">
        <v>50859.66</v>
      </c>
      <c r="D13" s="57">
        <v>53607.51</v>
      </c>
      <c r="E13" s="57">
        <v>92786.3</v>
      </c>
      <c r="F13" s="41"/>
    </row>
    <row r="14" spans="1:6" ht="13" x14ac:dyDescent="0.15">
      <c r="A14" s="19">
        <v>42</v>
      </c>
      <c r="B14" s="82" t="s">
        <v>9</v>
      </c>
      <c r="C14" s="83">
        <f>308+4898.05</f>
        <v>5206.05</v>
      </c>
      <c r="D14" s="89">
        <f>462+4298</f>
        <v>4760</v>
      </c>
      <c r="E14" s="89">
        <f>385+1324.49</f>
        <v>1709.49</v>
      </c>
      <c r="F14" s="85"/>
    </row>
    <row r="15" spans="1:6" ht="16.5" customHeight="1" x14ac:dyDescent="0.15">
      <c r="A15" s="49">
        <v>43</v>
      </c>
      <c r="B15" s="60" t="s">
        <v>10</v>
      </c>
      <c r="C15" s="71">
        <v>169180.01</v>
      </c>
      <c r="D15" s="75">
        <v>113695.81</v>
      </c>
      <c r="E15" s="71">
        <v>178520.81</v>
      </c>
      <c r="F15" s="18"/>
    </row>
    <row r="16" spans="1:6" ht="13" x14ac:dyDescent="0.15">
      <c r="A16" s="44" t="s">
        <v>58</v>
      </c>
      <c r="B16" s="45" t="s">
        <v>11</v>
      </c>
      <c r="C16" s="67">
        <f>11400+45546</f>
        <v>56946</v>
      </c>
      <c r="D16" s="46">
        <f>15936+28620</f>
        <v>44556</v>
      </c>
      <c r="E16" s="67">
        <f>3500+33550+2652.17+500.82+1000+2988+13000+1000</f>
        <v>58190.99</v>
      </c>
      <c r="F16" s="18"/>
    </row>
    <row r="17" spans="1:6" ht="31.5" customHeight="1" x14ac:dyDescent="0.15">
      <c r="A17" s="44" t="s">
        <v>59</v>
      </c>
      <c r="B17" s="45" t="s">
        <v>12</v>
      </c>
      <c r="C17" s="67">
        <f>9600+19999.76+9550.5+2500+7800</f>
        <v>49450.259999999995</v>
      </c>
      <c r="D17" s="46">
        <f>4772.5+8530.93+8358.67</f>
        <v>21662.1</v>
      </c>
      <c r="E17" s="67">
        <f>5000+10800+9571.32</f>
        <v>25371.32</v>
      </c>
      <c r="F17" s="18"/>
    </row>
    <row r="18" spans="1:6" ht="13" x14ac:dyDescent="0.15">
      <c r="A18" s="44" t="s">
        <v>60</v>
      </c>
      <c r="B18" s="74" t="s">
        <v>13</v>
      </c>
      <c r="C18" s="46">
        <f>16990+24750+20083.75+960</f>
        <v>62783.75</v>
      </c>
      <c r="D18" s="67">
        <f>17810+24750+4967.71</f>
        <v>47527.71</v>
      </c>
      <c r="E18" s="48">
        <f>18000+27350+47653.5+1955</f>
        <v>94958.5</v>
      </c>
      <c r="F18" s="88"/>
    </row>
    <row r="19" spans="1:6" ht="13" x14ac:dyDescent="0.15">
      <c r="A19" s="44" t="s">
        <v>61</v>
      </c>
      <c r="B19" s="74" t="s">
        <v>62</v>
      </c>
      <c r="C19" s="46"/>
      <c r="D19" s="67"/>
      <c r="E19" s="48"/>
      <c r="F19" s="95"/>
    </row>
    <row r="20" spans="1:6" ht="13" x14ac:dyDescent="0.15">
      <c r="A20" s="19">
        <v>44</v>
      </c>
      <c r="B20" s="37" t="s">
        <v>14</v>
      </c>
      <c r="C20" s="56">
        <v>784040.76</v>
      </c>
      <c r="D20" s="57">
        <v>210935.83</v>
      </c>
      <c r="E20" s="57">
        <v>360373.73</v>
      </c>
      <c r="F20" s="18"/>
    </row>
    <row r="21" spans="1:6" ht="13" x14ac:dyDescent="0.15">
      <c r="A21" s="19">
        <v>45</v>
      </c>
      <c r="B21" s="47" t="s">
        <v>63</v>
      </c>
      <c r="C21" s="16"/>
      <c r="D21" s="18"/>
      <c r="E21" s="18"/>
      <c r="F21" s="18"/>
    </row>
    <row r="22" spans="1:6" ht="13" x14ac:dyDescent="0.15">
      <c r="A22" s="19">
        <v>46</v>
      </c>
      <c r="B22" s="20" t="s">
        <v>16</v>
      </c>
      <c r="C22" s="16">
        <f>23764.22+65266.55</f>
        <v>89030.77</v>
      </c>
      <c r="D22" s="18">
        <f>24197.24+229773.39</f>
        <v>253970.63</v>
      </c>
      <c r="E22" s="18">
        <f>19408.21+195656.44</f>
        <v>215064.65</v>
      </c>
      <c r="F22" s="18"/>
    </row>
    <row r="23" spans="1:6" ht="13" x14ac:dyDescent="0.15">
      <c r="A23" s="19">
        <v>47</v>
      </c>
      <c r="B23" s="20" t="s">
        <v>17</v>
      </c>
      <c r="C23" s="56">
        <v>52703.1</v>
      </c>
      <c r="D23" s="57">
        <v>36195.1</v>
      </c>
      <c r="E23" s="57">
        <v>44346.59</v>
      </c>
      <c r="F23" s="18"/>
    </row>
    <row r="24" spans="1:6" ht="13" x14ac:dyDescent="0.15">
      <c r="A24" s="3"/>
      <c r="B24" s="20" t="s">
        <v>18</v>
      </c>
      <c r="C24" s="56">
        <v>2292706.17</v>
      </c>
      <c r="D24" s="57">
        <v>1703509.82</v>
      </c>
      <c r="E24" s="57">
        <v>2022301.28</v>
      </c>
      <c r="F24" s="18"/>
    </row>
    <row r="25" spans="1:6" ht="13" x14ac:dyDescent="0.15">
      <c r="A25" s="3"/>
      <c r="B25" s="103" t="s">
        <v>64</v>
      </c>
      <c r="C25" s="104"/>
      <c r="D25" s="105"/>
      <c r="E25" s="105"/>
      <c r="F25" s="105"/>
    </row>
    <row r="26" spans="1:6" ht="13" x14ac:dyDescent="0.15">
      <c r="A26" s="19">
        <v>71</v>
      </c>
      <c r="B26" s="20" t="s">
        <v>39</v>
      </c>
      <c r="C26" s="107">
        <f t="shared" ref="C26:E26" si="1">SUM(C27:C31)</f>
        <v>750529.63</v>
      </c>
      <c r="D26" s="107">
        <f t="shared" si="1"/>
        <v>1162320.6200000001</v>
      </c>
      <c r="E26" s="107">
        <f t="shared" si="1"/>
        <v>1210344.9100000001</v>
      </c>
      <c r="F26" s="15"/>
    </row>
    <row r="27" spans="1:6" ht="13" x14ac:dyDescent="0.15">
      <c r="A27" s="44">
        <v>711</v>
      </c>
      <c r="B27" s="45" t="s">
        <v>40</v>
      </c>
      <c r="C27" s="39">
        <v>279409.51</v>
      </c>
      <c r="D27" s="39">
        <v>301828.78000000003</v>
      </c>
      <c r="E27" s="39">
        <v>291487.59999999998</v>
      </c>
      <c r="F27" s="41"/>
    </row>
    <row r="28" spans="1:6" ht="13" x14ac:dyDescent="0.15">
      <c r="A28" s="44">
        <v>713</v>
      </c>
      <c r="B28" s="45" t="s">
        <v>41</v>
      </c>
      <c r="C28" s="39">
        <v>130500.73</v>
      </c>
      <c r="D28" s="39">
        <v>180773.37</v>
      </c>
      <c r="E28" s="39">
        <v>158683.29</v>
      </c>
      <c r="F28" s="41"/>
    </row>
    <row r="29" spans="1:6" ht="13" x14ac:dyDescent="0.15">
      <c r="A29" s="44">
        <v>714</v>
      </c>
      <c r="B29" s="45" t="s">
        <v>42</v>
      </c>
      <c r="C29" s="48">
        <f>1822.65+10014.18+19983.41</f>
        <v>31820.239999999998</v>
      </c>
      <c r="D29" s="48">
        <f>125.3+544.73+41125.13</f>
        <v>41795.159999999996</v>
      </c>
      <c r="E29" s="48">
        <f>7329.2+31193.4+3040.27+50120.92+159452.9</f>
        <v>251136.69</v>
      </c>
      <c r="F29" s="41"/>
    </row>
    <row r="30" spans="1:6" ht="13" x14ac:dyDescent="0.15">
      <c r="A30" s="80"/>
      <c r="B30" s="45" t="s">
        <v>66</v>
      </c>
      <c r="C30" s="48">
        <f>13606.29+8078.57+300+1194.97+155982.18+45375.5</f>
        <v>224537.51</v>
      </c>
      <c r="D30" s="48">
        <f>73615.67+8759.66+3436.23+1277.41+375505.65+39102.81</f>
        <v>501697.43</v>
      </c>
      <c r="E30" s="48">
        <f>479.65+277.25+367450.54+37406.76+5113.16+382.9</f>
        <v>411110.26</v>
      </c>
      <c r="F30" s="41"/>
    </row>
    <row r="31" spans="1:6" ht="13" x14ac:dyDescent="0.15">
      <c r="A31" s="44">
        <v>715</v>
      </c>
      <c r="B31" s="45" t="s">
        <v>67</v>
      </c>
      <c r="C31" s="38">
        <v>84261.64</v>
      </c>
      <c r="D31" s="39">
        <v>136225.88</v>
      </c>
      <c r="E31" s="39">
        <v>97927.07</v>
      </c>
      <c r="F31" s="41"/>
    </row>
    <row r="32" spans="1:6" ht="13" x14ac:dyDescent="0.15">
      <c r="A32" s="19">
        <v>72</v>
      </c>
      <c r="B32" s="113" t="s">
        <v>43</v>
      </c>
      <c r="C32" s="56">
        <v>11114.77</v>
      </c>
      <c r="D32" s="57">
        <v>21457.17</v>
      </c>
      <c r="E32" s="57">
        <v>9060.5400000000009</v>
      </c>
      <c r="F32" s="48"/>
    </row>
    <row r="33" spans="1:6" ht="18" customHeight="1" x14ac:dyDescent="0.15">
      <c r="A33" s="115">
        <v>73</v>
      </c>
      <c r="B33" s="47" t="s">
        <v>68</v>
      </c>
      <c r="C33" s="131">
        <v>139385.18</v>
      </c>
      <c r="D33" s="131">
        <v>12249.41</v>
      </c>
      <c r="E33" s="131">
        <v>1735.59</v>
      </c>
      <c r="F33" s="117"/>
    </row>
    <row r="34" spans="1:6" ht="13" x14ac:dyDescent="0.15">
      <c r="A34" s="19">
        <v>74</v>
      </c>
      <c r="B34" s="60" t="s">
        <v>44</v>
      </c>
      <c r="C34" s="108">
        <f>54000+1349926</f>
        <v>1403926</v>
      </c>
      <c r="D34" s="75">
        <v>509218.21</v>
      </c>
      <c r="E34" s="75">
        <v>653142.51</v>
      </c>
      <c r="F34" s="18"/>
    </row>
    <row r="35" spans="1:6" ht="13" x14ac:dyDescent="0.15">
      <c r="A35" s="44">
        <v>741</v>
      </c>
      <c r="B35" s="45" t="s">
        <v>45</v>
      </c>
      <c r="C35" s="40">
        <v>184184</v>
      </c>
      <c r="D35" s="43">
        <v>35542.21</v>
      </c>
      <c r="E35" s="43">
        <v>73432.509999999995</v>
      </c>
      <c r="F35" s="18"/>
    </row>
    <row r="36" spans="1:6" ht="13" x14ac:dyDescent="0.15">
      <c r="A36" s="44">
        <v>742</v>
      </c>
      <c r="B36" s="45" t="s">
        <v>46</v>
      </c>
      <c r="C36" s="40">
        <v>1165742</v>
      </c>
      <c r="D36" s="43">
        <v>473676</v>
      </c>
      <c r="E36" s="43">
        <v>579710</v>
      </c>
      <c r="F36" s="18"/>
    </row>
    <row r="37" spans="1:6" ht="13" x14ac:dyDescent="0.15">
      <c r="A37" s="80"/>
      <c r="B37" s="45" t="s">
        <v>81</v>
      </c>
      <c r="C37" s="111" t="s">
        <v>91</v>
      </c>
      <c r="D37" s="109"/>
      <c r="E37" s="109"/>
      <c r="F37" s="18"/>
    </row>
    <row r="38" spans="1:6" ht="13" x14ac:dyDescent="0.15">
      <c r="A38" s="19">
        <v>751</v>
      </c>
      <c r="B38" s="37" t="s">
        <v>63</v>
      </c>
      <c r="C38" s="16"/>
      <c r="D38" s="18"/>
      <c r="E38" s="57">
        <v>150000</v>
      </c>
      <c r="F38" s="18"/>
    </row>
    <row r="39" spans="1:6" ht="13" x14ac:dyDescent="0.15">
      <c r="A39" s="3"/>
      <c r="B39" s="37" t="s">
        <v>82</v>
      </c>
      <c r="C39" s="56">
        <v>2304955.58</v>
      </c>
      <c r="D39" s="57">
        <v>1705245.41</v>
      </c>
      <c r="E39" s="57">
        <v>2024283.55</v>
      </c>
      <c r="F39" s="18"/>
    </row>
    <row r="40" spans="1:6" ht="13" x14ac:dyDescent="0.15">
      <c r="A40" s="3"/>
      <c r="B40" s="103" t="s">
        <v>83</v>
      </c>
      <c r="C40" s="104"/>
      <c r="D40" s="105"/>
      <c r="E40" s="105"/>
      <c r="F40" s="105"/>
    </row>
    <row r="41" spans="1:6" ht="13" x14ac:dyDescent="0.15">
      <c r="A41" s="3"/>
      <c r="B41" s="42" t="s">
        <v>84</v>
      </c>
      <c r="C41" s="66"/>
      <c r="D41" s="48"/>
      <c r="E41" s="48"/>
      <c r="F41" s="48"/>
    </row>
    <row r="42" spans="1:6" ht="13" x14ac:dyDescent="0.15">
      <c r="A42" s="3"/>
      <c r="B42" s="42" t="s">
        <v>49</v>
      </c>
      <c r="C42" s="66"/>
      <c r="D42" s="48"/>
      <c r="E42" s="48"/>
      <c r="F42" s="48"/>
    </row>
    <row r="43" spans="1:6" ht="13" x14ac:dyDescent="0.15">
      <c r="A43" s="3"/>
      <c r="B43" s="42" t="s">
        <v>51</v>
      </c>
      <c r="C43" s="66"/>
      <c r="D43" s="48"/>
      <c r="E43" s="48"/>
      <c r="F43" s="48"/>
    </row>
    <row r="44" spans="1:6" ht="13" x14ac:dyDescent="0.15">
      <c r="A44" s="3"/>
      <c r="B44" s="42" t="s">
        <v>86</v>
      </c>
      <c r="C44" s="66"/>
      <c r="D44" s="48"/>
      <c r="E44" s="48"/>
      <c r="F44" s="48"/>
    </row>
    <row r="45" spans="1:6" ht="13" x14ac:dyDescent="0.15">
      <c r="A45" s="3"/>
      <c r="B45" s="134"/>
      <c r="C45" s="104"/>
      <c r="D45" s="105"/>
      <c r="E45" s="105"/>
      <c r="F45" s="105"/>
    </row>
    <row r="46" spans="1:6" ht="19.5" customHeight="1" x14ac:dyDescent="0.15">
      <c r="B46" s="140"/>
      <c r="C46" s="140"/>
      <c r="D46" s="141"/>
      <c r="E46" s="140"/>
      <c r="F46" s="140"/>
    </row>
    <row r="47" spans="1:6" ht="19.5" customHeight="1" x14ac:dyDescent="0.15">
      <c r="B47" s="148" t="s">
        <v>96</v>
      </c>
      <c r="C47" s="1"/>
      <c r="D47" s="150"/>
      <c r="E47" s="1"/>
    </row>
    <row r="48" spans="1:6" ht="19.5" customHeight="1" x14ac:dyDescent="0.15">
      <c r="A48" s="3"/>
      <c r="B48" s="182" t="s">
        <v>106</v>
      </c>
      <c r="C48" s="184">
        <f t="shared" ref="C48:E48" si="2">C72-C70</f>
        <v>1621471.97</v>
      </c>
      <c r="D48" s="184">
        <f t="shared" si="2"/>
        <v>1486987.1500000001</v>
      </c>
      <c r="E48" s="184">
        <f t="shared" si="2"/>
        <v>1813117.06</v>
      </c>
      <c r="F48" s="8"/>
    </row>
    <row r="49" spans="1:6" ht="24" customHeight="1" x14ac:dyDescent="0.15">
      <c r="A49" s="3"/>
      <c r="B49" s="185" t="s">
        <v>158</v>
      </c>
      <c r="C49" s="159">
        <v>181868.89</v>
      </c>
      <c r="D49" s="159">
        <v>172067.33</v>
      </c>
      <c r="E49" s="159">
        <v>218542.59</v>
      </c>
      <c r="F49" s="8"/>
    </row>
    <row r="50" spans="1:6" ht="24" customHeight="1" x14ac:dyDescent="0.15">
      <c r="A50" s="3"/>
      <c r="B50" s="185" t="s">
        <v>153</v>
      </c>
      <c r="C50" s="159">
        <v>19699.46</v>
      </c>
      <c r="D50" s="159">
        <v>19981.46</v>
      </c>
      <c r="E50" s="159">
        <v>18243.72</v>
      </c>
      <c r="F50" s="8"/>
    </row>
    <row r="51" spans="1:6" ht="24" customHeight="1" x14ac:dyDescent="0.15">
      <c r="A51" s="3"/>
      <c r="B51" s="201" t="s">
        <v>159</v>
      </c>
      <c r="C51" s="159">
        <v>169426.95</v>
      </c>
      <c r="D51" s="159">
        <v>138907.66</v>
      </c>
      <c r="E51" s="159">
        <v>180746.61</v>
      </c>
      <c r="F51" s="8"/>
    </row>
    <row r="52" spans="1:6" ht="24" customHeight="1" x14ac:dyDescent="0.15">
      <c r="A52" s="3"/>
      <c r="B52" s="201" t="s">
        <v>161</v>
      </c>
      <c r="C52" s="159">
        <v>17076.080000000002</v>
      </c>
      <c r="D52" s="159">
        <v>16131.39</v>
      </c>
      <c r="E52" s="159">
        <v>17149.89</v>
      </c>
      <c r="F52" s="8"/>
    </row>
    <row r="53" spans="1:6" ht="24" customHeight="1" x14ac:dyDescent="0.15">
      <c r="A53" s="3"/>
      <c r="B53" s="201" t="s">
        <v>199</v>
      </c>
      <c r="C53" s="159">
        <v>71780.81</v>
      </c>
      <c r="D53" s="159">
        <v>60625.32</v>
      </c>
      <c r="E53" s="159">
        <v>64206.66</v>
      </c>
      <c r="F53" s="8"/>
    </row>
    <row r="54" spans="1:6" ht="24" customHeight="1" x14ac:dyDescent="0.15">
      <c r="A54" s="3"/>
      <c r="B54" s="201" t="s">
        <v>200</v>
      </c>
      <c r="C54" s="159">
        <v>22941.279999999999</v>
      </c>
      <c r="D54" s="159">
        <v>36556.39</v>
      </c>
      <c r="E54" s="159">
        <v>36962.870000000003</v>
      </c>
      <c r="F54" s="8"/>
    </row>
    <row r="55" spans="1:6" ht="24" customHeight="1" x14ac:dyDescent="0.15">
      <c r="A55" s="3"/>
      <c r="B55" s="185" t="s">
        <v>201</v>
      </c>
      <c r="C55" s="159">
        <v>161926.01</v>
      </c>
      <c r="D55" s="159">
        <v>121722.61</v>
      </c>
      <c r="E55" s="159">
        <v>140218.89000000001</v>
      </c>
      <c r="F55" s="8"/>
    </row>
    <row r="56" spans="1:6" ht="24" customHeight="1" x14ac:dyDescent="0.15">
      <c r="A56" s="3"/>
      <c r="B56" s="201" t="s">
        <v>149</v>
      </c>
      <c r="C56" s="159">
        <v>28666.38</v>
      </c>
      <c r="D56" s="159">
        <v>24994.16</v>
      </c>
      <c r="E56" s="159">
        <v>38667.78</v>
      </c>
      <c r="F56" s="8"/>
    </row>
    <row r="57" spans="1:6" ht="31.5" customHeight="1" x14ac:dyDescent="0.15">
      <c r="A57" s="3"/>
      <c r="B57" s="185" t="s">
        <v>202</v>
      </c>
      <c r="C57" s="224">
        <v>87049.46</v>
      </c>
      <c r="D57" s="224">
        <v>61588.23</v>
      </c>
      <c r="E57" s="224">
        <v>63110.75</v>
      </c>
      <c r="F57" s="8"/>
    </row>
    <row r="58" spans="1:6" ht="24" customHeight="1" x14ac:dyDescent="0.15">
      <c r="A58" s="3"/>
      <c r="B58" s="201" t="s">
        <v>263</v>
      </c>
      <c r="C58" s="159">
        <v>94989.57</v>
      </c>
      <c r="D58" s="159">
        <v>93691.27</v>
      </c>
      <c r="E58" s="159">
        <v>98050.73</v>
      </c>
      <c r="F58" s="8"/>
    </row>
    <row r="59" spans="1:6" ht="24" customHeight="1" x14ac:dyDescent="0.15">
      <c r="A59" s="3"/>
      <c r="B59" s="201" t="s">
        <v>264</v>
      </c>
      <c r="C59" s="159">
        <v>45228.77</v>
      </c>
      <c r="D59" s="159">
        <v>38748.68</v>
      </c>
      <c r="E59" s="159">
        <v>43735.18</v>
      </c>
      <c r="F59" s="8"/>
    </row>
    <row r="60" spans="1:6" ht="24" customHeight="1" x14ac:dyDescent="0.15">
      <c r="A60" s="3"/>
      <c r="B60" s="201" t="s">
        <v>134</v>
      </c>
      <c r="C60" s="159">
        <v>17858.990000000002</v>
      </c>
      <c r="D60" s="159">
        <v>3210.03</v>
      </c>
      <c r="E60" s="159">
        <v>9530.9699999999993</v>
      </c>
      <c r="F60" s="8"/>
    </row>
    <row r="61" spans="1:6" ht="24" customHeight="1" x14ac:dyDescent="0.15">
      <c r="A61" s="3"/>
      <c r="B61" s="201" t="s">
        <v>265</v>
      </c>
      <c r="C61" s="159">
        <v>5004.82</v>
      </c>
      <c r="D61" s="159">
        <v>2922.11</v>
      </c>
      <c r="E61" s="159">
        <v>10974.58</v>
      </c>
      <c r="F61" s="8"/>
    </row>
    <row r="62" spans="1:6" ht="24" customHeight="1" x14ac:dyDescent="0.15">
      <c r="A62" s="3"/>
      <c r="B62" s="201" t="s">
        <v>266</v>
      </c>
      <c r="C62" s="159">
        <v>149953</v>
      </c>
      <c r="D62" s="159">
        <v>154752.49</v>
      </c>
      <c r="E62" s="159">
        <v>198916.5</v>
      </c>
      <c r="F62" s="8"/>
    </row>
    <row r="63" spans="1:6" ht="24" customHeight="1" x14ac:dyDescent="0.15">
      <c r="A63" s="3"/>
      <c r="B63" s="201" t="s">
        <v>267</v>
      </c>
      <c r="C63" s="159">
        <v>105493.35</v>
      </c>
      <c r="D63" s="159">
        <v>127369.87</v>
      </c>
      <c r="E63" s="159">
        <v>148411.59</v>
      </c>
      <c r="F63" s="8"/>
    </row>
    <row r="64" spans="1:6" ht="24" customHeight="1" x14ac:dyDescent="0.15">
      <c r="A64" s="3"/>
      <c r="B64" s="201" t="s">
        <v>268</v>
      </c>
      <c r="C64" s="159">
        <v>45546</v>
      </c>
      <c r="D64" s="159">
        <v>28620</v>
      </c>
      <c r="E64" s="159">
        <v>43890.99</v>
      </c>
      <c r="F64" s="8"/>
    </row>
    <row r="65" spans="1:6" ht="24" customHeight="1" x14ac:dyDescent="0.15">
      <c r="A65" s="3"/>
      <c r="B65" s="201" t="s">
        <v>269</v>
      </c>
      <c r="C65" s="159">
        <v>49450.26</v>
      </c>
      <c r="D65" s="159">
        <v>22812.1</v>
      </c>
      <c r="E65" s="159">
        <v>39487.47</v>
      </c>
      <c r="F65" s="8"/>
    </row>
    <row r="66" spans="1:6" ht="24" customHeight="1" x14ac:dyDescent="0.15">
      <c r="A66" s="3"/>
      <c r="B66" s="201" t="s">
        <v>185</v>
      </c>
      <c r="C66" s="159">
        <v>585</v>
      </c>
      <c r="D66" s="159">
        <v>50</v>
      </c>
      <c r="E66" s="159">
        <v>1873.8</v>
      </c>
      <c r="F66" s="8"/>
    </row>
    <row r="67" spans="1:6" ht="24" customHeight="1" x14ac:dyDescent="0.15">
      <c r="A67" s="3"/>
      <c r="B67" s="201" t="s">
        <v>270</v>
      </c>
      <c r="C67" s="159">
        <v>168369.36</v>
      </c>
      <c r="D67" s="159">
        <v>170012.43</v>
      </c>
      <c r="E67" s="159">
        <v>262080.88</v>
      </c>
      <c r="F67" s="8"/>
    </row>
    <row r="68" spans="1:6" ht="24" customHeight="1" x14ac:dyDescent="0.15">
      <c r="A68" s="3"/>
      <c r="B68" s="201" t="s">
        <v>271</v>
      </c>
      <c r="C68" s="159">
        <v>178557.53</v>
      </c>
      <c r="D68" s="159">
        <v>192223.62</v>
      </c>
      <c r="E68" s="159">
        <v>178314.61</v>
      </c>
      <c r="F68" s="8"/>
    </row>
    <row r="69" spans="1:6" ht="24" customHeight="1" x14ac:dyDescent="0.15">
      <c r="A69" s="3"/>
      <c r="B69" s="231"/>
      <c r="C69" s="167"/>
      <c r="D69" s="167"/>
      <c r="E69" s="167"/>
      <c r="F69" s="8"/>
    </row>
    <row r="70" spans="1:6" ht="24" customHeight="1" x14ac:dyDescent="0.15">
      <c r="A70" s="3"/>
      <c r="B70" s="195" t="s">
        <v>304</v>
      </c>
      <c r="C70" s="196">
        <v>671234.2</v>
      </c>
      <c r="D70" s="196">
        <v>216522.67</v>
      </c>
      <c r="E70" s="196">
        <v>209184.22</v>
      </c>
      <c r="F70" s="8"/>
    </row>
    <row r="71" spans="1:6" ht="19.5" customHeight="1" x14ac:dyDescent="0.15">
      <c r="A71" s="3"/>
      <c r="B71" s="250"/>
      <c r="C71" s="184"/>
      <c r="D71" s="184"/>
      <c r="E71" s="184"/>
      <c r="F71" s="8"/>
    </row>
    <row r="72" spans="1:6" ht="19.5" customHeight="1" x14ac:dyDescent="0.15">
      <c r="A72" s="3"/>
      <c r="B72" s="253" t="s">
        <v>142</v>
      </c>
      <c r="C72" s="254">
        <v>2292706.17</v>
      </c>
      <c r="D72" s="254">
        <v>1703509.82</v>
      </c>
      <c r="E72" s="254">
        <v>2022301.28</v>
      </c>
      <c r="F72" s="8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6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26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56">
        <v>7131490.2999999998</v>
      </c>
      <c r="D5" s="57">
        <v>6076580.7599999998</v>
      </c>
      <c r="E5" s="57">
        <v>7132775.0700000003</v>
      </c>
      <c r="F5" s="18"/>
    </row>
    <row r="6" spans="1:6" ht="13" x14ac:dyDescent="0.15">
      <c r="A6" s="19">
        <v>411</v>
      </c>
      <c r="B6" s="37" t="s">
        <v>38</v>
      </c>
      <c r="C6" s="56">
        <v>2444872.1</v>
      </c>
      <c r="D6" s="57">
        <v>2234006.96</v>
      </c>
      <c r="E6" s="57">
        <v>1703028.75</v>
      </c>
      <c r="F6" s="41"/>
    </row>
    <row r="7" spans="1:6" ht="13" x14ac:dyDescent="0.15">
      <c r="A7" s="19">
        <v>412</v>
      </c>
      <c r="B7" s="58" t="s">
        <v>54</v>
      </c>
      <c r="C7" s="56">
        <v>559146.11</v>
      </c>
      <c r="D7" s="57">
        <v>777732.85</v>
      </c>
      <c r="E7" s="57">
        <v>2217301.85</v>
      </c>
      <c r="F7" s="41"/>
    </row>
    <row r="8" spans="1:6" ht="13" x14ac:dyDescent="0.15">
      <c r="A8" s="19">
        <v>413</v>
      </c>
      <c r="B8" s="58" t="s">
        <v>3</v>
      </c>
      <c r="C8" s="56">
        <v>2732875</v>
      </c>
      <c r="D8" s="57">
        <v>2246424.4</v>
      </c>
      <c r="E8" s="57">
        <v>2062089.05</v>
      </c>
      <c r="F8" s="41"/>
    </row>
    <row r="9" spans="1:6" ht="13" x14ac:dyDescent="0.15">
      <c r="A9" s="44">
        <v>414</v>
      </c>
      <c r="B9" s="37" t="s">
        <v>5</v>
      </c>
      <c r="C9" s="56">
        <v>994683.98</v>
      </c>
      <c r="D9" s="57">
        <v>216061.32</v>
      </c>
      <c r="E9" s="57">
        <v>110228.07</v>
      </c>
      <c r="F9" s="41"/>
    </row>
    <row r="10" spans="1:6" ht="13" x14ac:dyDescent="0.15">
      <c r="A10" s="19">
        <v>415</v>
      </c>
      <c r="B10" s="60" t="s">
        <v>6</v>
      </c>
      <c r="C10" s="56">
        <v>174772.58</v>
      </c>
      <c r="D10" s="57">
        <v>206964.76</v>
      </c>
      <c r="E10" s="57">
        <v>872459.73</v>
      </c>
      <c r="F10" s="41"/>
    </row>
    <row r="11" spans="1:6" ht="13" x14ac:dyDescent="0.15">
      <c r="A11" s="19">
        <v>416</v>
      </c>
      <c r="B11" s="37" t="s">
        <v>7</v>
      </c>
      <c r="C11" s="56">
        <v>126500.1</v>
      </c>
      <c r="D11" s="57">
        <v>203524.45</v>
      </c>
      <c r="E11" s="57">
        <v>87889.62</v>
      </c>
      <c r="F11" s="41"/>
    </row>
    <row r="12" spans="1:6" ht="13" x14ac:dyDescent="0.15">
      <c r="A12" s="19">
        <v>417</v>
      </c>
      <c r="B12" s="37" t="s">
        <v>8</v>
      </c>
      <c r="C12" s="56">
        <v>98640.43</v>
      </c>
      <c r="D12" s="57">
        <v>189844</v>
      </c>
      <c r="E12" s="57">
        <v>79778</v>
      </c>
      <c r="F12" s="41"/>
    </row>
    <row r="13" spans="1:6" ht="13" x14ac:dyDescent="0.15">
      <c r="A13" s="19">
        <v>418</v>
      </c>
      <c r="B13" s="37" t="s">
        <v>55</v>
      </c>
      <c r="C13" s="16"/>
      <c r="D13" s="18"/>
      <c r="E13" s="57">
        <v>0</v>
      </c>
      <c r="F13" s="41"/>
    </row>
    <row r="14" spans="1:6" ht="13" x14ac:dyDescent="0.15">
      <c r="A14" s="19">
        <v>42</v>
      </c>
      <c r="B14" s="47" t="s">
        <v>9</v>
      </c>
      <c r="C14" s="56">
        <v>0</v>
      </c>
      <c r="D14" s="57">
        <v>0</v>
      </c>
      <c r="E14" s="57">
        <v>0</v>
      </c>
      <c r="F14" s="41"/>
    </row>
    <row r="15" spans="1:6" ht="16.5" customHeight="1" x14ac:dyDescent="0.15">
      <c r="A15" s="49">
        <v>43</v>
      </c>
      <c r="B15" s="60" t="s">
        <v>10</v>
      </c>
      <c r="C15" s="71">
        <v>2014237.64</v>
      </c>
      <c r="D15" s="75">
        <v>1463824.47</v>
      </c>
      <c r="E15" s="71">
        <v>1060683.3799999999</v>
      </c>
      <c r="F15" s="18"/>
    </row>
    <row r="16" spans="1:6" ht="13" x14ac:dyDescent="0.15">
      <c r="A16" s="44" t="s">
        <v>58</v>
      </c>
      <c r="B16" s="45" t="s">
        <v>11</v>
      </c>
      <c r="C16" s="38">
        <v>601660.68999999994</v>
      </c>
      <c r="D16" s="39">
        <v>279258.09999999998</v>
      </c>
      <c r="E16" s="39">
        <v>216987.49</v>
      </c>
      <c r="F16" s="18"/>
    </row>
    <row r="17" spans="1:6" ht="13" x14ac:dyDescent="0.15">
      <c r="A17" s="44" t="s">
        <v>59</v>
      </c>
      <c r="B17" s="45" t="s">
        <v>12</v>
      </c>
      <c r="C17" s="40">
        <v>126655.42</v>
      </c>
      <c r="D17" s="40">
        <v>100791.14</v>
      </c>
      <c r="E17" s="40">
        <v>63093.66</v>
      </c>
      <c r="F17" s="18"/>
    </row>
    <row r="18" spans="1:6" ht="13" x14ac:dyDescent="0.15">
      <c r="A18" s="44" t="s">
        <v>60</v>
      </c>
      <c r="B18" s="74" t="s">
        <v>13</v>
      </c>
      <c r="C18" s="38">
        <v>171656.77</v>
      </c>
      <c r="D18" s="39">
        <v>273803.63</v>
      </c>
      <c r="E18" s="39">
        <v>108070.7</v>
      </c>
      <c r="F18" s="76"/>
    </row>
    <row r="19" spans="1:6" ht="13" x14ac:dyDescent="0.15">
      <c r="A19" s="44" t="s">
        <v>61</v>
      </c>
      <c r="B19" s="74" t="s">
        <v>62</v>
      </c>
      <c r="C19" s="38">
        <v>1114264.76</v>
      </c>
      <c r="D19" s="39">
        <v>809971.6</v>
      </c>
      <c r="E19" s="39">
        <v>672531.53</v>
      </c>
      <c r="F19" s="76"/>
    </row>
    <row r="20" spans="1:6" ht="13" x14ac:dyDescent="0.15">
      <c r="A20" s="19">
        <v>44</v>
      </c>
      <c r="B20" s="37" t="s">
        <v>14</v>
      </c>
      <c r="C20" s="56">
        <v>1353994.08</v>
      </c>
      <c r="D20" s="57">
        <v>1676465.47</v>
      </c>
      <c r="E20" s="57">
        <v>2501121.71</v>
      </c>
      <c r="F20" s="18"/>
    </row>
    <row r="21" spans="1:6" ht="13" x14ac:dyDescent="0.15">
      <c r="A21" s="19">
        <v>45</v>
      </c>
      <c r="B21" s="47" t="s">
        <v>63</v>
      </c>
      <c r="C21" s="16"/>
      <c r="D21" s="18"/>
      <c r="E21" s="57">
        <v>76752.7</v>
      </c>
      <c r="F21" s="18"/>
    </row>
    <row r="22" spans="1:6" ht="13" x14ac:dyDescent="0.15">
      <c r="A22" s="19">
        <v>46</v>
      </c>
      <c r="B22" s="20" t="s">
        <v>16</v>
      </c>
      <c r="C22" s="56">
        <v>4670761.79</v>
      </c>
      <c r="D22" s="57">
        <v>5769024.04</v>
      </c>
      <c r="E22" s="57">
        <v>6572427.6200000001</v>
      </c>
      <c r="F22" s="18"/>
    </row>
    <row r="23" spans="1:6" ht="13" x14ac:dyDescent="0.15">
      <c r="A23" s="19">
        <v>47</v>
      </c>
      <c r="B23" s="20" t="s">
        <v>17</v>
      </c>
      <c r="C23" s="56">
        <v>1374542.41</v>
      </c>
      <c r="D23" s="57">
        <v>844270.75</v>
      </c>
      <c r="E23" s="57">
        <v>455798.89</v>
      </c>
      <c r="F23" s="18"/>
    </row>
    <row r="24" spans="1:6" ht="13" x14ac:dyDescent="0.15">
      <c r="A24" s="3"/>
      <c r="B24" s="20" t="s">
        <v>18</v>
      </c>
      <c r="C24" s="56">
        <v>16545026.220000001</v>
      </c>
      <c r="D24" s="57">
        <v>15830165.49</v>
      </c>
      <c r="E24" s="57">
        <v>17799559.370000001</v>
      </c>
      <c r="F24" s="18"/>
    </row>
    <row r="25" spans="1:6" ht="13" x14ac:dyDescent="0.15">
      <c r="A25" s="3"/>
      <c r="B25" s="103" t="s">
        <v>64</v>
      </c>
      <c r="C25" s="104"/>
      <c r="D25" s="105"/>
      <c r="E25" s="105"/>
      <c r="F25" s="105"/>
    </row>
    <row r="26" spans="1:6" ht="13" x14ac:dyDescent="0.15">
      <c r="A26" s="19">
        <v>71</v>
      </c>
      <c r="B26" s="20" t="s">
        <v>39</v>
      </c>
      <c r="C26" s="56">
        <v>9882752.9800000004</v>
      </c>
      <c r="D26" s="57">
        <v>9028317.9499999993</v>
      </c>
      <c r="E26" s="57">
        <v>8900562.6199999992</v>
      </c>
      <c r="F26" s="15"/>
    </row>
    <row r="27" spans="1:6" ht="13" x14ac:dyDescent="0.15">
      <c r="A27" s="44">
        <v>711</v>
      </c>
      <c r="B27" s="45" t="s">
        <v>40</v>
      </c>
      <c r="C27" s="38">
        <v>6325597.6100000003</v>
      </c>
      <c r="D27" s="39">
        <v>6022132.75</v>
      </c>
      <c r="E27" s="39">
        <v>6580984.0800000001</v>
      </c>
      <c r="F27" s="41"/>
    </row>
    <row r="28" spans="1:6" ht="13" x14ac:dyDescent="0.15">
      <c r="A28" s="44">
        <v>713</v>
      </c>
      <c r="B28" s="45" t="s">
        <v>41</v>
      </c>
      <c r="C28" s="38">
        <v>390925.23</v>
      </c>
      <c r="D28" s="39">
        <v>357840.19</v>
      </c>
      <c r="E28" s="39">
        <v>309067.53000000003</v>
      </c>
      <c r="F28" s="41"/>
    </row>
    <row r="29" spans="1:6" ht="13" x14ac:dyDescent="0.15">
      <c r="A29" s="44">
        <v>714</v>
      </c>
      <c r="B29" s="45" t="s">
        <v>42</v>
      </c>
      <c r="C29" s="57">
        <v>360175.22</v>
      </c>
      <c r="D29" s="39">
        <v>135883.68</v>
      </c>
      <c r="E29" s="39">
        <v>352267.69</v>
      </c>
      <c r="F29" s="41"/>
    </row>
    <row r="30" spans="1:6" ht="13" x14ac:dyDescent="0.15">
      <c r="A30" s="80"/>
      <c r="B30" s="45" t="s">
        <v>66</v>
      </c>
      <c r="C30" s="57">
        <v>2652232.7000000002</v>
      </c>
      <c r="D30" s="39">
        <v>2168630.52</v>
      </c>
      <c r="E30" s="39">
        <v>1393302.2</v>
      </c>
      <c r="F30" s="41"/>
    </row>
    <row r="31" spans="1:6" ht="13" x14ac:dyDescent="0.15">
      <c r="A31" s="44">
        <v>715</v>
      </c>
      <c r="B31" s="45" t="s">
        <v>67</v>
      </c>
      <c r="C31" s="38">
        <v>153822.22</v>
      </c>
      <c r="D31" s="39">
        <v>343830.81</v>
      </c>
      <c r="E31" s="39">
        <v>264941.12</v>
      </c>
      <c r="F31" s="41"/>
    </row>
    <row r="32" spans="1:6" ht="13" x14ac:dyDescent="0.15">
      <c r="A32" s="19">
        <v>72</v>
      </c>
      <c r="B32" s="113" t="s">
        <v>43</v>
      </c>
      <c r="C32" s="56">
        <v>46685.34</v>
      </c>
      <c r="D32" s="57">
        <v>602809.98</v>
      </c>
      <c r="E32" s="57">
        <v>2343.1999999999998</v>
      </c>
      <c r="F32" s="48"/>
    </row>
    <row r="33" spans="1:6" ht="18" customHeight="1" x14ac:dyDescent="0.15">
      <c r="A33" s="115">
        <v>73</v>
      </c>
      <c r="B33" s="47" t="s">
        <v>68</v>
      </c>
      <c r="C33" s="71">
        <v>164242.22</v>
      </c>
      <c r="D33" s="75">
        <v>84364.98</v>
      </c>
      <c r="E33" s="75">
        <v>4340.37</v>
      </c>
      <c r="F33" s="117"/>
    </row>
    <row r="34" spans="1:6" ht="13" x14ac:dyDescent="0.15">
      <c r="A34" s="19">
        <v>74</v>
      </c>
      <c r="B34" s="60" t="s">
        <v>44</v>
      </c>
      <c r="C34" s="56">
        <v>2394310.66</v>
      </c>
      <c r="D34" s="57">
        <v>2101911.5499999998</v>
      </c>
      <c r="E34" s="57">
        <v>3768967.15</v>
      </c>
      <c r="F34" s="18"/>
    </row>
    <row r="35" spans="1:6" ht="13" x14ac:dyDescent="0.15">
      <c r="A35" s="44">
        <v>741</v>
      </c>
      <c r="B35" s="45" t="s">
        <v>45</v>
      </c>
      <c r="C35" s="66"/>
      <c r="D35" s="48"/>
      <c r="E35" s="39">
        <v>402534</v>
      </c>
      <c r="F35" s="18"/>
    </row>
    <row r="36" spans="1:6" ht="13" x14ac:dyDescent="0.15">
      <c r="A36" s="44">
        <v>742</v>
      </c>
      <c r="B36" s="45" t="s">
        <v>46</v>
      </c>
      <c r="C36" s="38">
        <v>1865396</v>
      </c>
      <c r="D36" s="39">
        <v>1995911.55</v>
      </c>
      <c r="E36" s="39">
        <v>3301933.15</v>
      </c>
      <c r="F36" s="18"/>
    </row>
    <row r="37" spans="1:6" ht="13" x14ac:dyDescent="0.15">
      <c r="A37" s="80"/>
      <c r="B37" s="45" t="s">
        <v>81</v>
      </c>
      <c r="C37" s="111" t="s">
        <v>102</v>
      </c>
      <c r="D37" s="111" t="s">
        <v>103</v>
      </c>
      <c r="E37" s="111" t="s">
        <v>104</v>
      </c>
      <c r="F37" s="18"/>
    </row>
    <row r="38" spans="1:6" ht="13" x14ac:dyDescent="0.15">
      <c r="A38" s="19">
        <v>751</v>
      </c>
      <c r="B38" s="37" t="s">
        <v>63</v>
      </c>
      <c r="C38" s="56">
        <v>4141400</v>
      </c>
      <c r="D38" s="57">
        <v>4017101.4</v>
      </c>
      <c r="E38" s="57">
        <v>5130504</v>
      </c>
      <c r="F38" s="18"/>
    </row>
    <row r="39" spans="1:6" ht="13" x14ac:dyDescent="0.15">
      <c r="A39" s="3"/>
      <c r="B39" s="37" t="s">
        <v>82</v>
      </c>
      <c r="C39" s="56">
        <v>16629391.199999999</v>
      </c>
      <c r="D39" s="57">
        <v>15834505.960000001</v>
      </c>
      <c r="E39" s="57">
        <v>17806717.739999998</v>
      </c>
      <c r="F39" s="18"/>
    </row>
    <row r="40" spans="1:6" ht="13" x14ac:dyDescent="0.15">
      <c r="A40" s="3"/>
      <c r="B40" s="103" t="s">
        <v>83</v>
      </c>
      <c r="C40" s="104"/>
      <c r="D40" s="105"/>
      <c r="E40" s="105"/>
      <c r="F40" s="105"/>
    </row>
    <row r="41" spans="1:6" ht="13" x14ac:dyDescent="0.15">
      <c r="A41" s="3"/>
      <c r="B41" s="42" t="s">
        <v>84</v>
      </c>
      <c r="C41" s="66"/>
      <c r="D41" s="48"/>
      <c r="E41" s="48"/>
      <c r="F41" s="48"/>
    </row>
    <row r="42" spans="1:6" ht="13" x14ac:dyDescent="0.15">
      <c r="A42" s="3"/>
      <c r="B42" s="42" t="s">
        <v>49</v>
      </c>
      <c r="C42" s="66"/>
      <c r="D42" s="48"/>
      <c r="E42" s="48"/>
      <c r="F42" s="48"/>
    </row>
    <row r="43" spans="1:6" ht="13" x14ac:dyDescent="0.15">
      <c r="A43" s="3"/>
      <c r="B43" s="42" t="s">
        <v>51</v>
      </c>
      <c r="C43" s="66"/>
      <c r="D43" s="48"/>
      <c r="E43" s="48"/>
      <c r="F43" s="48"/>
    </row>
    <row r="44" spans="1:6" ht="13" x14ac:dyDescent="0.15">
      <c r="A44" s="3"/>
      <c r="B44" s="42" t="s">
        <v>86</v>
      </c>
      <c r="C44" s="66"/>
      <c r="D44" s="48"/>
      <c r="E44" s="48"/>
      <c r="F44" s="48"/>
    </row>
    <row r="45" spans="1:6" ht="13" x14ac:dyDescent="0.15">
      <c r="A45" s="3"/>
      <c r="B45" s="134"/>
      <c r="C45" s="104"/>
      <c r="D45" s="105"/>
      <c r="E45" s="105"/>
      <c r="F45" s="105"/>
    </row>
    <row r="46" spans="1:6" ht="19.5" customHeight="1" x14ac:dyDescent="0.15">
      <c r="B46" s="140"/>
      <c r="C46" s="140"/>
      <c r="D46" s="141"/>
      <c r="E46" s="140"/>
      <c r="F46" s="140"/>
    </row>
    <row r="47" spans="1:6" ht="19.5" customHeight="1" x14ac:dyDescent="0.15">
      <c r="B47" s="148" t="s">
        <v>96</v>
      </c>
      <c r="C47" s="1"/>
      <c r="D47" s="150"/>
      <c r="E47" s="1"/>
    </row>
    <row r="48" spans="1:6" ht="19.5" customHeight="1" x14ac:dyDescent="0.15">
      <c r="A48" s="3"/>
      <c r="B48" s="151" t="s">
        <v>106</v>
      </c>
      <c r="C48" s="111">
        <v>1203261.53</v>
      </c>
      <c r="D48" s="152">
        <v>13446982.199999999</v>
      </c>
      <c r="E48" s="111">
        <v>13539866.939999999</v>
      </c>
      <c r="F48" s="8"/>
    </row>
    <row r="49" spans="1:6" ht="19.5" customHeight="1" x14ac:dyDescent="0.15">
      <c r="A49" s="3"/>
      <c r="B49" s="153" t="s">
        <v>107</v>
      </c>
      <c r="C49" s="111">
        <v>652583.89</v>
      </c>
      <c r="D49" s="152">
        <v>841312.44</v>
      </c>
      <c r="E49" s="111">
        <v>348425.42</v>
      </c>
      <c r="F49" s="8"/>
    </row>
    <row r="50" spans="1:6" ht="19.5" customHeight="1" x14ac:dyDescent="0.15">
      <c r="A50" s="3"/>
      <c r="B50" s="166" t="s">
        <v>108</v>
      </c>
      <c r="C50" s="111">
        <v>385770.4</v>
      </c>
      <c r="D50" s="152">
        <v>423803.56</v>
      </c>
      <c r="E50" s="111">
        <v>279737.34999999998</v>
      </c>
      <c r="F50" s="8"/>
    </row>
    <row r="51" spans="1:6" ht="19.5" customHeight="1" x14ac:dyDescent="0.15">
      <c r="A51" s="3"/>
      <c r="B51" s="166" t="s">
        <v>123</v>
      </c>
      <c r="C51" s="111">
        <v>230536.71</v>
      </c>
      <c r="D51" s="152">
        <v>257429.06</v>
      </c>
      <c r="E51" s="111">
        <v>119516.34</v>
      </c>
      <c r="F51" s="8"/>
    </row>
    <row r="52" spans="1:6" ht="19.5" customHeight="1" x14ac:dyDescent="0.15">
      <c r="A52" s="3"/>
      <c r="B52" s="166" t="s">
        <v>124</v>
      </c>
      <c r="C52" s="111">
        <v>134936.89000000001</v>
      </c>
      <c r="D52" s="152">
        <v>138302.46</v>
      </c>
      <c r="E52" s="111">
        <v>85826.04</v>
      </c>
      <c r="F52" s="8"/>
    </row>
    <row r="53" spans="1:6" ht="19.5" customHeight="1" x14ac:dyDescent="0.15">
      <c r="A53" s="3"/>
      <c r="B53" s="166" t="s">
        <v>125</v>
      </c>
      <c r="C53" s="111">
        <v>117850.36</v>
      </c>
      <c r="D53" s="152">
        <v>134697.29</v>
      </c>
      <c r="E53" s="111">
        <v>70927.399999999994</v>
      </c>
      <c r="F53" s="8"/>
    </row>
    <row r="54" spans="1:6" ht="19.5" customHeight="1" x14ac:dyDescent="0.15">
      <c r="A54" s="3"/>
      <c r="B54" s="166" t="s">
        <v>126</v>
      </c>
      <c r="C54" s="114"/>
      <c r="D54" s="139"/>
      <c r="E54" s="111">
        <v>44991.88</v>
      </c>
      <c r="F54" s="8"/>
    </row>
    <row r="55" spans="1:6" ht="19.5" customHeight="1" x14ac:dyDescent="0.15">
      <c r="A55" s="3"/>
      <c r="B55" s="166" t="s">
        <v>127</v>
      </c>
      <c r="C55" s="111">
        <v>742682.78</v>
      </c>
      <c r="D55" s="152">
        <v>967224.16</v>
      </c>
      <c r="E55" s="111">
        <v>550657.41</v>
      </c>
      <c r="F55" s="8"/>
    </row>
    <row r="56" spans="1:6" ht="19.5" customHeight="1" x14ac:dyDescent="0.15">
      <c r="A56" s="3"/>
      <c r="B56" s="166" t="s">
        <v>128</v>
      </c>
      <c r="C56" s="111">
        <v>342520.18</v>
      </c>
      <c r="D56" s="152">
        <v>179860.4</v>
      </c>
      <c r="E56" s="111">
        <v>272022.03999999998</v>
      </c>
      <c r="F56" s="8"/>
    </row>
    <row r="57" spans="1:6" ht="19.5" customHeight="1" x14ac:dyDescent="0.15">
      <c r="A57" s="3"/>
      <c r="B57" s="166" t="s">
        <v>129</v>
      </c>
      <c r="C57" s="111">
        <v>63880.07</v>
      </c>
      <c r="D57" s="152">
        <v>60629.21</v>
      </c>
      <c r="E57" s="111">
        <v>28979.200000000001</v>
      </c>
      <c r="F57" s="8"/>
    </row>
    <row r="58" spans="1:6" ht="19.5" customHeight="1" x14ac:dyDescent="0.15">
      <c r="A58" s="3"/>
      <c r="B58" s="166" t="s">
        <v>130</v>
      </c>
      <c r="C58" s="111">
        <v>14931.67</v>
      </c>
      <c r="D58" s="152">
        <v>22719.27</v>
      </c>
      <c r="E58" s="111">
        <v>21581.51</v>
      </c>
      <c r="F58" s="8"/>
    </row>
    <row r="59" spans="1:6" ht="19.5" customHeight="1" x14ac:dyDescent="0.15">
      <c r="A59" s="3"/>
      <c r="B59" s="166" t="s">
        <v>131</v>
      </c>
      <c r="C59" s="111">
        <v>226655.34</v>
      </c>
      <c r="D59" s="152">
        <v>247713.16</v>
      </c>
      <c r="E59" s="111">
        <v>99443.92</v>
      </c>
      <c r="F59" s="8"/>
    </row>
    <row r="60" spans="1:6" ht="19.5" customHeight="1" x14ac:dyDescent="0.15">
      <c r="A60" s="3"/>
      <c r="B60" s="166" t="s">
        <v>132</v>
      </c>
      <c r="C60" s="111">
        <v>1895967.92</v>
      </c>
      <c r="D60" s="152">
        <v>1737893.18</v>
      </c>
      <c r="E60" s="111">
        <v>1921051.83</v>
      </c>
      <c r="F60" s="8"/>
    </row>
    <row r="61" spans="1:6" ht="19.5" customHeight="1" x14ac:dyDescent="0.15">
      <c r="A61" s="3"/>
      <c r="B61" s="166" t="s">
        <v>133</v>
      </c>
      <c r="C61" s="111">
        <v>841435.26</v>
      </c>
      <c r="D61" s="152">
        <v>671934.37</v>
      </c>
      <c r="E61" s="111">
        <v>516189.84</v>
      </c>
      <c r="F61" s="8"/>
    </row>
    <row r="62" spans="1:6" ht="19.5" customHeight="1" x14ac:dyDescent="0.15">
      <c r="A62" s="3"/>
      <c r="B62" s="166" t="s">
        <v>134</v>
      </c>
      <c r="C62" s="111">
        <v>175411.44</v>
      </c>
      <c r="D62" s="152">
        <v>170505.33</v>
      </c>
      <c r="E62" s="111">
        <v>92124.61</v>
      </c>
      <c r="F62" s="8"/>
    </row>
    <row r="63" spans="1:6" ht="19.5" customHeight="1" x14ac:dyDescent="0.15">
      <c r="A63" s="3"/>
      <c r="B63" s="166" t="s">
        <v>135</v>
      </c>
      <c r="C63" s="111">
        <v>344412.35</v>
      </c>
      <c r="D63" s="152">
        <v>335781.85</v>
      </c>
      <c r="E63" s="111">
        <v>200728.95999999999</v>
      </c>
      <c r="F63" s="8"/>
    </row>
    <row r="64" spans="1:6" ht="19.5" customHeight="1" x14ac:dyDescent="0.15">
      <c r="A64" s="3"/>
      <c r="B64" s="166" t="s">
        <v>136</v>
      </c>
      <c r="C64" s="111">
        <v>472866.36</v>
      </c>
      <c r="D64" s="152">
        <v>476280.29</v>
      </c>
      <c r="E64" s="111">
        <v>297888.73</v>
      </c>
      <c r="F64" s="8"/>
    </row>
    <row r="65" spans="1:6" ht="19.5" customHeight="1" x14ac:dyDescent="0.15">
      <c r="A65" s="3"/>
      <c r="B65" s="166" t="s">
        <v>137</v>
      </c>
      <c r="C65" s="111">
        <v>712439.66</v>
      </c>
      <c r="D65" s="152">
        <v>784521.27</v>
      </c>
      <c r="E65" s="111">
        <v>447635.44</v>
      </c>
      <c r="F65" s="8"/>
    </row>
    <row r="66" spans="1:6" ht="19.5" customHeight="1" x14ac:dyDescent="0.15">
      <c r="A66" s="3"/>
      <c r="B66" s="166" t="s">
        <v>138</v>
      </c>
      <c r="C66" s="111">
        <v>440687.12</v>
      </c>
      <c r="D66" s="152">
        <v>442606.43</v>
      </c>
      <c r="E66" s="111">
        <v>333334.61</v>
      </c>
      <c r="F66" s="8"/>
    </row>
    <row r="67" spans="1:6" ht="19.5" customHeight="1" x14ac:dyDescent="0.15">
      <c r="A67" s="3"/>
      <c r="B67" s="166" t="s">
        <v>139</v>
      </c>
      <c r="C67" s="111">
        <v>123458.81</v>
      </c>
      <c r="D67" s="152">
        <v>123414.33</v>
      </c>
      <c r="E67" s="111">
        <v>62248.52</v>
      </c>
      <c r="F67" s="8"/>
    </row>
    <row r="68" spans="1:6" ht="19.5" customHeight="1" x14ac:dyDescent="0.15">
      <c r="A68" s="3"/>
      <c r="B68" s="166" t="s">
        <v>140</v>
      </c>
      <c r="C68" s="111">
        <v>484736.73</v>
      </c>
      <c r="D68" s="152">
        <v>588192.53</v>
      </c>
      <c r="E68" s="111">
        <v>784623.23</v>
      </c>
      <c r="F68" s="8"/>
    </row>
    <row r="69" spans="1:6" ht="19.5" customHeight="1" x14ac:dyDescent="0.15">
      <c r="A69" s="3"/>
      <c r="B69" s="166" t="s">
        <v>141</v>
      </c>
      <c r="C69" s="111">
        <v>286394.62</v>
      </c>
      <c r="D69" s="152">
        <v>328961.08</v>
      </c>
      <c r="E69" s="111">
        <v>137922.26999999999</v>
      </c>
      <c r="F69" s="8"/>
    </row>
    <row r="70" spans="1:6" ht="19.5" customHeight="1" x14ac:dyDescent="0.15">
      <c r="A70" s="3"/>
      <c r="B70" s="166" t="s">
        <v>143</v>
      </c>
      <c r="C70" s="111">
        <v>4854089.5599999996</v>
      </c>
      <c r="D70" s="152">
        <v>3196515.16</v>
      </c>
      <c r="E70" s="111">
        <v>6392753.2800000003</v>
      </c>
      <c r="F70" s="8"/>
    </row>
    <row r="71" spans="1:6" ht="19.5" customHeight="1" x14ac:dyDescent="0.15">
      <c r="A71" s="3"/>
      <c r="B71" s="166" t="s">
        <v>144</v>
      </c>
      <c r="C71" s="111">
        <v>54072.21</v>
      </c>
      <c r="D71" s="152">
        <v>45652.45</v>
      </c>
      <c r="E71" s="111">
        <v>33572.39</v>
      </c>
      <c r="F71" s="8"/>
    </row>
    <row r="72" spans="1:6" ht="19.5" customHeight="1" x14ac:dyDescent="0.15">
      <c r="A72" s="3"/>
      <c r="B72" s="166" t="s">
        <v>145</v>
      </c>
      <c r="C72" s="111">
        <v>1203261.53</v>
      </c>
      <c r="D72" s="152">
        <v>1271042.8700000001</v>
      </c>
      <c r="E72" s="111">
        <v>397684.72</v>
      </c>
      <c r="F72" s="8"/>
    </row>
    <row r="73" spans="1:6" ht="19.5" customHeight="1" x14ac:dyDescent="0.15">
      <c r="A73" s="3"/>
      <c r="B73" s="169"/>
      <c r="C73" s="114"/>
      <c r="D73" s="139"/>
      <c r="E73" s="114"/>
      <c r="F73" s="8"/>
    </row>
    <row r="74" spans="1:6" ht="19.5" customHeight="1" x14ac:dyDescent="0.15">
      <c r="A74" s="3"/>
      <c r="B74" s="151" t="s">
        <v>146</v>
      </c>
      <c r="C74" s="111">
        <v>1724940.31</v>
      </c>
      <c r="D74" s="152">
        <v>2383173.29</v>
      </c>
      <c r="E74" s="111">
        <v>4259692.51</v>
      </c>
      <c r="F74" s="8"/>
    </row>
    <row r="75" spans="1:6" ht="19.5" customHeight="1" x14ac:dyDescent="0.15">
      <c r="A75" s="3"/>
      <c r="B75" s="169"/>
      <c r="C75" s="114"/>
      <c r="D75" s="139"/>
      <c r="E75" s="114"/>
      <c r="F75" s="8"/>
    </row>
    <row r="76" spans="1:6" ht="19.5" customHeight="1" x14ac:dyDescent="0.15">
      <c r="A76" s="3"/>
      <c r="B76" s="151" t="s">
        <v>142</v>
      </c>
      <c r="C76" s="210">
        <v>1743444.36</v>
      </c>
      <c r="D76" s="211">
        <v>15830165.49</v>
      </c>
      <c r="E76" s="210">
        <v>17799559.370000001</v>
      </c>
      <c r="F76" s="8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8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27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29">
        <f t="shared" ref="C5:E5" si="0">SUM(C6:C13)</f>
        <v>1133215.8299999998</v>
      </c>
      <c r="D5" s="30">
        <f t="shared" si="0"/>
        <v>733648.54999999993</v>
      </c>
      <c r="E5" s="30">
        <f t="shared" si="0"/>
        <v>535797.7300000001</v>
      </c>
      <c r="F5" s="18"/>
    </row>
    <row r="6" spans="1:6" ht="13" x14ac:dyDescent="0.15">
      <c r="A6" s="19">
        <v>411</v>
      </c>
      <c r="B6" s="37" t="s">
        <v>38</v>
      </c>
      <c r="C6" s="56">
        <v>757948.46</v>
      </c>
      <c r="D6" s="57">
        <v>414612.07</v>
      </c>
      <c r="E6" s="57">
        <v>365315.76</v>
      </c>
      <c r="F6" s="41"/>
    </row>
    <row r="7" spans="1:6" ht="13" x14ac:dyDescent="0.15">
      <c r="A7" s="19">
        <v>412</v>
      </c>
      <c r="B7" s="58" t="s">
        <v>54</v>
      </c>
      <c r="C7" s="56">
        <v>65746.5</v>
      </c>
      <c r="D7" s="57">
        <v>26698.44</v>
      </c>
      <c r="E7" s="57">
        <v>8400</v>
      </c>
      <c r="F7" s="41"/>
    </row>
    <row r="8" spans="1:6" ht="13" x14ac:dyDescent="0.15">
      <c r="A8" s="19">
        <v>413</v>
      </c>
      <c r="B8" s="58" t="s">
        <v>3</v>
      </c>
      <c r="C8" s="56">
        <v>195055.34</v>
      </c>
      <c r="D8" s="57">
        <v>214678.98</v>
      </c>
      <c r="E8" s="57">
        <v>107175.01</v>
      </c>
      <c r="F8" s="41"/>
    </row>
    <row r="9" spans="1:6" ht="13" x14ac:dyDescent="0.15">
      <c r="A9" s="44">
        <v>414</v>
      </c>
      <c r="B9" s="37" t="s">
        <v>5</v>
      </c>
      <c r="C9" s="56">
        <v>17142.849999999999</v>
      </c>
      <c r="D9" s="57">
        <v>16536.11</v>
      </c>
      <c r="E9" s="57">
        <v>18174.91</v>
      </c>
      <c r="F9" s="41"/>
    </row>
    <row r="10" spans="1:6" ht="13" x14ac:dyDescent="0.15">
      <c r="A10" s="19">
        <v>415</v>
      </c>
      <c r="B10" s="60" t="s">
        <v>6</v>
      </c>
      <c r="C10" s="56">
        <v>2500</v>
      </c>
      <c r="D10" s="57">
        <v>10214.76</v>
      </c>
      <c r="E10" s="57">
        <v>23620.7</v>
      </c>
      <c r="F10" s="41"/>
    </row>
    <row r="11" spans="1:6" ht="13" x14ac:dyDescent="0.15">
      <c r="A11" s="19">
        <v>416</v>
      </c>
      <c r="B11" s="37" t="s">
        <v>7</v>
      </c>
      <c r="C11" s="16"/>
      <c r="D11" s="18"/>
      <c r="E11" s="18"/>
      <c r="F11" s="41"/>
    </row>
    <row r="12" spans="1:6" ht="13" x14ac:dyDescent="0.15">
      <c r="A12" s="19">
        <v>417</v>
      </c>
      <c r="B12" s="37" t="s">
        <v>8</v>
      </c>
      <c r="C12" s="56">
        <v>10024.379999999999</v>
      </c>
      <c r="D12" s="57">
        <v>16562.7</v>
      </c>
      <c r="E12" s="57">
        <v>4002.8</v>
      </c>
      <c r="F12" s="41"/>
    </row>
    <row r="13" spans="1:6" ht="13" x14ac:dyDescent="0.15">
      <c r="A13" s="19">
        <v>418</v>
      </c>
      <c r="B13" s="37" t="s">
        <v>55</v>
      </c>
      <c r="C13" s="56">
        <v>84798.3</v>
      </c>
      <c r="D13" s="57">
        <v>34345.49</v>
      </c>
      <c r="E13" s="57">
        <v>9108.5499999999993</v>
      </c>
      <c r="F13" s="41"/>
    </row>
    <row r="14" spans="1:6" ht="13" x14ac:dyDescent="0.15">
      <c r="A14" s="19">
        <v>42</v>
      </c>
      <c r="B14" s="82" t="s">
        <v>9</v>
      </c>
      <c r="C14" s="83"/>
      <c r="D14" s="89"/>
      <c r="E14" s="89"/>
      <c r="F14" s="85"/>
    </row>
    <row r="15" spans="1:6" ht="16.5" customHeight="1" x14ac:dyDescent="0.15">
      <c r="A15" s="49">
        <v>43</v>
      </c>
      <c r="B15" s="60" t="s">
        <v>10</v>
      </c>
      <c r="C15" s="71">
        <v>477831.2</v>
      </c>
      <c r="D15" s="75">
        <v>323333.82</v>
      </c>
      <c r="E15" s="71">
        <v>319250.82</v>
      </c>
      <c r="F15" s="18"/>
    </row>
    <row r="16" spans="1:6" ht="13" x14ac:dyDescent="0.15">
      <c r="A16" s="44" t="s">
        <v>58</v>
      </c>
      <c r="B16" s="45" t="s">
        <v>11</v>
      </c>
      <c r="C16" s="67">
        <f>1950+202875.41+105944+43173.17</f>
        <v>353942.58</v>
      </c>
      <c r="D16" s="46">
        <f>3650+127717.71+71294.35+34341.2</f>
        <v>237003.26</v>
      </c>
      <c r="E16" s="67">
        <f>800+117433.25+109377.19+38130.96</f>
        <v>265741.40000000002</v>
      </c>
      <c r="F16" s="18"/>
    </row>
    <row r="17" spans="1:6" ht="31.5" customHeight="1" x14ac:dyDescent="0.15">
      <c r="A17" s="44" t="s">
        <v>59</v>
      </c>
      <c r="B17" s="45" t="s">
        <v>12</v>
      </c>
      <c r="C17" s="145">
        <f>8924+350+12200+3650+879.3+11185</f>
        <v>37188.300000000003</v>
      </c>
      <c r="D17" s="46">
        <f>2680+797.7+7140+1400+1153.5+11205</f>
        <v>24376.2</v>
      </c>
      <c r="E17" s="67">
        <f>2401+500+8190+114.3+2025+1000</f>
        <v>14230.3</v>
      </c>
      <c r="F17" s="18"/>
    </row>
    <row r="18" spans="1:6" ht="13" x14ac:dyDescent="0.15">
      <c r="A18" s="44" t="s">
        <v>60</v>
      </c>
      <c r="B18" s="74" t="s">
        <v>13</v>
      </c>
      <c r="C18" s="46">
        <f>22730+5100+58870.32</f>
        <v>86700.32</v>
      </c>
      <c r="D18" s="67">
        <f>17200.9+5800+39002.66</f>
        <v>62003.560000000005</v>
      </c>
      <c r="E18" s="48">
        <f>15560+23718.52</f>
        <v>39278.520000000004</v>
      </c>
      <c r="F18" s="88"/>
    </row>
    <row r="19" spans="1:6" ht="13" x14ac:dyDescent="0.15">
      <c r="A19" s="44" t="s">
        <v>61</v>
      </c>
      <c r="B19" s="74" t="s">
        <v>62</v>
      </c>
      <c r="C19" s="46"/>
      <c r="D19" s="67"/>
      <c r="E19" s="48"/>
      <c r="F19" s="95"/>
    </row>
    <row r="20" spans="1:6" ht="13" x14ac:dyDescent="0.15">
      <c r="A20" s="19">
        <v>44</v>
      </c>
      <c r="B20" s="37" t="s">
        <v>14</v>
      </c>
      <c r="C20" s="56">
        <v>936496.31</v>
      </c>
      <c r="D20" s="57">
        <v>329471.07</v>
      </c>
      <c r="E20" s="57">
        <v>229141.56</v>
      </c>
      <c r="F20" s="18"/>
    </row>
    <row r="21" spans="1:6" ht="13" x14ac:dyDescent="0.15">
      <c r="A21" s="19">
        <v>45</v>
      </c>
      <c r="B21" s="47" t="s">
        <v>63</v>
      </c>
      <c r="C21" s="16"/>
      <c r="D21" s="18"/>
      <c r="E21" s="18"/>
      <c r="F21" s="18"/>
    </row>
    <row r="22" spans="1:6" ht="13" x14ac:dyDescent="0.15">
      <c r="A22" s="19">
        <v>46</v>
      </c>
      <c r="B22" s="20" t="s">
        <v>16</v>
      </c>
      <c r="C22" s="16">
        <f>20000+208285.54</f>
        <v>228285.54</v>
      </c>
      <c r="D22" s="18">
        <f>187538.69+300293</f>
        <v>487831.69</v>
      </c>
      <c r="E22" s="18">
        <f>131749.92+799794.67</f>
        <v>931544.59000000008</v>
      </c>
      <c r="F22" s="18"/>
    </row>
    <row r="23" spans="1:6" ht="13" x14ac:dyDescent="0.15">
      <c r="A23" s="19">
        <v>47</v>
      </c>
      <c r="B23" s="20" t="s">
        <v>17</v>
      </c>
      <c r="C23" s="16">
        <f>28695.39+11985.36</f>
        <v>40680.75</v>
      </c>
      <c r="D23" s="18">
        <f>9995+35424</f>
        <v>45419</v>
      </c>
      <c r="E23" s="57">
        <v>0</v>
      </c>
      <c r="F23" s="18"/>
    </row>
    <row r="24" spans="1:6" ht="13" x14ac:dyDescent="0.15">
      <c r="A24" s="3"/>
      <c r="B24" s="20" t="s">
        <v>18</v>
      </c>
      <c r="C24" s="56">
        <v>2816509.73</v>
      </c>
      <c r="D24" s="57">
        <v>1919704</v>
      </c>
      <c r="E24" s="57">
        <v>2015734.7</v>
      </c>
      <c r="F24" s="18"/>
    </row>
    <row r="25" spans="1:6" ht="13" x14ac:dyDescent="0.15">
      <c r="A25" s="3"/>
      <c r="B25" s="103" t="s">
        <v>64</v>
      </c>
      <c r="C25" s="104"/>
      <c r="D25" s="105"/>
      <c r="E25" s="105"/>
      <c r="F25" s="105"/>
    </row>
    <row r="26" spans="1:6" ht="13" x14ac:dyDescent="0.15">
      <c r="A26" s="19">
        <v>71</v>
      </c>
      <c r="B26" s="20" t="s">
        <v>39</v>
      </c>
      <c r="C26" s="107">
        <f t="shared" ref="C26:E26" si="1">SUM(C27:C31)</f>
        <v>1053136.92</v>
      </c>
      <c r="D26" s="107">
        <f t="shared" si="1"/>
        <v>914023.1</v>
      </c>
      <c r="E26" s="107">
        <f t="shared" si="1"/>
        <v>1007843.79</v>
      </c>
      <c r="F26" s="15"/>
    </row>
    <row r="27" spans="1:6" ht="13" x14ac:dyDescent="0.15">
      <c r="A27" s="44">
        <v>711</v>
      </c>
      <c r="B27" s="45" t="s">
        <v>40</v>
      </c>
      <c r="C27" s="39">
        <v>356374.56</v>
      </c>
      <c r="D27" s="39">
        <v>298141.23</v>
      </c>
      <c r="E27" s="39">
        <v>310042.53999999998</v>
      </c>
      <c r="F27" s="41"/>
    </row>
    <row r="28" spans="1:6" ht="13" x14ac:dyDescent="0.15">
      <c r="A28" s="44">
        <v>713</v>
      </c>
      <c r="B28" s="45" t="s">
        <v>41</v>
      </c>
      <c r="C28" s="39">
        <v>366438.89</v>
      </c>
      <c r="D28" s="39">
        <v>334582.28000000003</v>
      </c>
      <c r="E28" s="39">
        <v>319657.96000000002</v>
      </c>
      <c r="F28" s="41"/>
    </row>
    <row r="29" spans="1:6" ht="13" x14ac:dyDescent="0.15">
      <c r="A29" s="44">
        <v>714</v>
      </c>
      <c r="B29" s="45" t="s">
        <v>42</v>
      </c>
      <c r="C29" s="48">
        <f>2723.25+56989.75</f>
        <v>59713</v>
      </c>
      <c r="D29" s="48">
        <f>3156.83+30669.99</f>
        <v>33826.82</v>
      </c>
      <c r="E29" s="48">
        <f>3343.77+46408.46</f>
        <v>49752.229999999996</v>
      </c>
      <c r="F29" s="41"/>
    </row>
    <row r="30" spans="1:6" ht="13" x14ac:dyDescent="0.15">
      <c r="A30" s="80"/>
      <c r="B30" s="45" t="s">
        <v>66</v>
      </c>
      <c r="C30" s="48">
        <f>3854.92+57288.49+46424.61</f>
        <v>107568.01999999999</v>
      </c>
      <c r="D30" s="48">
        <f>4644.89+64827.6+39854.62</f>
        <v>109327.11000000002</v>
      </c>
      <c r="E30" s="48">
        <f>326.68+44648.84+28425.68+14538.34+0</f>
        <v>87939.54</v>
      </c>
      <c r="F30" s="41"/>
    </row>
    <row r="31" spans="1:6" ht="13" x14ac:dyDescent="0.15">
      <c r="A31" s="44">
        <v>715</v>
      </c>
      <c r="B31" s="45" t="s">
        <v>67</v>
      </c>
      <c r="C31" s="38">
        <v>163042.45000000001</v>
      </c>
      <c r="D31" s="39">
        <v>138145.66</v>
      </c>
      <c r="E31" s="39">
        <v>240451.52</v>
      </c>
      <c r="F31" s="41"/>
    </row>
    <row r="32" spans="1:6" ht="13" x14ac:dyDescent="0.15">
      <c r="A32" s="19">
        <v>72</v>
      </c>
      <c r="B32" s="113" t="s">
        <v>43</v>
      </c>
      <c r="C32" s="16"/>
      <c r="D32" s="48"/>
      <c r="E32" s="18"/>
      <c r="F32" s="48"/>
    </row>
    <row r="33" spans="1:6" ht="18" customHeight="1" x14ac:dyDescent="0.15">
      <c r="A33" s="115">
        <v>73</v>
      </c>
      <c r="B33" s="47" t="s">
        <v>68</v>
      </c>
      <c r="C33" s="154"/>
      <c r="D33" s="117"/>
      <c r="E33" s="117"/>
      <c r="F33" s="117"/>
    </row>
    <row r="34" spans="1:6" ht="13" x14ac:dyDescent="0.15">
      <c r="A34" s="19">
        <v>74</v>
      </c>
      <c r="B34" s="60" t="s">
        <v>44</v>
      </c>
      <c r="C34" s="108">
        <f>73000+1543527.31</f>
        <v>1616527.31</v>
      </c>
      <c r="D34" s="109">
        <f>109500+713021.3</f>
        <v>822521.3</v>
      </c>
      <c r="E34" s="75">
        <v>1017347.04</v>
      </c>
      <c r="F34" s="18"/>
    </row>
    <row r="35" spans="1:6" ht="13" x14ac:dyDescent="0.15">
      <c r="A35" s="44">
        <v>741</v>
      </c>
      <c r="B35" s="45" t="s">
        <v>45</v>
      </c>
      <c r="C35" s="155"/>
      <c r="D35" s="155"/>
      <c r="E35" s="155"/>
      <c r="F35" s="18"/>
    </row>
    <row r="36" spans="1:6" ht="13" x14ac:dyDescent="0.15">
      <c r="A36" s="44">
        <v>742</v>
      </c>
      <c r="B36" s="45" t="s">
        <v>46</v>
      </c>
      <c r="C36" s="147">
        <v>1486473</v>
      </c>
      <c r="D36" s="147">
        <v>676761</v>
      </c>
      <c r="E36" s="147">
        <v>986049</v>
      </c>
      <c r="F36" s="18"/>
    </row>
    <row r="37" spans="1:6" ht="13" x14ac:dyDescent="0.15">
      <c r="A37" s="80"/>
      <c r="B37" s="45" t="s">
        <v>81</v>
      </c>
      <c r="C37" s="147">
        <v>130054.31</v>
      </c>
      <c r="D37" s="147">
        <v>145760.29999999999</v>
      </c>
      <c r="E37" s="147">
        <v>31298.04</v>
      </c>
      <c r="F37" s="18"/>
    </row>
    <row r="38" spans="1:6" ht="13" x14ac:dyDescent="0.15">
      <c r="A38" s="19">
        <v>751</v>
      </c>
      <c r="B38" s="37" t="s">
        <v>63</v>
      </c>
      <c r="C38" s="56">
        <v>219513.49</v>
      </c>
      <c r="D38" s="57">
        <v>330347.14</v>
      </c>
      <c r="E38" s="18"/>
      <c r="F38" s="18"/>
    </row>
    <row r="39" spans="1:6" ht="13" x14ac:dyDescent="0.15">
      <c r="A39" s="3"/>
      <c r="B39" s="37" t="s">
        <v>82</v>
      </c>
      <c r="C39" s="93">
        <v>2889177.72</v>
      </c>
      <c r="D39" s="57">
        <v>2066891.54</v>
      </c>
      <c r="E39" s="57">
        <v>2073140.83</v>
      </c>
      <c r="F39" s="18"/>
    </row>
    <row r="40" spans="1:6" ht="13" x14ac:dyDescent="0.15">
      <c r="A40" s="3"/>
      <c r="B40" s="103" t="s">
        <v>83</v>
      </c>
      <c r="C40" s="104"/>
      <c r="D40" s="105"/>
      <c r="E40" s="105"/>
      <c r="F40" s="105"/>
    </row>
    <row r="41" spans="1:6" ht="13" x14ac:dyDescent="0.15">
      <c r="A41" s="3"/>
      <c r="B41" s="42" t="s">
        <v>84</v>
      </c>
      <c r="C41" s="66"/>
      <c r="D41" s="48"/>
      <c r="E41" s="48"/>
      <c r="F41" s="48"/>
    </row>
    <row r="42" spans="1:6" ht="13" x14ac:dyDescent="0.15">
      <c r="A42" s="3"/>
      <c r="B42" s="42" t="s">
        <v>49</v>
      </c>
      <c r="C42" s="66"/>
      <c r="D42" s="48"/>
      <c r="E42" s="48"/>
      <c r="F42" s="48"/>
    </row>
    <row r="43" spans="1:6" ht="13" x14ac:dyDescent="0.15">
      <c r="A43" s="3"/>
      <c r="B43" s="42" t="s">
        <v>51</v>
      </c>
      <c r="C43" s="66"/>
      <c r="D43" s="48"/>
      <c r="E43" s="48"/>
      <c r="F43" s="48"/>
    </row>
    <row r="44" spans="1:6" ht="13" x14ac:dyDescent="0.15">
      <c r="A44" s="3"/>
      <c r="B44" s="42" t="s">
        <v>86</v>
      </c>
      <c r="C44" s="66"/>
      <c r="D44" s="48"/>
      <c r="E44" s="48"/>
      <c r="F44" s="48"/>
    </row>
    <row r="45" spans="1:6" ht="13" x14ac:dyDescent="0.15">
      <c r="A45" s="3"/>
      <c r="B45" s="134"/>
      <c r="C45" s="104"/>
      <c r="D45" s="105"/>
      <c r="E45" s="105"/>
      <c r="F45" s="105"/>
    </row>
    <row r="46" spans="1:6" ht="19.5" customHeight="1" x14ac:dyDescent="0.15">
      <c r="B46" s="140"/>
      <c r="C46" s="140"/>
      <c r="D46" s="141"/>
      <c r="E46" s="140"/>
      <c r="F46" s="140"/>
    </row>
    <row r="47" spans="1:6" ht="19.5" customHeight="1" x14ac:dyDescent="0.15">
      <c r="B47" s="148" t="s">
        <v>96</v>
      </c>
      <c r="C47" s="1"/>
      <c r="D47" s="150"/>
      <c r="E47" s="1"/>
    </row>
    <row r="48" spans="1:6" ht="19.5" customHeight="1" x14ac:dyDescent="0.15">
      <c r="A48" s="3"/>
      <c r="B48" s="151" t="s">
        <v>106</v>
      </c>
      <c r="C48" s="167"/>
      <c r="D48" s="167"/>
      <c r="E48" s="198"/>
      <c r="F48" s="8"/>
    </row>
    <row r="49" spans="1:6" ht="24" customHeight="1" x14ac:dyDescent="0.15">
      <c r="A49" s="3"/>
      <c r="B49" s="153" t="s">
        <v>249</v>
      </c>
      <c r="C49" s="159">
        <v>150576.20000000001</v>
      </c>
      <c r="D49" s="159">
        <v>117564.94</v>
      </c>
      <c r="E49" s="159">
        <v>104320.58</v>
      </c>
      <c r="F49" s="8"/>
    </row>
    <row r="50" spans="1:6" ht="24" customHeight="1" x14ac:dyDescent="0.15">
      <c r="A50" s="3"/>
      <c r="B50" s="153" t="s">
        <v>203</v>
      </c>
      <c r="C50" s="159">
        <v>651797.49</v>
      </c>
      <c r="D50" s="159">
        <v>379826.94</v>
      </c>
      <c r="E50" s="159">
        <v>362906.34</v>
      </c>
      <c r="F50" s="8"/>
    </row>
    <row r="51" spans="1:6" ht="24" customHeight="1" x14ac:dyDescent="0.15">
      <c r="A51" s="3"/>
      <c r="B51" s="166" t="s">
        <v>211</v>
      </c>
      <c r="C51" s="159">
        <v>390034.48</v>
      </c>
      <c r="D51" s="159">
        <v>489998.82</v>
      </c>
      <c r="E51" s="159">
        <v>683823.02</v>
      </c>
      <c r="F51" s="8"/>
    </row>
    <row r="52" spans="1:6" ht="24" customHeight="1" x14ac:dyDescent="0.15">
      <c r="A52" s="3"/>
      <c r="B52" s="166" t="s">
        <v>250</v>
      </c>
      <c r="C52" s="159">
        <v>59104.15</v>
      </c>
      <c r="D52" s="159">
        <v>77015.740000000005</v>
      </c>
      <c r="E52" s="159">
        <v>27696.77</v>
      </c>
      <c r="F52" s="8"/>
    </row>
    <row r="53" spans="1:6" ht="24" customHeight="1" x14ac:dyDescent="0.15">
      <c r="A53" s="3"/>
      <c r="B53" s="166" t="s">
        <v>251</v>
      </c>
      <c r="C53" s="159">
        <v>143280.20000000001</v>
      </c>
      <c r="D53" s="159">
        <v>73032.66</v>
      </c>
      <c r="E53" s="159">
        <v>38744.15</v>
      </c>
      <c r="F53" s="8"/>
    </row>
    <row r="54" spans="1:6" ht="24" customHeight="1" x14ac:dyDescent="0.15">
      <c r="A54" s="3"/>
      <c r="B54" s="166" t="s">
        <v>252</v>
      </c>
      <c r="C54" s="159">
        <v>1176925.05</v>
      </c>
      <c r="D54" s="159">
        <v>609354.18999999994</v>
      </c>
      <c r="E54" s="159">
        <v>707461.11</v>
      </c>
      <c r="F54" s="8"/>
    </row>
    <row r="55" spans="1:6" ht="24" customHeight="1" x14ac:dyDescent="0.15">
      <c r="A55" s="3"/>
      <c r="B55" s="153" t="s">
        <v>141</v>
      </c>
      <c r="C55" s="159">
        <v>85211.31</v>
      </c>
      <c r="D55" s="159">
        <v>70734.36</v>
      </c>
      <c r="E55" s="159">
        <v>24976.27</v>
      </c>
      <c r="F55" s="8"/>
    </row>
    <row r="56" spans="1:6" ht="24" customHeight="1" x14ac:dyDescent="0.15">
      <c r="A56" s="3"/>
      <c r="B56" s="166" t="s">
        <v>121</v>
      </c>
      <c r="C56" s="159">
        <v>159580.85</v>
      </c>
      <c r="D56" s="159">
        <v>102176.08</v>
      </c>
      <c r="E56" s="159">
        <v>65806.399999999994</v>
      </c>
      <c r="F56" s="8"/>
    </row>
    <row r="57" spans="1:6" ht="19.5" customHeight="1" x14ac:dyDescent="0.15">
      <c r="A57" s="3"/>
      <c r="B57" s="169"/>
      <c r="C57" s="167"/>
      <c r="D57" s="167"/>
      <c r="E57" s="167"/>
      <c r="F57" s="8"/>
    </row>
    <row r="58" spans="1:6" ht="19.5" customHeight="1" x14ac:dyDescent="0.15">
      <c r="A58" s="3"/>
      <c r="B58" s="151" t="s">
        <v>142</v>
      </c>
      <c r="C58" s="206">
        <v>2816509.73</v>
      </c>
      <c r="D58" s="206">
        <v>1919704</v>
      </c>
      <c r="E58" s="206">
        <v>2015734.7</v>
      </c>
      <c r="F58" s="8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9" width="11.832031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3"/>
      <c r="B2" s="4" t="s">
        <v>29</v>
      </c>
      <c r="C2" s="21">
        <v>2009</v>
      </c>
      <c r="D2" s="21">
        <v>2010</v>
      </c>
      <c r="E2" s="21">
        <v>2011</v>
      </c>
      <c r="F2" s="77"/>
      <c r="G2" s="8"/>
    </row>
    <row r="3" spans="1:7" ht="13" x14ac:dyDescent="0.15">
      <c r="A3" s="3"/>
      <c r="B3" s="9" t="s">
        <v>22</v>
      </c>
      <c r="C3" s="78"/>
      <c r="D3" s="106"/>
      <c r="E3" s="91"/>
      <c r="F3" s="144"/>
      <c r="G3" s="8"/>
    </row>
    <row r="4" spans="1:7" ht="13" x14ac:dyDescent="0.15">
      <c r="A4" s="3"/>
      <c r="B4" s="15"/>
      <c r="C4" s="83"/>
      <c r="D4" s="89"/>
      <c r="E4" s="89"/>
      <c r="F4" s="89"/>
      <c r="G4" s="8"/>
    </row>
    <row r="5" spans="1:7" ht="13" x14ac:dyDescent="0.15">
      <c r="A5" s="19">
        <v>41</v>
      </c>
      <c r="B5" s="20" t="s">
        <v>0</v>
      </c>
      <c r="C5" s="146">
        <v>4917819.0599999996</v>
      </c>
      <c r="D5" s="172">
        <v>3985939.29</v>
      </c>
      <c r="E5" s="172">
        <v>4640163.62</v>
      </c>
      <c r="F5" s="89"/>
      <c r="G5" s="8"/>
    </row>
    <row r="6" spans="1:7" ht="13" x14ac:dyDescent="0.15">
      <c r="A6" s="19">
        <v>411</v>
      </c>
      <c r="B6" s="37" t="s">
        <v>38</v>
      </c>
      <c r="C6" s="93">
        <v>2466954.67</v>
      </c>
      <c r="D6" s="97">
        <v>1670848.33</v>
      </c>
      <c r="E6" s="97">
        <v>1590617.76</v>
      </c>
      <c r="F6" s="85"/>
      <c r="G6" s="8"/>
    </row>
    <row r="7" spans="1:7" ht="13" x14ac:dyDescent="0.15">
      <c r="A7" s="19">
        <v>412</v>
      </c>
      <c r="B7" s="58" t="s">
        <v>54</v>
      </c>
      <c r="C7" s="93">
        <v>350973.92</v>
      </c>
      <c r="D7" s="97">
        <v>243344.38</v>
      </c>
      <c r="E7" s="97">
        <v>204102.45</v>
      </c>
      <c r="F7" s="85"/>
      <c r="G7" s="8"/>
    </row>
    <row r="8" spans="1:7" ht="13" x14ac:dyDescent="0.15">
      <c r="A8" s="19">
        <v>413</v>
      </c>
      <c r="B8" s="58" t="s">
        <v>3</v>
      </c>
      <c r="C8" s="93">
        <v>801710.9</v>
      </c>
      <c r="D8" s="97">
        <v>695752.27</v>
      </c>
      <c r="E8" s="97">
        <v>1045922.75</v>
      </c>
      <c r="F8" s="85"/>
      <c r="G8" s="8"/>
    </row>
    <row r="9" spans="1:7" ht="13" x14ac:dyDescent="0.15">
      <c r="A9" s="44">
        <v>414</v>
      </c>
      <c r="B9" s="37" t="s">
        <v>5</v>
      </c>
      <c r="C9" s="93">
        <v>328694.84000000003</v>
      </c>
      <c r="D9" s="97">
        <v>349843.94</v>
      </c>
      <c r="E9" s="97">
        <v>398467.35</v>
      </c>
      <c r="F9" s="85"/>
      <c r="G9" s="8"/>
    </row>
    <row r="10" spans="1:7" ht="13" x14ac:dyDescent="0.15">
      <c r="A10" s="19">
        <v>415</v>
      </c>
      <c r="B10" s="60" t="s">
        <v>6</v>
      </c>
      <c r="C10" s="93">
        <v>102885.37</v>
      </c>
      <c r="D10" s="97">
        <v>264452.57</v>
      </c>
      <c r="E10" s="97">
        <v>276648.28000000003</v>
      </c>
      <c r="F10" s="85"/>
      <c r="G10" s="8"/>
    </row>
    <row r="11" spans="1:7" ht="13" x14ac:dyDescent="0.15">
      <c r="A11" s="19">
        <v>416</v>
      </c>
      <c r="B11" s="37" t="s">
        <v>7</v>
      </c>
      <c r="C11" s="93">
        <v>41751.300000000003</v>
      </c>
      <c r="D11" s="97">
        <v>28874.75</v>
      </c>
      <c r="E11" s="97">
        <v>81144.37</v>
      </c>
      <c r="F11" s="85"/>
      <c r="G11" s="8"/>
    </row>
    <row r="12" spans="1:7" ht="13" x14ac:dyDescent="0.15">
      <c r="A12" s="19">
        <v>417</v>
      </c>
      <c r="B12" s="37" t="s">
        <v>8</v>
      </c>
      <c r="C12" s="93">
        <v>711355.14</v>
      </c>
      <c r="D12" s="97">
        <v>368548.24</v>
      </c>
      <c r="E12" s="97">
        <v>682248.21</v>
      </c>
      <c r="F12" s="85"/>
      <c r="G12" s="8"/>
    </row>
    <row r="13" spans="1:7" ht="13" x14ac:dyDescent="0.15">
      <c r="A13" s="19">
        <v>418</v>
      </c>
      <c r="B13" s="37" t="s">
        <v>55</v>
      </c>
      <c r="C13" s="93">
        <v>113492.92</v>
      </c>
      <c r="D13" s="97">
        <v>364274.81</v>
      </c>
      <c r="E13" s="97">
        <v>361012.45</v>
      </c>
      <c r="F13" s="85"/>
      <c r="G13" s="8"/>
    </row>
    <row r="14" spans="1:7" ht="13" x14ac:dyDescent="0.15">
      <c r="A14" s="19">
        <v>42</v>
      </c>
      <c r="B14" s="47" t="s">
        <v>9</v>
      </c>
      <c r="C14" s="93">
        <v>20054.5</v>
      </c>
      <c r="D14" s="97">
        <v>34290.730000000003</v>
      </c>
      <c r="E14" s="97">
        <v>274163.61</v>
      </c>
      <c r="F14" s="85"/>
      <c r="G14" s="8"/>
    </row>
    <row r="15" spans="1:7" ht="16.5" customHeight="1" x14ac:dyDescent="0.15">
      <c r="A15" s="49">
        <v>43</v>
      </c>
      <c r="B15" s="60" t="s">
        <v>10</v>
      </c>
      <c r="C15" s="136">
        <v>736959.4</v>
      </c>
      <c r="D15" s="137">
        <v>518243.25</v>
      </c>
      <c r="E15" s="136">
        <v>972795.09</v>
      </c>
      <c r="F15" s="89"/>
      <c r="G15" s="8"/>
    </row>
    <row r="16" spans="1:7" ht="13" x14ac:dyDescent="0.15">
      <c r="A16" s="44" t="s">
        <v>58</v>
      </c>
      <c r="B16" s="45" t="s">
        <v>11</v>
      </c>
      <c r="C16" s="111">
        <v>60500</v>
      </c>
      <c r="D16" s="152">
        <v>52089.94</v>
      </c>
      <c r="E16" s="111">
        <v>81000</v>
      </c>
      <c r="F16" s="89"/>
      <c r="G16" s="8"/>
    </row>
    <row r="17" spans="1:9" ht="31.5" customHeight="1" x14ac:dyDescent="0.15">
      <c r="A17" s="44" t="s">
        <v>59</v>
      </c>
      <c r="B17" s="45" t="s">
        <v>12</v>
      </c>
      <c r="C17" s="111">
        <v>108808.54</v>
      </c>
      <c r="D17" s="152">
        <v>70433.23</v>
      </c>
      <c r="E17" s="111">
        <v>136963.12</v>
      </c>
      <c r="F17" s="89"/>
      <c r="G17" s="8"/>
    </row>
    <row r="18" spans="1:9" ht="13" x14ac:dyDescent="0.15">
      <c r="A18" s="44" t="s">
        <v>60</v>
      </c>
      <c r="B18" s="74" t="s">
        <v>13</v>
      </c>
      <c r="C18" s="152">
        <v>547500.97</v>
      </c>
      <c r="D18" s="111">
        <v>386750.49</v>
      </c>
      <c r="E18" s="61">
        <v>729940.97</v>
      </c>
      <c r="F18" s="88"/>
    </row>
    <row r="19" spans="1:9" ht="13" x14ac:dyDescent="0.15">
      <c r="A19" s="44" t="s">
        <v>61</v>
      </c>
      <c r="B19" s="74" t="s">
        <v>62</v>
      </c>
      <c r="C19" s="152">
        <v>20149.89</v>
      </c>
      <c r="D19" s="111">
        <v>8969.59</v>
      </c>
      <c r="E19" s="61">
        <v>24891</v>
      </c>
      <c r="F19" s="95"/>
    </row>
    <row r="20" spans="1:9" ht="13" x14ac:dyDescent="0.15">
      <c r="A20" s="19">
        <v>44</v>
      </c>
      <c r="B20" s="37" t="s">
        <v>14</v>
      </c>
      <c r="C20" s="93">
        <v>4353075.38</v>
      </c>
      <c r="D20" s="97">
        <v>2692348.45</v>
      </c>
      <c r="E20" s="97">
        <v>5293777.1100000003</v>
      </c>
      <c r="F20" s="89"/>
      <c r="G20" s="8"/>
    </row>
    <row r="21" spans="1:9" ht="13" x14ac:dyDescent="0.15">
      <c r="A21" s="19">
        <v>45</v>
      </c>
      <c r="B21" s="47" t="s">
        <v>63</v>
      </c>
      <c r="C21" s="93">
        <v>4200</v>
      </c>
      <c r="D21" s="97">
        <v>2600</v>
      </c>
      <c r="E21" s="97">
        <v>495360.04</v>
      </c>
      <c r="F21" s="89"/>
      <c r="G21" s="8"/>
    </row>
    <row r="22" spans="1:9" ht="13" x14ac:dyDescent="0.15">
      <c r="A22" s="19">
        <v>46</v>
      </c>
      <c r="B22" s="20" t="s">
        <v>16</v>
      </c>
      <c r="C22" s="93">
        <v>444442.59</v>
      </c>
      <c r="D22" s="97">
        <v>749143.59</v>
      </c>
      <c r="E22" s="97">
        <v>883732.4</v>
      </c>
      <c r="F22" s="89"/>
      <c r="G22" s="8"/>
    </row>
    <row r="23" spans="1:9" ht="13" x14ac:dyDescent="0.15">
      <c r="A23" s="19">
        <v>47</v>
      </c>
      <c r="B23" s="20" t="s">
        <v>17</v>
      </c>
      <c r="C23" s="93">
        <v>68759</v>
      </c>
      <c r="D23" s="97">
        <v>33998.410000000003</v>
      </c>
      <c r="E23" s="97">
        <v>69131.649999999994</v>
      </c>
      <c r="F23" s="89"/>
      <c r="G23" s="8"/>
    </row>
    <row r="24" spans="1:9" ht="13" x14ac:dyDescent="0.15">
      <c r="A24" s="3"/>
      <c r="B24" s="20" t="s">
        <v>18</v>
      </c>
      <c r="C24" s="133">
        <v>10545309.93</v>
      </c>
      <c r="D24" s="133">
        <v>8016563.7199999997</v>
      </c>
      <c r="E24" s="133">
        <v>12629123.52</v>
      </c>
      <c r="F24" s="89"/>
      <c r="G24" s="8"/>
    </row>
    <row r="25" spans="1:9" ht="13" x14ac:dyDescent="0.15">
      <c r="A25" s="3"/>
      <c r="B25" s="103" t="s">
        <v>64</v>
      </c>
      <c r="C25" s="23"/>
      <c r="D25" s="157"/>
      <c r="E25" s="157"/>
      <c r="F25" s="157"/>
      <c r="G25" s="8"/>
    </row>
    <row r="26" spans="1:9" ht="14.25" customHeight="1" x14ac:dyDescent="0.15">
      <c r="A26" s="19">
        <v>71</v>
      </c>
      <c r="B26" s="20" t="s">
        <v>39</v>
      </c>
      <c r="C26" s="172">
        <v>6190051.3600000003</v>
      </c>
      <c r="D26" s="172">
        <v>4586962.4400000004</v>
      </c>
      <c r="E26" s="172">
        <v>5259165.5199999996</v>
      </c>
      <c r="F26" s="176"/>
      <c r="G26" s="269"/>
      <c r="H26" s="270"/>
      <c r="I26" s="270"/>
    </row>
    <row r="27" spans="1:9" ht="13" x14ac:dyDescent="0.15">
      <c r="A27" s="44">
        <v>711</v>
      </c>
      <c r="B27" s="45" t="s">
        <v>40</v>
      </c>
      <c r="C27" s="61">
        <v>1943214.91</v>
      </c>
      <c r="D27" s="61">
        <v>2442044.41</v>
      </c>
      <c r="E27" s="61">
        <v>2638488.92</v>
      </c>
      <c r="F27" s="85"/>
      <c r="G27" s="208"/>
      <c r="H27" s="216"/>
      <c r="I27" s="216"/>
    </row>
    <row r="28" spans="1:9" ht="13" x14ac:dyDescent="0.15">
      <c r="A28" s="44">
        <v>713</v>
      </c>
      <c r="B28" s="45" t="s">
        <v>41</v>
      </c>
      <c r="C28" s="61">
        <v>92648.61</v>
      </c>
      <c r="D28" s="61">
        <v>82707.539999999994</v>
      </c>
      <c r="E28" s="61">
        <v>117159.87</v>
      </c>
      <c r="F28" s="85"/>
      <c r="G28" s="112"/>
      <c r="H28" s="142"/>
      <c r="I28" s="142"/>
    </row>
    <row r="29" spans="1:9" ht="13" x14ac:dyDescent="0.15">
      <c r="A29" s="44">
        <v>714</v>
      </c>
      <c r="B29" s="45" t="s">
        <v>42</v>
      </c>
      <c r="C29" s="84">
        <f>23491.11+347599.32</f>
        <v>371090.43</v>
      </c>
      <c r="D29" s="84">
        <f>35401.3+695582.16</f>
        <v>730983.46000000008</v>
      </c>
      <c r="E29" s="84">
        <f>91116.31+1154544.37</f>
        <v>1245660.6800000002</v>
      </c>
      <c r="F29" s="85"/>
      <c r="G29" s="8"/>
    </row>
    <row r="30" spans="1:9" ht="13" x14ac:dyDescent="0.15">
      <c r="A30" s="80"/>
      <c r="B30" s="45" t="s">
        <v>66</v>
      </c>
      <c r="C30" s="55">
        <v>3129038.65</v>
      </c>
      <c r="D30" s="84">
        <f>27746.62+614951.28+60361.85+63177.24+5</f>
        <v>766241.99</v>
      </c>
      <c r="E30" s="84">
        <f>24387.73+27023.95+689198.77+62242.41</f>
        <v>802852.8600000001</v>
      </c>
      <c r="F30" s="85"/>
      <c r="G30" s="8"/>
    </row>
    <row r="31" spans="1:9" ht="13" x14ac:dyDescent="0.15">
      <c r="A31" s="44">
        <v>715</v>
      </c>
      <c r="B31" s="45" t="s">
        <v>67</v>
      </c>
      <c r="C31" s="62">
        <v>374862.93</v>
      </c>
      <c r="D31" s="61">
        <v>564985.04</v>
      </c>
      <c r="E31" s="61">
        <v>455003.19</v>
      </c>
      <c r="F31" s="85"/>
      <c r="G31" s="8"/>
    </row>
    <row r="32" spans="1:9" ht="13" x14ac:dyDescent="0.15">
      <c r="A32" s="19">
        <v>72</v>
      </c>
      <c r="B32" s="113" t="s">
        <v>43</v>
      </c>
      <c r="C32" s="83"/>
      <c r="D32" s="84"/>
      <c r="E32" s="97">
        <v>73414.97</v>
      </c>
      <c r="F32" s="84"/>
      <c r="G32" s="8"/>
    </row>
    <row r="33" spans="1:8" ht="18" customHeight="1" x14ac:dyDescent="0.15">
      <c r="A33" s="115">
        <v>73</v>
      </c>
      <c r="B33" s="47" t="s">
        <v>68</v>
      </c>
      <c r="C33" s="187">
        <v>235271.74</v>
      </c>
      <c r="D33" s="187">
        <v>44360.87</v>
      </c>
      <c r="E33" s="187">
        <v>347613.27</v>
      </c>
      <c r="F33" s="223"/>
      <c r="G33" s="8"/>
    </row>
    <row r="34" spans="1:8" ht="13" x14ac:dyDescent="0.15">
      <c r="A34" s="19">
        <v>74</v>
      </c>
      <c r="B34" s="60" t="s">
        <v>44</v>
      </c>
      <c r="C34" s="136">
        <v>1864587.61</v>
      </c>
      <c r="D34" s="137">
        <v>3447401.68</v>
      </c>
      <c r="E34" s="137">
        <v>3198966.61</v>
      </c>
      <c r="F34" s="89"/>
      <c r="G34" s="8"/>
    </row>
    <row r="35" spans="1:8" ht="13" x14ac:dyDescent="0.15">
      <c r="A35" s="44" t="s">
        <v>97</v>
      </c>
      <c r="B35" s="45" t="s">
        <v>45</v>
      </c>
      <c r="C35" s="114"/>
      <c r="D35" s="139"/>
      <c r="E35" s="139"/>
      <c r="F35" s="89"/>
      <c r="G35" s="8"/>
    </row>
    <row r="36" spans="1:8" ht="13" x14ac:dyDescent="0.15">
      <c r="A36" s="44" t="s">
        <v>99</v>
      </c>
      <c r="B36" s="45" t="s">
        <v>46</v>
      </c>
      <c r="C36" s="111">
        <v>882253</v>
      </c>
      <c r="D36" s="152">
        <v>2111015</v>
      </c>
      <c r="E36" s="152">
        <v>2015496</v>
      </c>
      <c r="F36" s="89"/>
      <c r="G36" s="8"/>
    </row>
    <row r="37" spans="1:8" ht="13" x14ac:dyDescent="0.15">
      <c r="A37" s="80"/>
      <c r="B37" s="45" t="s">
        <v>81</v>
      </c>
      <c r="C37" s="111" t="s">
        <v>260</v>
      </c>
      <c r="D37" s="111" t="s">
        <v>261</v>
      </c>
      <c r="E37" s="111" t="s">
        <v>262</v>
      </c>
      <c r="F37" s="89"/>
      <c r="G37" s="8"/>
    </row>
    <row r="38" spans="1:8" ht="13" x14ac:dyDescent="0.15">
      <c r="A38" s="19">
        <v>751</v>
      </c>
      <c r="B38" s="37" t="s">
        <v>63</v>
      </c>
      <c r="C38" s="93">
        <v>2299760.1</v>
      </c>
      <c r="D38" s="97">
        <v>285452</v>
      </c>
      <c r="E38" s="97">
        <v>4169900</v>
      </c>
      <c r="F38" s="89"/>
      <c r="G38" s="8"/>
    </row>
    <row r="39" spans="1:8" ht="13" x14ac:dyDescent="0.15">
      <c r="A39" s="3"/>
      <c r="B39" s="37" t="s">
        <v>82</v>
      </c>
      <c r="C39" s="225">
        <v>10589670.810000001</v>
      </c>
      <c r="D39" s="133">
        <v>8364176.9900000002</v>
      </c>
      <c r="E39" s="133">
        <v>13049060.369999999</v>
      </c>
      <c r="F39" s="89"/>
      <c r="G39" s="8"/>
      <c r="H39" s="63"/>
    </row>
    <row r="40" spans="1:8" ht="13" x14ac:dyDescent="0.15">
      <c r="A40" s="3"/>
      <c r="B40" s="103" t="s">
        <v>83</v>
      </c>
      <c r="C40" s="23"/>
      <c r="D40" s="157"/>
      <c r="E40" s="157"/>
      <c r="F40" s="157"/>
      <c r="G40" s="8"/>
    </row>
    <row r="41" spans="1:8" ht="13" x14ac:dyDescent="0.15">
      <c r="A41" s="3"/>
      <c r="B41" s="42" t="s">
        <v>84</v>
      </c>
      <c r="C41" s="102"/>
      <c r="D41" s="84"/>
      <c r="E41" s="84"/>
      <c r="F41" s="84"/>
      <c r="G41" s="8"/>
    </row>
    <row r="42" spans="1:8" ht="13" x14ac:dyDescent="0.15">
      <c r="A42" s="3"/>
      <c r="B42" s="42" t="s">
        <v>49</v>
      </c>
      <c r="C42" s="102"/>
      <c r="D42" s="84"/>
      <c r="E42" s="84"/>
      <c r="F42" s="84"/>
      <c r="G42" s="8"/>
    </row>
    <row r="43" spans="1:8" ht="13" x14ac:dyDescent="0.15">
      <c r="A43" s="3"/>
      <c r="B43" s="42" t="s">
        <v>51</v>
      </c>
      <c r="C43" s="102"/>
      <c r="D43" s="84"/>
      <c r="E43" s="84"/>
      <c r="F43" s="84"/>
      <c r="G43" s="8"/>
    </row>
    <row r="44" spans="1:8" ht="13" x14ac:dyDescent="0.15">
      <c r="A44" s="3"/>
      <c r="B44" s="42" t="s">
        <v>86</v>
      </c>
      <c r="C44" s="102"/>
      <c r="D44" s="84"/>
      <c r="E44" s="84"/>
      <c r="F44" s="84"/>
      <c r="G44" s="8"/>
    </row>
    <row r="45" spans="1:8" ht="13" x14ac:dyDescent="0.15">
      <c r="A45" s="3"/>
      <c r="B45" s="134"/>
      <c r="C45" s="102"/>
      <c r="D45" s="84"/>
      <c r="E45" s="84"/>
      <c r="F45" s="84"/>
      <c r="G45" s="8"/>
    </row>
    <row r="46" spans="1:8" ht="19.5" customHeight="1" x14ac:dyDescent="0.15">
      <c r="B46" s="140"/>
      <c r="C46" s="140"/>
      <c r="D46" s="141"/>
      <c r="E46" s="140"/>
      <c r="F46" s="140"/>
    </row>
    <row r="47" spans="1:8" ht="19.5" customHeight="1" x14ac:dyDescent="0.15">
      <c r="B47" s="148" t="s">
        <v>96</v>
      </c>
      <c r="C47" s="1"/>
      <c r="D47" s="150"/>
      <c r="E47" s="1"/>
    </row>
    <row r="48" spans="1:8" ht="19.5" customHeight="1" x14ac:dyDescent="0.15">
      <c r="A48" s="3"/>
      <c r="B48" s="151" t="s">
        <v>106</v>
      </c>
      <c r="C48" s="167">
        <f>SUM(C49:C68)</f>
        <v>6203319.830000001</v>
      </c>
      <c r="D48" s="159">
        <v>5324519.47</v>
      </c>
      <c r="E48" s="159">
        <v>7335509.3700000001</v>
      </c>
      <c r="F48" s="8"/>
    </row>
    <row r="49" spans="1:6" ht="24" customHeight="1" x14ac:dyDescent="0.15">
      <c r="A49" s="3"/>
      <c r="B49" s="153" t="s">
        <v>273</v>
      </c>
      <c r="C49" s="159">
        <v>276195.24</v>
      </c>
      <c r="D49" s="159">
        <v>239921.88</v>
      </c>
      <c r="E49" s="159">
        <v>302489.53000000003</v>
      </c>
      <c r="F49" s="8"/>
    </row>
    <row r="50" spans="1:6" ht="24" customHeight="1" x14ac:dyDescent="0.15">
      <c r="A50" s="3"/>
      <c r="B50" s="153" t="s">
        <v>275</v>
      </c>
      <c r="C50" s="159">
        <v>231206.83</v>
      </c>
      <c r="D50" s="159">
        <v>193208.13</v>
      </c>
      <c r="E50" s="159">
        <v>179998.99</v>
      </c>
      <c r="F50" s="8"/>
    </row>
    <row r="51" spans="1:6" ht="24" customHeight="1" x14ac:dyDescent="0.15">
      <c r="A51" s="3"/>
      <c r="B51" s="166" t="s">
        <v>115</v>
      </c>
      <c r="C51" s="159">
        <v>122163.53</v>
      </c>
      <c r="D51" s="159">
        <v>65422.59</v>
      </c>
      <c r="E51" s="159">
        <v>46318.07</v>
      </c>
      <c r="F51" s="8"/>
    </row>
    <row r="52" spans="1:6" ht="24" customHeight="1" x14ac:dyDescent="0.15">
      <c r="A52" s="3"/>
      <c r="B52" s="166" t="s">
        <v>278</v>
      </c>
      <c r="C52" s="159">
        <v>265725.71999999997</v>
      </c>
      <c r="D52" s="159">
        <v>246601.25</v>
      </c>
      <c r="E52" s="159">
        <v>212162.98</v>
      </c>
      <c r="F52" s="8"/>
    </row>
    <row r="53" spans="1:6" ht="24" customHeight="1" x14ac:dyDescent="0.15">
      <c r="A53" s="3"/>
      <c r="B53" s="166" t="s">
        <v>203</v>
      </c>
      <c r="C53" s="159">
        <v>557504.84</v>
      </c>
      <c r="D53" s="159">
        <v>416953.49</v>
      </c>
      <c r="E53" s="159">
        <v>682364.07</v>
      </c>
      <c r="F53" s="8"/>
    </row>
    <row r="54" spans="1:6" ht="24" customHeight="1" x14ac:dyDescent="0.15">
      <c r="A54" s="3"/>
      <c r="B54" s="166" t="s">
        <v>211</v>
      </c>
      <c r="C54" s="159">
        <v>840318.57</v>
      </c>
      <c r="D54" s="159">
        <v>1215393.3700000001</v>
      </c>
      <c r="E54" s="159">
        <v>2170026.16</v>
      </c>
      <c r="F54" s="8"/>
    </row>
    <row r="55" spans="1:6" ht="24" customHeight="1" x14ac:dyDescent="0.15">
      <c r="A55" s="3"/>
      <c r="B55" s="153" t="s">
        <v>282</v>
      </c>
      <c r="C55" s="159">
        <v>209874.13</v>
      </c>
      <c r="D55" s="159">
        <v>206613.24</v>
      </c>
      <c r="E55" s="159">
        <v>127038.48</v>
      </c>
      <c r="F55" s="8"/>
    </row>
    <row r="56" spans="1:6" ht="24" customHeight="1" x14ac:dyDescent="0.15">
      <c r="A56" s="3"/>
      <c r="B56" s="166" t="s">
        <v>209</v>
      </c>
      <c r="C56" s="159">
        <v>1287905.67</v>
      </c>
      <c r="D56" s="159">
        <v>135189.4</v>
      </c>
      <c r="E56" s="159">
        <v>139197.17000000001</v>
      </c>
      <c r="F56" s="8"/>
    </row>
    <row r="57" spans="1:6" ht="24" customHeight="1" x14ac:dyDescent="0.15">
      <c r="A57" s="3"/>
      <c r="B57" s="166" t="s">
        <v>284</v>
      </c>
      <c r="C57" s="167"/>
      <c r="D57" s="159">
        <v>858384.75</v>
      </c>
      <c r="E57" s="159">
        <v>1216269.7</v>
      </c>
      <c r="F57" s="8"/>
    </row>
    <row r="58" spans="1:6" ht="24" customHeight="1" x14ac:dyDescent="0.15">
      <c r="A58" s="3"/>
      <c r="B58" s="166" t="s">
        <v>281</v>
      </c>
      <c r="C58" s="159">
        <v>929752.6</v>
      </c>
      <c r="D58" s="159">
        <v>585155.89</v>
      </c>
      <c r="E58" s="159">
        <v>1031617.27</v>
      </c>
      <c r="F58" s="8"/>
    </row>
    <row r="59" spans="1:6" ht="24" customHeight="1" x14ac:dyDescent="0.15">
      <c r="A59" s="3"/>
      <c r="B59" s="166" t="s">
        <v>287</v>
      </c>
      <c r="C59" s="159">
        <v>49142.3</v>
      </c>
      <c r="D59" s="178"/>
      <c r="E59" s="167"/>
      <c r="F59" s="8"/>
    </row>
    <row r="60" spans="1:6" ht="24" customHeight="1" x14ac:dyDescent="0.15">
      <c r="A60" s="3"/>
      <c r="B60" s="166" t="s">
        <v>213</v>
      </c>
      <c r="C60" s="159">
        <v>131275.57</v>
      </c>
      <c r="D60" s="159">
        <v>93336.13</v>
      </c>
      <c r="E60" s="159">
        <v>92207.4</v>
      </c>
      <c r="F60" s="8"/>
    </row>
    <row r="61" spans="1:6" ht="24" customHeight="1" x14ac:dyDescent="0.15">
      <c r="A61" s="3"/>
      <c r="B61" s="166" t="s">
        <v>134</v>
      </c>
      <c r="C61" s="159">
        <v>136626.46</v>
      </c>
      <c r="D61" s="159">
        <v>234982.73</v>
      </c>
      <c r="E61" s="159">
        <v>342256.96</v>
      </c>
      <c r="F61" s="8"/>
    </row>
    <row r="62" spans="1:6" ht="24" customHeight="1" x14ac:dyDescent="0.15">
      <c r="A62" s="3"/>
      <c r="B62" s="166" t="s">
        <v>247</v>
      </c>
      <c r="C62" s="159">
        <v>61842.94</v>
      </c>
      <c r="D62" s="159">
        <v>51581.34</v>
      </c>
      <c r="E62" s="159">
        <v>44288.84</v>
      </c>
      <c r="F62" s="8"/>
    </row>
    <row r="63" spans="1:6" ht="24" customHeight="1" x14ac:dyDescent="0.15">
      <c r="A63" s="3"/>
      <c r="B63" s="166" t="s">
        <v>248</v>
      </c>
      <c r="C63" s="159">
        <v>106077.78</v>
      </c>
      <c r="D63" s="159">
        <v>90902.05</v>
      </c>
      <c r="E63" s="167"/>
      <c r="F63" s="8"/>
    </row>
    <row r="64" spans="1:6" ht="24" customHeight="1" x14ac:dyDescent="0.15">
      <c r="A64" s="3"/>
      <c r="B64" s="166" t="s">
        <v>136</v>
      </c>
      <c r="C64" s="159">
        <v>212480.03</v>
      </c>
      <c r="D64" s="159">
        <v>156383.49</v>
      </c>
      <c r="E64" s="159">
        <v>142469.51</v>
      </c>
      <c r="F64" s="8"/>
    </row>
    <row r="65" spans="1:6" ht="24" customHeight="1" x14ac:dyDescent="0.15">
      <c r="A65" s="3"/>
      <c r="B65" s="166" t="s">
        <v>121</v>
      </c>
      <c r="C65" s="159">
        <v>388648.15</v>
      </c>
      <c r="D65" s="159">
        <v>209485.45</v>
      </c>
      <c r="E65" s="159">
        <v>252444.26</v>
      </c>
      <c r="F65" s="8"/>
    </row>
    <row r="66" spans="1:6" ht="24" customHeight="1" x14ac:dyDescent="0.15">
      <c r="A66" s="3"/>
      <c r="B66" s="166" t="s">
        <v>292</v>
      </c>
      <c r="C66" s="167"/>
      <c r="D66" s="167"/>
      <c r="E66" s="159">
        <v>4966.1899999999996</v>
      </c>
      <c r="F66" s="8"/>
    </row>
    <row r="67" spans="1:6" ht="24" customHeight="1" x14ac:dyDescent="0.15">
      <c r="A67" s="3"/>
      <c r="B67" s="166" t="s">
        <v>293</v>
      </c>
      <c r="C67" s="159">
        <v>274996.64</v>
      </c>
      <c r="D67" s="159">
        <v>216603</v>
      </c>
      <c r="E67" s="159">
        <v>226541</v>
      </c>
      <c r="F67" s="8"/>
    </row>
    <row r="68" spans="1:6" ht="24" customHeight="1" x14ac:dyDescent="0.15">
      <c r="A68" s="3"/>
      <c r="B68" s="166" t="s">
        <v>295</v>
      </c>
      <c r="C68" s="159">
        <v>121582.83</v>
      </c>
      <c r="D68" s="159">
        <v>108401.29</v>
      </c>
      <c r="E68" s="159">
        <v>122852.79</v>
      </c>
      <c r="F68" s="8"/>
    </row>
    <row r="69" spans="1:6" ht="24" customHeight="1" x14ac:dyDescent="0.15">
      <c r="A69" s="3"/>
      <c r="B69" s="173"/>
      <c r="C69" s="167"/>
      <c r="D69" s="167"/>
      <c r="E69" s="167"/>
      <c r="F69" s="8"/>
    </row>
    <row r="70" spans="1:6" ht="24" customHeight="1" x14ac:dyDescent="0.15">
      <c r="A70" s="3"/>
      <c r="B70" s="174" t="s">
        <v>155</v>
      </c>
      <c r="C70" s="159">
        <v>4341990.0999999996</v>
      </c>
      <c r="D70" s="159">
        <v>2692044.25</v>
      </c>
      <c r="E70" s="167">
        <f>E72-E48</f>
        <v>5293614.1499999994</v>
      </c>
      <c r="F70" s="8"/>
    </row>
    <row r="71" spans="1:6" ht="19.5" customHeight="1" x14ac:dyDescent="0.15">
      <c r="A71" s="3"/>
      <c r="B71" s="169"/>
      <c r="C71" s="167"/>
      <c r="D71" s="167"/>
      <c r="E71" s="167"/>
      <c r="F71" s="8"/>
    </row>
    <row r="72" spans="1:6" ht="19.5" customHeight="1" x14ac:dyDescent="0.15">
      <c r="A72" s="3"/>
      <c r="B72" s="151" t="s">
        <v>142</v>
      </c>
      <c r="C72" s="175">
        <f t="shared" ref="C72:D72" si="0">C70+C48</f>
        <v>10545309.93</v>
      </c>
      <c r="D72" s="175">
        <f t="shared" si="0"/>
        <v>8016563.7199999997</v>
      </c>
      <c r="E72" s="251">
        <v>12629123.52</v>
      </c>
      <c r="F72" s="8"/>
    </row>
  </sheetData>
  <mergeCells count="1">
    <mergeCell ref="G26:I26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showGridLines="0" workbookViewId="0"/>
  </sheetViews>
  <sheetFormatPr baseColWidth="10" defaultColWidth="14.5" defaultRowHeight="12.75" customHeight="1" x14ac:dyDescent="0.15"/>
  <cols>
    <col min="1" max="2" width="7.6640625" customWidth="1"/>
    <col min="3" max="3" width="68.33203125" customWidth="1"/>
    <col min="4" max="4" width="16.83203125" customWidth="1"/>
    <col min="5" max="7" width="15.5" customWidth="1"/>
    <col min="8" max="8" width="11.83203125" customWidth="1"/>
  </cols>
  <sheetData>
    <row r="1" spans="1:8" ht="27.75" customHeight="1" x14ac:dyDescent="0.15">
      <c r="C1" s="1"/>
      <c r="D1" s="1"/>
      <c r="E1" s="1"/>
      <c r="F1" s="1"/>
      <c r="G1" s="1"/>
    </row>
    <row r="2" spans="1:8" ht="13" x14ac:dyDescent="0.15">
      <c r="B2" s="3"/>
      <c r="C2" s="4" t="s">
        <v>28</v>
      </c>
      <c r="D2" s="4">
        <v>2009</v>
      </c>
      <c r="E2" s="7">
        <v>2010</v>
      </c>
      <c r="F2" s="7">
        <v>2011</v>
      </c>
      <c r="G2" s="10"/>
      <c r="H2" s="8"/>
    </row>
    <row r="3" spans="1:8" ht="13" x14ac:dyDescent="0.15">
      <c r="B3" s="3"/>
      <c r="C3" s="9" t="s">
        <v>22</v>
      </c>
      <c r="D3" s="11"/>
      <c r="E3" s="12"/>
      <c r="F3" s="13"/>
      <c r="G3" s="14"/>
      <c r="H3" s="8"/>
    </row>
    <row r="4" spans="1:8" ht="13" x14ac:dyDescent="0.15">
      <c r="B4" s="3"/>
      <c r="C4" s="15"/>
      <c r="D4" s="16"/>
      <c r="E4" s="18"/>
      <c r="F4" s="18"/>
      <c r="G4" s="18"/>
      <c r="H4" s="8"/>
    </row>
    <row r="5" spans="1:8" ht="13" x14ac:dyDescent="0.15">
      <c r="A5" s="34">
        <v>41</v>
      </c>
      <c r="B5" s="35"/>
      <c r="C5" s="20" t="s">
        <v>0</v>
      </c>
      <c r="D5" s="24">
        <f t="shared" ref="D5:F5" si="0">SUM(D6:D13)</f>
        <v>815210.05999999994</v>
      </c>
      <c r="E5" s="30">
        <f t="shared" si="0"/>
        <v>880325.59</v>
      </c>
      <c r="F5" s="30">
        <f t="shared" si="0"/>
        <v>936915.06</v>
      </c>
      <c r="G5" s="18"/>
      <c r="H5" s="8"/>
    </row>
    <row r="6" spans="1:8" ht="13" x14ac:dyDescent="0.15">
      <c r="A6" s="34">
        <v>411</v>
      </c>
      <c r="B6" s="35"/>
      <c r="C6" s="37" t="s">
        <v>38</v>
      </c>
      <c r="D6" s="56">
        <v>387319.41</v>
      </c>
      <c r="E6" s="57">
        <v>363829.49</v>
      </c>
      <c r="F6" s="57">
        <v>343199.94</v>
      </c>
      <c r="G6" s="41"/>
      <c r="H6" s="8"/>
    </row>
    <row r="7" spans="1:8" ht="13" x14ac:dyDescent="0.15">
      <c r="A7" s="34">
        <v>412</v>
      </c>
      <c r="B7" s="35"/>
      <c r="C7" s="58" t="s">
        <v>54</v>
      </c>
      <c r="D7" s="56">
        <v>100694.14</v>
      </c>
      <c r="E7" s="57">
        <v>106886.13</v>
      </c>
      <c r="F7" s="57">
        <v>143006.41</v>
      </c>
      <c r="G7" s="41"/>
      <c r="H7" s="8"/>
    </row>
    <row r="8" spans="1:8" ht="13" x14ac:dyDescent="0.15">
      <c r="A8" s="34">
        <v>413</v>
      </c>
      <c r="B8" s="35"/>
      <c r="C8" s="58" t="s">
        <v>3</v>
      </c>
      <c r="D8" s="56">
        <v>259163.06</v>
      </c>
      <c r="E8" s="57">
        <v>208099.47</v>
      </c>
      <c r="F8" s="57">
        <v>235706.76</v>
      </c>
      <c r="G8" s="41"/>
      <c r="H8" s="8"/>
    </row>
    <row r="9" spans="1:8" ht="13" x14ac:dyDescent="0.15">
      <c r="A9" s="79">
        <v>414</v>
      </c>
      <c r="B9" s="80"/>
      <c r="C9" s="37" t="s">
        <v>5</v>
      </c>
      <c r="D9" s="56">
        <v>68033.45</v>
      </c>
      <c r="E9" s="57">
        <v>201510.5</v>
      </c>
      <c r="F9" s="57">
        <v>215001.95</v>
      </c>
      <c r="G9" s="41"/>
      <c r="H9" s="8"/>
    </row>
    <row r="10" spans="1:8" ht="13" x14ac:dyDescent="0.15">
      <c r="A10" s="34">
        <v>415</v>
      </c>
      <c r="B10" s="35"/>
      <c r="C10" s="60" t="s">
        <v>6</v>
      </c>
      <c r="D10" s="16"/>
      <c r="E10" s="18"/>
      <c r="F10" s="41"/>
      <c r="G10" s="41"/>
      <c r="H10" s="8"/>
    </row>
    <row r="11" spans="1:8" ht="13" x14ac:dyDescent="0.15">
      <c r="A11" s="34">
        <v>416</v>
      </c>
      <c r="B11" s="35"/>
      <c r="C11" s="37" t="s">
        <v>7</v>
      </c>
      <c r="D11" s="16"/>
      <c r="E11" s="18"/>
      <c r="F11" s="41"/>
      <c r="G11" s="41"/>
      <c r="H11" s="8"/>
    </row>
    <row r="12" spans="1:8" ht="13" x14ac:dyDescent="0.15">
      <c r="A12" s="34">
        <v>417</v>
      </c>
      <c r="B12" s="35"/>
      <c r="C12" s="37" t="s">
        <v>8</v>
      </c>
      <c r="D12" s="16"/>
      <c r="E12" s="48"/>
      <c r="F12" s="41"/>
      <c r="G12" s="41"/>
      <c r="H12" s="8"/>
    </row>
    <row r="13" spans="1:8" ht="13" x14ac:dyDescent="0.15">
      <c r="A13" s="34">
        <v>418</v>
      </c>
      <c r="B13" s="35"/>
      <c r="C13" s="37" t="s">
        <v>55</v>
      </c>
      <c r="D13" s="16"/>
      <c r="E13" s="48"/>
      <c r="F13" s="41"/>
      <c r="G13" s="41"/>
      <c r="H13" s="8"/>
    </row>
    <row r="14" spans="1:8" ht="13" x14ac:dyDescent="0.15">
      <c r="A14" s="34">
        <v>42</v>
      </c>
      <c r="B14" s="35"/>
      <c r="C14" s="82" t="s">
        <v>9</v>
      </c>
      <c r="D14" s="83"/>
      <c r="E14" s="84"/>
      <c r="F14" s="85"/>
      <c r="G14" s="85"/>
      <c r="H14" s="8"/>
    </row>
    <row r="15" spans="1:8" ht="13" x14ac:dyDescent="0.15">
      <c r="A15" s="86">
        <v>43</v>
      </c>
      <c r="B15" s="87"/>
      <c r="C15" s="60" t="s">
        <v>10</v>
      </c>
      <c r="D15" s="71">
        <v>376870.21</v>
      </c>
      <c r="E15" s="75">
        <v>417868.93</v>
      </c>
      <c r="F15" s="71">
        <v>381543.88</v>
      </c>
      <c r="G15" s="18"/>
      <c r="H15" s="8"/>
    </row>
    <row r="16" spans="1:8" ht="13" x14ac:dyDescent="0.15">
      <c r="A16" s="79" t="s">
        <v>58</v>
      </c>
      <c r="B16" s="80"/>
      <c r="C16" s="45" t="s">
        <v>11</v>
      </c>
      <c r="D16" s="67">
        <f>15986.17+22407.96+56864.36</f>
        <v>95258.489999999991</v>
      </c>
      <c r="E16" s="46">
        <f>32713.66+52643.18+36766.72</f>
        <v>122123.56</v>
      </c>
      <c r="F16" s="67">
        <f>26873.4+94981.52+27300</f>
        <v>149154.92000000001</v>
      </c>
      <c r="G16" s="18"/>
      <c r="H16" s="8"/>
    </row>
    <row r="17" spans="1:8" ht="28.5" customHeight="1" x14ac:dyDescent="0.15">
      <c r="A17" s="79" t="s">
        <v>59</v>
      </c>
      <c r="B17" s="80"/>
      <c r="C17" s="45" t="s">
        <v>12</v>
      </c>
      <c r="D17" s="67">
        <f>9453.04+18900+21631.32</f>
        <v>49984.36</v>
      </c>
      <c r="E17" s="46">
        <f>20241.06+32138.5+21482.62</f>
        <v>73862.179999999993</v>
      </c>
      <c r="F17" s="67">
        <f>19820.9+19116.44</f>
        <v>38937.339999999997</v>
      </c>
      <c r="G17" s="18"/>
      <c r="H17" s="8"/>
    </row>
    <row r="18" spans="1:8" ht="13" x14ac:dyDescent="0.15">
      <c r="A18" s="79" t="s">
        <v>60</v>
      </c>
      <c r="B18" s="80"/>
      <c r="C18" s="74" t="s">
        <v>13</v>
      </c>
      <c r="D18" s="46">
        <f>43669.43+5165+5737.8+4777.32</f>
        <v>59349.55</v>
      </c>
      <c r="E18" s="67">
        <f>45053.53+6220+6919.76+17774.62</f>
        <v>75967.91</v>
      </c>
      <c r="F18" s="48">
        <f>46060.87+5880+13487.93</f>
        <v>65428.800000000003</v>
      </c>
      <c r="G18" s="88"/>
    </row>
    <row r="19" spans="1:8" ht="13" x14ac:dyDescent="0.15">
      <c r="A19" s="79" t="s">
        <v>61</v>
      </c>
      <c r="B19" s="80"/>
      <c r="C19" s="74" t="s">
        <v>62</v>
      </c>
      <c r="D19" s="46">
        <f>33556.78+42344.93+7576.13+3158.75+315.72+5515.3+3472.38+315.72+6811.74+885.55+4053.4+2025+5259+2075+3526.22+4038.88+13496.61+664.43+4269.2+1316.21+1530.94+2819.55+1554.09+200+1994.8+2317.15+10917.97+6268.36</f>
        <v>172279.80999999997</v>
      </c>
      <c r="E19" s="67">
        <f>33877.38+36486.25+10511.19+5955.84+367.04+3971.52+2696.77+334.1+6306.25+819.76+3831.98+2075+4482+2879.27+3684.45+3159.18+11941.36+958.22+1397.14+1656.07+1213.72+150+387+492.1+6283.69</f>
        <v>145917.28000000003</v>
      </c>
      <c r="F19" s="48">
        <f>32000+34036.61+7942.68+4500.82+264.83+3457.06+2012.05+264.83+4785.49+619.55+2390+5248.5+1764.57+15102.45+600+1723.72+1553.8+2425.85+250+500+500+6300.11</f>
        <v>128242.92000000004</v>
      </c>
      <c r="G19" s="95"/>
    </row>
    <row r="20" spans="1:8" ht="13" x14ac:dyDescent="0.15">
      <c r="A20" s="34">
        <v>44</v>
      </c>
      <c r="B20" s="35"/>
      <c r="C20" s="37" t="s">
        <v>14</v>
      </c>
      <c r="D20" s="56">
        <v>2101762.56</v>
      </c>
      <c r="E20" s="57">
        <v>1728427.52</v>
      </c>
      <c r="F20" s="97">
        <v>882222.78</v>
      </c>
      <c r="G20" s="18"/>
      <c r="H20" s="95"/>
    </row>
    <row r="21" spans="1:8" ht="13" x14ac:dyDescent="0.15">
      <c r="A21" s="34">
        <v>45</v>
      </c>
      <c r="B21" s="35"/>
      <c r="C21" s="47" t="s">
        <v>63</v>
      </c>
      <c r="D21" s="56">
        <v>122000</v>
      </c>
      <c r="E21" s="57">
        <v>23900</v>
      </c>
      <c r="F21" s="57">
        <v>4500</v>
      </c>
      <c r="G21" s="18"/>
      <c r="H21" s="18"/>
    </row>
    <row r="22" spans="1:8" ht="13" x14ac:dyDescent="0.15">
      <c r="A22" s="34">
        <v>46</v>
      </c>
      <c r="B22" s="35"/>
      <c r="C22" s="20" t="s">
        <v>16</v>
      </c>
      <c r="D22" s="56">
        <v>22857.34</v>
      </c>
      <c r="E22" s="98">
        <v>112222.1</v>
      </c>
      <c r="F22" s="99">
        <v>105012.49</v>
      </c>
      <c r="G22" s="18"/>
      <c r="H22" s="88"/>
    </row>
    <row r="23" spans="1:8" ht="13" x14ac:dyDescent="0.15">
      <c r="A23" s="34">
        <v>47</v>
      </c>
      <c r="B23" s="35"/>
      <c r="C23" s="20" t="s">
        <v>17</v>
      </c>
      <c r="D23" s="56">
        <v>65567.05</v>
      </c>
      <c r="E23" s="57">
        <v>73692.759999999995</v>
      </c>
      <c r="F23" s="57">
        <v>78674.67</v>
      </c>
      <c r="G23" s="18"/>
      <c r="H23" s="8"/>
    </row>
    <row r="24" spans="1:8" ht="13" x14ac:dyDescent="0.15">
      <c r="B24" s="3"/>
      <c r="C24" s="20" t="s">
        <v>18</v>
      </c>
      <c r="D24" s="56">
        <v>3504267.22</v>
      </c>
      <c r="E24" s="57">
        <v>3263436.9</v>
      </c>
      <c r="F24" s="57">
        <v>2388866.7799999998</v>
      </c>
      <c r="G24" s="18"/>
      <c r="H24" s="8"/>
    </row>
    <row r="25" spans="1:8" ht="13" x14ac:dyDescent="0.15">
      <c r="B25" s="3"/>
      <c r="C25" s="103" t="s">
        <v>64</v>
      </c>
      <c r="D25" s="104"/>
      <c r="E25" s="105"/>
      <c r="F25" s="105"/>
      <c r="G25" s="105"/>
      <c r="H25" s="8"/>
    </row>
    <row r="26" spans="1:8" ht="13" x14ac:dyDescent="0.15">
      <c r="A26" s="34">
        <v>71</v>
      </c>
      <c r="B26" s="35"/>
      <c r="C26" s="20" t="s">
        <v>39</v>
      </c>
      <c r="D26" s="107">
        <f t="shared" ref="D26:F26" si="1">SUM(D27:D31)</f>
        <v>1847270.1400000001</v>
      </c>
      <c r="E26" s="107">
        <f t="shared" si="1"/>
        <v>1979450.5</v>
      </c>
      <c r="F26" s="107">
        <f t="shared" si="1"/>
        <v>3065859</v>
      </c>
      <c r="G26" s="15"/>
      <c r="H26" s="8"/>
    </row>
    <row r="27" spans="1:8" ht="13" x14ac:dyDescent="0.15">
      <c r="A27" s="79">
        <v>711</v>
      </c>
      <c r="B27" s="80"/>
      <c r="C27" s="45" t="s">
        <v>40</v>
      </c>
      <c r="D27" s="39">
        <v>874989.93</v>
      </c>
      <c r="E27" s="39">
        <v>1558171.29</v>
      </c>
      <c r="F27" s="39">
        <v>1550433.61</v>
      </c>
      <c r="G27" s="41"/>
      <c r="H27" s="8"/>
    </row>
    <row r="28" spans="1:8" ht="13" x14ac:dyDescent="0.15">
      <c r="A28" s="79">
        <v>713</v>
      </c>
      <c r="B28" s="80"/>
      <c r="C28" s="45" t="s">
        <v>41</v>
      </c>
      <c r="D28" s="39">
        <v>28748.73</v>
      </c>
      <c r="E28" s="39">
        <v>8040.43</v>
      </c>
      <c r="F28" s="39">
        <v>4042.7</v>
      </c>
      <c r="G28" s="41"/>
      <c r="H28" s="8"/>
    </row>
    <row r="29" spans="1:8" ht="13" x14ac:dyDescent="0.15">
      <c r="A29" s="79">
        <v>714</v>
      </c>
      <c r="B29" s="80"/>
      <c r="C29" s="45" t="s">
        <v>42</v>
      </c>
      <c r="D29" s="48">
        <f>105066.69+138814.64</f>
        <v>243881.33000000002</v>
      </c>
      <c r="E29" s="48">
        <f>210783.03+132592.06</f>
        <v>343375.08999999997</v>
      </c>
      <c r="F29" s="48">
        <f>513695.77+106072.4</f>
        <v>619768.17000000004</v>
      </c>
      <c r="G29" s="41"/>
      <c r="H29" s="8"/>
    </row>
    <row r="30" spans="1:8" ht="13" x14ac:dyDescent="0.15">
      <c r="B30" s="80"/>
      <c r="C30" s="45" t="s">
        <v>66</v>
      </c>
      <c r="D30" s="48">
        <f>598175.05+11683.85+945.9</f>
        <v>610804.80000000005</v>
      </c>
      <c r="E30" s="48">
        <f>3092.57+8484.1+2046.91+1222.1</f>
        <v>14845.68</v>
      </c>
      <c r="F30" s="48">
        <f>25530+209.6</f>
        <v>25739.599999999999</v>
      </c>
      <c r="G30" s="41"/>
      <c r="H30" s="8"/>
    </row>
    <row r="31" spans="1:8" ht="13" x14ac:dyDescent="0.15">
      <c r="A31" s="79">
        <v>715</v>
      </c>
      <c r="B31" s="80"/>
      <c r="C31" s="45" t="s">
        <v>67</v>
      </c>
      <c r="D31" s="38">
        <v>88845.35</v>
      </c>
      <c r="E31" s="39">
        <v>55018.01</v>
      </c>
      <c r="F31" s="39">
        <v>865874.92</v>
      </c>
      <c r="G31" s="41"/>
      <c r="H31" s="8"/>
    </row>
    <row r="32" spans="1:8" ht="13" x14ac:dyDescent="0.15">
      <c r="A32" s="34">
        <v>72</v>
      </c>
      <c r="B32" s="35"/>
      <c r="C32" s="113" t="s">
        <v>43</v>
      </c>
      <c r="D32" s="16"/>
      <c r="E32" s="48"/>
      <c r="F32" s="48"/>
      <c r="G32" s="48"/>
      <c r="H32" s="8"/>
    </row>
    <row r="33" spans="1:8" ht="13" x14ac:dyDescent="0.15">
      <c r="A33" s="156">
        <v>73</v>
      </c>
      <c r="B33" s="163"/>
      <c r="C33" s="47" t="s">
        <v>68</v>
      </c>
      <c r="D33" s="164">
        <v>2241967</v>
      </c>
      <c r="E33" s="164">
        <v>935448.04</v>
      </c>
      <c r="F33" s="165">
        <v>90913.7</v>
      </c>
      <c r="G33" s="117"/>
      <c r="H33" s="8"/>
    </row>
    <row r="34" spans="1:8" ht="13" x14ac:dyDescent="0.15">
      <c r="A34" s="34">
        <v>74</v>
      </c>
      <c r="B34" s="35"/>
      <c r="C34" s="60" t="s">
        <v>44</v>
      </c>
      <c r="D34" s="71">
        <v>346091</v>
      </c>
      <c r="E34" s="75">
        <v>409098</v>
      </c>
      <c r="F34" s="75">
        <v>743183.75</v>
      </c>
      <c r="G34" s="18"/>
      <c r="H34" s="8"/>
    </row>
    <row r="35" spans="1:8" ht="13" x14ac:dyDescent="0.15">
      <c r="A35" s="79">
        <v>741</v>
      </c>
      <c r="B35" s="80"/>
      <c r="C35" s="45" t="s">
        <v>45</v>
      </c>
      <c r="D35" s="108"/>
      <c r="E35" s="109"/>
      <c r="F35" s="109"/>
      <c r="G35" s="18"/>
      <c r="H35" s="8"/>
    </row>
    <row r="36" spans="1:8" ht="13" x14ac:dyDescent="0.15">
      <c r="A36" s="79">
        <v>742</v>
      </c>
      <c r="B36" s="80"/>
      <c r="C36" s="45" t="s">
        <v>46</v>
      </c>
      <c r="D36" s="40">
        <v>309091</v>
      </c>
      <c r="E36" s="43">
        <v>364098</v>
      </c>
      <c r="F36" s="46"/>
      <c r="G36" s="18"/>
      <c r="H36" s="8"/>
    </row>
    <row r="37" spans="1:8" ht="13" x14ac:dyDescent="0.15">
      <c r="B37" s="80"/>
      <c r="C37" s="45" t="s">
        <v>81</v>
      </c>
      <c r="D37" s="111" t="s">
        <v>118</v>
      </c>
      <c r="E37" s="111" t="s">
        <v>119</v>
      </c>
      <c r="F37" s="111" t="s">
        <v>120</v>
      </c>
      <c r="G37" s="18"/>
      <c r="H37" s="8"/>
    </row>
    <row r="38" spans="1:8" ht="13" x14ac:dyDescent="0.15">
      <c r="A38" s="34">
        <v>751</v>
      </c>
      <c r="B38" s="35"/>
      <c r="C38" s="37" t="s">
        <v>63</v>
      </c>
      <c r="D38" s="56">
        <v>1000</v>
      </c>
      <c r="E38" s="57">
        <v>0</v>
      </c>
      <c r="F38" s="57">
        <v>0</v>
      </c>
      <c r="G38" s="18"/>
      <c r="H38" s="8"/>
    </row>
    <row r="39" spans="1:8" ht="13" x14ac:dyDescent="0.15">
      <c r="B39" s="3"/>
      <c r="C39" s="37" t="s">
        <v>82</v>
      </c>
      <c r="D39" s="56">
        <v>4436328.1399999997</v>
      </c>
      <c r="E39" s="57">
        <v>3323996.54</v>
      </c>
      <c r="F39" s="57">
        <v>3899956.45</v>
      </c>
      <c r="G39" s="18"/>
      <c r="H39" s="8"/>
    </row>
    <row r="40" spans="1:8" ht="13" x14ac:dyDescent="0.15">
      <c r="B40" s="3"/>
      <c r="C40" s="103" t="s">
        <v>83</v>
      </c>
      <c r="D40" s="104"/>
      <c r="E40" s="105"/>
      <c r="F40" s="105"/>
      <c r="G40" s="105"/>
      <c r="H40" s="8"/>
    </row>
    <row r="41" spans="1:8" ht="13" x14ac:dyDescent="0.15">
      <c r="B41" s="3"/>
      <c r="C41" s="42" t="s">
        <v>84</v>
      </c>
      <c r="D41" s="66"/>
      <c r="E41" s="48"/>
      <c r="F41" s="48"/>
      <c r="G41" s="48"/>
      <c r="H41" s="8"/>
    </row>
    <row r="42" spans="1:8" ht="13" x14ac:dyDescent="0.15">
      <c r="B42" s="3"/>
      <c r="C42" s="42" t="s">
        <v>49</v>
      </c>
      <c r="D42" s="66"/>
      <c r="E42" s="48"/>
      <c r="F42" s="48"/>
      <c r="G42" s="48"/>
      <c r="H42" s="8"/>
    </row>
    <row r="43" spans="1:8" ht="13" x14ac:dyDescent="0.15">
      <c r="B43" s="3"/>
      <c r="C43" s="42" t="s">
        <v>51</v>
      </c>
      <c r="D43" s="66"/>
      <c r="E43" s="48"/>
      <c r="F43" s="48"/>
      <c r="G43" s="48"/>
      <c r="H43" s="8"/>
    </row>
    <row r="44" spans="1:8" ht="13" x14ac:dyDescent="0.15">
      <c r="B44" s="3"/>
      <c r="C44" s="42" t="s">
        <v>86</v>
      </c>
      <c r="D44" s="66"/>
      <c r="E44" s="48"/>
      <c r="F44" s="48"/>
      <c r="G44" s="48"/>
      <c r="H44" s="8"/>
    </row>
    <row r="45" spans="1:8" ht="13" x14ac:dyDescent="0.15">
      <c r="B45" s="3"/>
      <c r="C45" s="134"/>
      <c r="D45" s="104"/>
      <c r="E45" s="105"/>
      <c r="F45" s="105"/>
      <c r="G45" s="105"/>
      <c r="H45" s="8"/>
    </row>
    <row r="46" spans="1:8" ht="19.5" customHeight="1" x14ac:dyDescent="0.15">
      <c r="C46" s="140"/>
      <c r="D46" s="140"/>
      <c r="E46" s="141"/>
      <c r="F46" s="140"/>
      <c r="G46" s="140"/>
    </row>
    <row r="47" spans="1:8" ht="19.5" customHeight="1" x14ac:dyDescent="0.15">
      <c r="C47" s="148" t="s">
        <v>96</v>
      </c>
      <c r="D47" s="1"/>
      <c r="E47" s="150"/>
      <c r="F47" s="1"/>
    </row>
    <row r="48" spans="1:8" ht="27.75" customHeight="1" x14ac:dyDescent="0.15">
      <c r="B48" s="3"/>
      <c r="C48" s="168" t="s">
        <v>106</v>
      </c>
      <c r="D48" s="170"/>
      <c r="E48" s="170"/>
      <c r="F48" s="212"/>
      <c r="G48" s="8"/>
    </row>
    <row r="49" spans="2:7" ht="27.75" customHeight="1" x14ac:dyDescent="0.15">
      <c r="B49" s="3"/>
      <c r="C49" s="185" t="s">
        <v>113</v>
      </c>
      <c r="D49" s="215">
        <v>448533.27</v>
      </c>
      <c r="E49" s="159">
        <v>467214.08000000002</v>
      </c>
      <c r="F49" s="159">
        <v>471198.64</v>
      </c>
      <c r="G49" s="8"/>
    </row>
    <row r="50" spans="2:7" ht="27.75" customHeight="1" x14ac:dyDescent="0.15">
      <c r="B50" s="3"/>
      <c r="C50" s="185" t="s">
        <v>144</v>
      </c>
      <c r="D50" s="159">
        <v>31940.23</v>
      </c>
      <c r="E50" s="159">
        <v>28054.45</v>
      </c>
      <c r="F50" s="159">
        <v>26372.11</v>
      </c>
      <c r="G50" s="8"/>
    </row>
    <row r="51" spans="2:7" ht="27.75" customHeight="1" x14ac:dyDescent="0.15">
      <c r="B51" s="3"/>
      <c r="C51" s="185" t="s">
        <v>141</v>
      </c>
      <c r="D51" s="159">
        <v>82378.25</v>
      </c>
      <c r="E51" s="159">
        <v>85796.27</v>
      </c>
      <c r="F51" s="159">
        <v>104383.25</v>
      </c>
      <c r="G51" s="8"/>
    </row>
    <row r="52" spans="2:7" ht="27.75" customHeight="1" x14ac:dyDescent="0.15">
      <c r="B52" s="3"/>
      <c r="C52" s="185" t="s">
        <v>127</v>
      </c>
      <c r="D52" s="159">
        <v>2769137.66</v>
      </c>
      <c r="E52" s="159">
        <v>2509454.8199999998</v>
      </c>
      <c r="F52" s="159">
        <v>1658491.96</v>
      </c>
      <c r="G52" s="8"/>
    </row>
    <row r="53" spans="2:7" ht="27.75" customHeight="1" x14ac:dyDescent="0.15">
      <c r="B53" s="3"/>
      <c r="C53" s="185" t="s">
        <v>108</v>
      </c>
      <c r="D53" s="159">
        <v>112121.39</v>
      </c>
      <c r="E53" s="159">
        <v>108505.55</v>
      </c>
      <c r="F53" s="159">
        <v>96422.82</v>
      </c>
      <c r="G53" s="8"/>
    </row>
    <row r="54" spans="2:7" ht="27.75" customHeight="1" x14ac:dyDescent="0.15">
      <c r="B54" s="3"/>
      <c r="C54" s="185" t="s">
        <v>129</v>
      </c>
      <c r="D54" s="159">
        <v>60156.42</v>
      </c>
      <c r="E54" s="159">
        <v>37411.730000000003</v>
      </c>
      <c r="F54" s="159">
        <v>32000</v>
      </c>
      <c r="G54" s="8"/>
    </row>
    <row r="55" spans="2:7" ht="27.75" customHeight="1" x14ac:dyDescent="0.15">
      <c r="B55" s="3"/>
      <c r="C55" s="237"/>
      <c r="D55" s="167"/>
      <c r="E55" s="167"/>
      <c r="F55" s="167"/>
      <c r="G55" s="8"/>
    </row>
    <row r="56" spans="2:7" ht="27.75" customHeight="1" x14ac:dyDescent="0.15">
      <c r="B56" s="3"/>
      <c r="C56" s="168" t="s">
        <v>142</v>
      </c>
      <c r="D56" s="239">
        <v>3504267.22</v>
      </c>
      <c r="E56" s="239">
        <v>3236436.9</v>
      </c>
      <c r="F56" s="239">
        <v>2388868.7799999998</v>
      </c>
      <c r="G56" s="8"/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30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24">
        <f t="shared" ref="C5:E5" si="0">SUM(C6:C12)</f>
        <v>19364179.77</v>
      </c>
      <c r="D5" s="30">
        <f t="shared" si="0"/>
        <v>17398802.760000002</v>
      </c>
      <c r="E5" s="30">
        <f t="shared" si="0"/>
        <v>15580885.869999999</v>
      </c>
      <c r="F5" s="18"/>
    </row>
    <row r="6" spans="1:6" ht="13" x14ac:dyDescent="0.15">
      <c r="A6" s="19">
        <v>411</v>
      </c>
      <c r="B6" s="36" t="s">
        <v>38</v>
      </c>
      <c r="C6" s="38">
        <v>9402898.2100000009</v>
      </c>
      <c r="D6" s="39">
        <v>8402716.7100000009</v>
      </c>
      <c r="E6" s="40">
        <v>9117176.6099999994</v>
      </c>
      <c r="F6" s="41"/>
    </row>
    <row r="7" spans="1:6" ht="13" x14ac:dyDescent="0.15">
      <c r="A7" s="19">
        <v>412</v>
      </c>
      <c r="B7" s="42" t="s">
        <v>54</v>
      </c>
      <c r="C7" s="38">
        <v>1556050.19</v>
      </c>
      <c r="D7" s="39">
        <v>1987119.91</v>
      </c>
      <c r="E7" s="40">
        <v>732820.88</v>
      </c>
      <c r="F7" s="41"/>
    </row>
    <row r="8" spans="1:6" ht="13" x14ac:dyDescent="0.15">
      <c r="A8" s="19">
        <v>413</v>
      </c>
      <c r="B8" s="42" t="s">
        <v>3</v>
      </c>
      <c r="C8" s="39">
        <v>7277578.7999999998</v>
      </c>
      <c r="D8" s="39">
        <v>6147550.3899999997</v>
      </c>
      <c r="E8" s="43">
        <v>4667898.05</v>
      </c>
      <c r="F8" s="41"/>
    </row>
    <row r="9" spans="1:6" ht="13" x14ac:dyDescent="0.15">
      <c r="A9" s="44">
        <v>414</v>
      </c>
      <c r="B9" s="36" t="s">
        <v>5</v>
      </c>
      <c r="C9" s="39">
        <v>363136.33</v>
      </c>
      <c r="D9" s="39">
        <v>334672.09999999998</v>
      </c>
      <c r="E9" s="43">
        <v>324855.74</v>
      </c>
      <c r="F9" s="41"/>
    </row>
    <row r="10" spans="1:6" ht="13" x14ac:dyDescent="0.15">
      <c r="A10" s="19">
        <v>415</v>
      </c>
      <c r="B10" s="45" t="s">
        <v>6</v>
      </c>
      <c r="C10" s="39">
        <v>336563.1</v>
      </c>
      <c r="D10" s="39">
        <v>252078.54</v>
      </c>
      <c r="E10" s="43">
        <v>681220.75</v>
      </c>
      <c r="F10" s="41"/>
    </row>
    <row r="11" spans="1:6" ht="13" x14ac:dyDescent="0.15">
      <c r="A11" s="19">
        <v>416</v>
      </c>
      <c r="B11" s="36" t="s">
        <v>7</v>
      </c>
      <c r="C11" s="39">
        <v>375583.23</v>
      </c>
      <c r="D11" s="39">
        <v>152925</v>
      </c>
      <c r="E11" s="46"/>
      <c r="F11" s="41"/>
    </row>
    <row r="12" spans="1:6" ht="13" x14ac:dyDescent="0.15">
      <c r="A12" s="19">
        <v>418</v>
      </c>
      <c r="B12" s="36" t="s">
        <v>55</v>
      </c>
      <c r="C12" s="39">
        <v>52369.91</v>
      </c>
      <c r="D12" s="39">
        <v>121740.11</v>
      </c>
      <c r="E12" s="43">
        <v>56913.84</v>
      </c>
      <c r="F12" s="41"/>
    </row>
    <row r="13" spans="1:6" ht="13" x14ac:dyDescent="0.15">
      <c r="A13" s="19">
        <v>42</v>
      </c>
      <c r="B13" s="47" t="s">
        <v>9</v>
      </c>
      <c r="C13" s="16"/>
      <c r="D13" s="48"/>
      <c r="E13" s="41"/>
      <c r="F13" s="41"/>
    </row>
    <row r="14" spans="1:6" ht="16.5" customHeight="1" x14ac:dyDescent="0.15">
      <c r="A14" s="49">
        <v>43</v>
      </c>
      <c r="B14" s="60" t="s">
        <v>10</v>
      </c>
      <c r="C14" s="71">
        <v>9866969.0099999998</v>
      </c>
      <c r="D14" s="71">
        <v>11290002.15</v>
      </c>
      <c r="E14" s="71">
        <v>9667292.4399999995</v>
      </c>
      <c r="F14" s="18"/>
    </row>
    <row r="15" spans="1:6" ht="13" x14ac:dyDescent="0.15">
      <c r="A15" s="44" t="s">
        <v>58</v>
      </c>
      <c r="B15" s="45" t="s">
        <v>11</v>
      </c>
      <c r="C15" s="40">
        <v>147543.1</v>
      </c>
      <c r="D15" s="43">
        <v>101231.08</v>
      </c>
      <c r="E15" s="40">
        <v>40000</v>
      </c>
      <c r="F15" s="18"/>
    </row>
    <row r="16" spans="1:6" ht="13" x14ac:dyDescent="0.15">
      <c r="A16" s="44" t="s">
        <v>59</v>
      </c>
      <c r="B16" s="45" t="s">
        <v>12</v>
      </c>
      <c r="C16" s="40">
        <v>457341.29</v>
      </c>
      <c r="D16" s="43">
        <v>514606.22</v>
      </c>
      <c r="E16" s="40">
        <v>412668.68</v>
      </c>
      <c r="F16" s="18"/>
    </row>
    <row r="17" spans="1:6" ht="13" x14ac:dyDescent="0.15">
      <c r="A17" s="44" t="s">
        <v>60</v>
      </c>
      <c r="B17" s="74" t="s">
        <v>13</v>
      </c>
      <c r="C17" s="43">
        <v>1441200.3</v>
      </c>
      <c r="D17" s="40">
        <v>752164.8</v>
      </c>
      <c r="E17" s="39">
        <v>597526.54</v>
      </c>
      <c r="F17" s="76"/>
    </row>
    <row r="18" spans="1:6" ht="13" x14ac:dyDescent="0.15">
      <c r="A18" s="44" t="s">
        <v>61</v>
      </c>
      <c r="B18" s="74" t="s">
        <v>62</v>
      </c>
      <c r="C18" s="46">
        <f>927068.31+6893816.01</f>
        <v>7820884.3200000003</v>
      </c>
      <c r="D18" s="67">
        <f>1096449.75+700000+8125550.3</f>
        <v>9922000.0500000007</v>
      </c>
      <c r="E18" s="55">
        <v>8617097.2200000007</v>
      </c>
      <c r="F18" s="76"/>
    </row>
    <row r="19" spans="1:6" ht="13" x14ac:dyDescent="0.15">
      <c r="A19" s="19">
        <v>44</v>
      </c>
      <c r="B19" s="37" t="s">
        <v>14</v>
      </c>
      <c r="C19" s="56">
        <v>53807214.229999997</v>
      </c>
      <c r="D19" s="71">
        <v>35185413.979999997</v>
      </c>
      <c r="E19" s="71">
        <v>22936548.219999999</v>
      </c>
      <c r="F19" s="18"/>
    </row>
    <row r="20" spans="1:6" ht="13" x14ac:dyDescent="0.15">
      <c r="A20" s="19">
        <v>45</v>
      </c>
      <c r="B20" s="47" t="s">
        <v>63</v>
      </c>
      <c r="C20" s="16"/>
      <c r="D20" s="18"/>
      <c r="E20" s="18"/>
      <c r="F20" s="18"/>
    </row>
    <row r="21" spans="1:6" ht="13" x14ac:dyDescent="0.15">
      <c r="A21" s="19">
        <v>46</v>
      </c>
      <c r="B21" s="20" t="s">
        <v>16</v>
      </c>
      <c r="C21" s="56">
        <v>1662588.49</v>
      </c>
      <c r="D21" s="71">
        <v>2423556.65</v>
      </c>
      <c r="E21" s="71">
        <v>2455812.17</v>
      </c>
      <c r="F21" s="18"/>
    </row>
    <row r="22" spans="1:6" ht="13" x14ac:dyDescent="0.15">
      <c r="A22" s="19">
        <v>47</v>
      </c>
      <c r="B22" s="20" t="s">
        <v>17</v>
      </c>
      <c r="C22" s="56">
        <v>642929.92000000004</v>
      </c>
      <c r="D22" s="71">
        <v>1023541.51</v>
      </c>
      <c r="E22" s="71">
        <v>582267.79</v>
      </c>
      <c r="F22" s="18"/>
    </row>
    <row r="23" spans="1:6" ht="13" x14ac:dyDescent="0.15">
      <c r="A23" s="3"/>
      <c r="B23" s="20" t="s">
        <v>18</v>
      </c>
      <c r="C23" s="56">
        <v>85343881.420000002</v>
      </c>
      <c r="D23" s="57">
        <v>67321317.049999997</v>
      </c>
      <c r="E23" s="57">
        <v>51222808.390000001</v>
      </c>
      <c r="F23" s="18"/>
    </row>
    <row r="24" spans="1:6" ht="13" x14ac:dyDescent="0.15">
      <c r="A24" s="3"/>
      <c r="B24" s="103" t="s">
        <v>64</v>
      </c>
      <c r="C24" s="104"/>
      <c r="D24" s="105"/>
      <c r="E24" s="105"/>
      <c r="F24" s="105"/>
    </row>
    <row r="25" spans="1:6" ht="13" x14ac:dyDescent="0.15">
      <c r="A25" s="19">
        <v>71</v>
      </c>
      <c r="B25" s="20" t="s">
        <v>39</v>
      </c>
      <c r="C25" s="30">
        <f t="shared" ref="C25:E25" si="1">SUM(C26:C30)</f>
        <v>52744240.649999999</v>
      </c>
      <c r="D25" s="30">
        <f t="shared" si="1"/>
        <v>46497415.130000003</v>
      </c>
      <c r="E25" s="30">
        <f t="shared" si="1"/>
        <v>39555194.140000001</v>
      </c>
      <c r="F25" s="15"/>
    </row>
    <row r="26" spans="1:6" ht="13" x14ac:dyDescent="0.15">
      <c r="A26" s="44">
        <v>711</v>
      </c>
      <c r="B26" s="45" t="s">
        <v>40</v>
      </c>
      <c r="C26" s="39">
        <v>21052205.829999998</v>
      </c>
      <c r="D26" s="39">
        <v>20263988.57</v>
      </c>
      <c r="E26" s="39">
        <v>21226838.309999999</v>
      </c>
      <c r="F26" s="41"/>
    </row>
    <row r="27" spans="1:6" ht="13" x14ac:dyDescent="0.15">
      <c r="A27" s="44">
        <v>713</v>
      </c>
      <c r="B27" s="45" t="s">
        <v>41</v>
      </c>
      <c r="C27" s="38">
        <v>1703137.68</v>
      </c>
      <c r="D27" s="39">
        <v>1567687.93</v>
      </c>
      <c r="E27" s="39">
        <v>1851835.64</v>
      </c>
      <c r="F27" s="41"/>
    </row>
    <row r="28" spans="1:6" ht="13" x14ac:dyDescent="0.15">
      <c r="A28" s="44">
        <v>714</v>
      </c>
      <c r="B28" s="45" t="s">
        <v>42</v>
      </c>
      <c r="C28" s="38">
        <v>685228.66</v>
      </c>
      <c r="D28" s="39">
        <v>298603.34000000003</v>
      </c>
      <c r="E28" s="48">
        <f>925558.78-13427.14</f>
        <v>912131.64</v>
      </c>
      <c r="F28" s="41"/>
    </row>
    <row r="29" spans="1:6" ht="13" x14ac:dyDescent="0.15">
      <c r="A29" s="80"/>
      <c r="B29" s="45" t="s">
        <v>66</v>
      </c>
      <c r="C29" s="48">
        <f>24110987.66+107240.98+1518330.69+519008.61</f>
        <v>26255567.940000001</v>
      </c>
      <c r="D29" s="48">
        <f>20832549.73+122453+687192.19+510329.19</f>
        <v>22152524.110000003</v>
      </c>
      <c r="E29" s="48">
        <f>10167542.84+970502.86+533358.13+465535.97</f>
        <v>12136939.800000001</v>
      </c>
      <c r="F29" s="41"/>
    </row>
    <row r="30" spans="1:6" ht="13" x14ac:dyDescent="0.15">
      <c r="A30" s="44">
        <v>715</v>
      </c>
      <c r="B30" s="45" t="s">
        <v>67</v>
      </c>
      <c r="C30" s="38">
        <v>3048100.54</v>
      </c>
      <c r="D30" s="39">
        <v>2214611.1800000002</v>
      </c>
      <c r="E30" s="39">
        <v>3427448.75</v>
      </c>
      <c r="F30" s="41"/>
    </row>
    <row r="31" spans="1:6" ht="13" x14ac:dyDescent="0.15">
      <c r="A31" s="19">
        <v>72</v>
      </c>
      <c r="B31" s="113" t="s">
        <v>43</v>
      </c>
      <c r="C31" s="56">
        <v>20008605.18</v>
      </c>
      <c r="D31" s="57">
        <v>12255828.029999999</v>
      </c>
      <c r="E31" s="57">
        <v>3998397.99</v>
      </c>
      <c r="F31" s="48"/>
    </row>
    <row r="32" spans="1:6" ht="18" customHeight="1" x14ac:dyDescent="0.15">
      <c r="A32" s="115">
        <v>73</v>
      </c>
      <c r="B32" s="47" t="s">
        <v>68</v>
      </c>
      <c r="C32" s="71">
        <v>18182366.920000002</v>
      </c>
      <c r="D32" s="75">
        <v>5939282.9699999997</v>
      </c>
      <c r="E32" s="75">
        <v>7855101.21</v>
      </c>
      <c r="F32" s="117"/>
    </row>
    <row r="33" spans="1:6" ht="13" x14ac:dyDescent="0.15">
      <c r="A33" s="19">
        <v>74</v>
      </c>
      <c r="B33" s="60" t="s">
        <v>44</v>
      </c>
      <c r="C33" s="71">
        <v>347951.64</v>
      </c>
      <c r="D33" s="75">
        <v>344067.1</v>
      </c>
      <c r="E33" s="75">
        <v>101707.24</v>
      </c>
      <c r="F33" s="18"/>
    </row>
    <row r="34" spans="1:6" ht="13" x14ac:dyDescent="0.15">
      <c r="A34" s="44">
        <v>741</v>
      </c>
      <c r="B34" s="45" t="s">
        <v>45</v>
      </c>
      <c r="C34" s="40">
        <v>347951.64</v>
      </c>
      <c r="D34" s="43">
        <v>89329.600000000006</v>
      </c>
      <c r="E34" s="43">
        <v>101707.24</v>
      </c>
      <c r="F34" s="18"/>
    </row>
    <row r="35" spans="1:6" ht="13" x14ac:dyDescent="0.15">
      <c r="A35" s="44">
        <v>742</v>
      </c>
      <c r="B35" s="45" t="s">
        <v>46</v>
      </c>
      <c r="C35" s="108"/>
      <c r="D35" s="109"/>
      <c r="E35" s="109"/>
      <c r="F35" s="18"/>
    </row>
    <row r="36" spans="1:6" ht="13" x14ac:dyDescent="0.15">
      <c r="A36" s="80"/>
      <c r="B36" s="45" t="s">
        <v>81</v>
      </c>
      <c r="C36" s="108"/>
      <c r="D36" s="111">
        <v>254737.5</v>
      </c>
      <c r="E36" s="109"/>
      <c r="F36" s="18"/>
    </row>
    <row r="37" spans="1:6" ht="13" x14ac:dyDescent="0.15">
      <c r="A37" s="19">
        <v>751</v>
      </c>
      <c r="B37" s="37" t="s">
        <v>63</v>
      </c>
      <c r="C37" s="66"/>
      <c r="D37" s="57">
        <v>10139825.029999999</v>
      </c>
      <c r="E37" s="48"/>
      <c r="F37" s="18"/>
    </row>
    <row r="38" spans="1:6" ht="13" x14ac:dyDescent="0.15">
      <c r="A38" s="3"/>
      <c r="B38" s="37" t="s">
        <v>82</v>
      </c>
      <c r="C38" s="56">
        <v>91283164.390000001</v>
      </c>
      <c r="D38" s="57">
        <v>75176418.260000005</v>
      </c>
      <c r="E38" s="57">
        <v>51510400.579999998</v>
      </c>
      <c r="F38" s="18"/>
    </row>
    <row r="39" spans="1:6" ht="13" x14ac:dyDescent="0.15">
      <c r="A39" s="3"/>
      <c r="B39" s="103" t="s">
        <v>83</v>
      </c>
      <c r="C39" s="104"/>
      <c r="D39" s="105"/>
      <c r="E39" s="105"/>
      <c r="F39" s="105"/>
    </row>
    <row r="40" spans="1:6" ht="13" x14ac:dyDescent="0.15">
      <c r="A40" s="3"/>
      <c r="B40" s="42" t="s">
        <v>84</v>
      </c>
      <c r="C40" s="66"/>
      <c r="D40" s="48"/>
      <c r="E40" s="48"/>
      <c r="F40" s="48"/>
    </row>
    <row r="41" spans="1:6" ht="13" x14ac:dyDescent="0.15">
      <c r="A41" s="3"/>
      <c r="B41" s="42" t="s">
        <v>49</v>
      </c>
      <c r="C41" s="66"/>
      <c r="D41" s="48"/>
      <c r="E41" s="48"/>
      <c r="F41" s="48"/>
    </row>
    <row r="42" spans="1:6" ht="13" x14ac:dyDescent="0.15">
      <c r="A42" s="3"/>
      <c r="B42" s="42" t="s">
        <v>51</v>
      </c>
      <c r="C42" s="66"/>
      <c r="D42" s="48"/>
      <c r="E42" s="48"/>
      <c r="F42" s="48"/>
    </row>
    <row r="43" spans="1:6" ht="13" x14ac:dyDescent="0.15">
      <c r="A43" s="3"/>
      <c r="B43" s="42" t="s">
        <v>86</v>
      </c>
      <c r="C43" s="66"/>
      <c r="D43" s="48"/>
      <c r="E43" s="48"/>
      <c r="F43" s="48"/>
    </row>
    <row r="44" spans="1:6" ht="13" x14ac:dyDescent="0.15">
      <c r="A44" s="3"/>
      <c r="B44" s="134"/>
      <c r="C44" s="104"/>
      <c r="D44" s="105"/>
      <c r="E44" s="105"/>
      <c r="F44" s="105"/>
    </row>
    <row r="45" spans="1:6" ht="19.5" customHeight="1" x14ac:dyDescent="0.15">
      <c r="B45" s="140"/>
      <c r="C45" s="140"/>
      <c r="D45" s="141"/>
      <c r="E45" s="140"/>
      <c r="F45" s="140"/>
    </row>
    <row r="46" spans="1:6" ht="19.5" customHeight="1" x14ac:dyDescent="0.15">
      <c r="B46" s="148" t="s">
        <v>96</v>
      </c>
      <c r="C46" s="1"/>
      <c r="D46" s="150"/>
      <c r="E46" s="1"/>
    </row>
    <row r="47" spans="1:6" ht="19.5" customHeight="1" x14ac:dyDescent="0.15">
      <c r="A47" s="3"/>
      <c r="B47" s="151" t="s">
        <v>106</v>
      </c>
      <c r="C47" s="114"/>
      <c r="D47" s="139"/>
      <c r="E47" s="114"/>
      <c r="F47" s="8"/>
    </row>
    <row r="48" spans="1:6" ht="24" customHeight="1" x14ac:dyDescent="0.15">
      <c r="A48" s="3"/>
      <c r="B48" s="153" t="s">
        <v>156</v>
      </c>
      <c r="C48" s="159">
        <v>893786.24</v>
      </c>
      <c r="D48" s="159">
        <v>811464.27</v>
      </c>
      <c r="E48" s="159">
        <v>603648.89</v>
      </c>
      <c r="F48" s="8"/>
    </row>
    <row r="49" spans="1:6" ht="24" customHeight="1" x14ac:dyDescent="0.15">
      <c r="A49" s="3"/>
      <c r="B49" s="205" t="s">
        <v>144</v>
      </c>
      <c r="C49" s="159">
        <v>88344.4</v>
      </c>
      <c r="D49" s="159">
        <v>86173.4</v>
      </c>
      <c r="E49" s="159">
        <v>78626.23</v>
      </c>
      <c r="F49" s="8"/>
    </row>
    <row r="50" spans="1:6" ht="24" customHeight="1" x14ac:dyDescent="0.15">
      <c r="A50" s="3"/>
      <c r="B50" s="205" t="s">
        <v>145</v>
      </c>
      <c r="C50" s="159">
        <v>46423.96</v>
      </c>
      <c r="D50" s="159">
        <v>56892.38</v>
      </c>
      <c r="E50" s="159">
        <v>46295.839999999997</v>
      </c>
      <c r="F50" s="8"/>
    </row>
    <row r="51" spans="1:6" ht="24" customHeight="1" x14ac:dyDescent="0.15">
      <c r="A51" s="3"/>
      <c r="B51" s="205" t="s">
        <v>160</v>
      </c>
      <c r="C51" s="159">
        <v>648190.14</v>
      </c>
      <c r="D51" s="159">
        <v>740622.89</v>
      </c>
      <c r="E51" s="159">
        <v>638631.87</v>
      </c>
      <c r="F51" s="8"/>
    </row>
    <row r="52" spans="1:6" ht="24" customHeight="1" x14ac:dyDescent="0.15">
      <c r="A52" s="3"/>
      <c r="B52" s="205" t="s">
        <v>211</v>
      </c>
      <c r="C52" s="159">
        <v>67497171.200000003</v>
      </c>
      <c r="D52" s="159">
        <v>51574881.310000002</v>
      </c>
      <c r="E52" s="159">
        <v>37236676.579999998</v>
      </c>
      <c r="F52" s="8"/>
    </row>
    <row r="53" spans="1:6" ht="24" customHeight="1" x14ac:dyDescent="0.15">
      <c r="A53" s="3"/>
      <c r="B53" s="205" t="s">
        <v>213</v>
      </c>
      <c r="C53" s="159">
        <v>383988</v>
      </c>
      <c r="D53" s="159">
        <v>388660.88</v>
      </c>
      <c r="E53" s="159">
        <v>442447.51</v>
      </c>
      <c r="F53" s="8"/>
    </row>
    <row r="54" spans="1:6" ht="24" customHeight="1" x14ac:dyDescent="0.15">
      <c r="A54" s="3"/>
      <c r="B54" s="205" t="s">
        <v>214</v>
      </c>
      <c r="C54" s="159">
        <v>615861.5</v>
      </c>
      <c r="D54" s="159">
        <v>658511.73</v>
      </c>
      <c r="E54" s="159">
        <v>503353.31</v>
      </c>
      <c r="F54" s="8"/>
    </row>
    <row r="55" spans="1:6" ht="24" customHeight="1" x14ac:dyDescent="0.15">
      <c r="A55" s="3"/>
      <c r="B55" s="205" t="s">
        <v>216</v>
      </c>
      <c r="C55" s="159">
        <v>1259303.1499999999</v>
      </c>
      <c r="D55" s="159">
        <v>848259.04</v>
      </c>
      <c r="E55" s="159">
        <v>825193</v>
      </c>
      <c r="F55" s="8"/>
    </row>
    <row r="56" spans="1:6" ht="24" customHeight="1" x14ac:dyDescent="0.15">
      <c r="A56" s="3"/>
      <c r="B56" s="205" t="s">
        <v>217</v>
      </c>
      <c r="C56" s="159">
        <v>266865.34999999998</v>
      </c>
      <c r="D56" s="159">
        <v>228496.91</v>
      </c>
      <c r="E56" s="159">
        <v>232497.69</v>
      </c>
      <c r="F56" s="8"/>
    </row>
    <row r="57" spans="1:6" ht="24" customHeight="1" x14ac:dyDescent="0.15">
      <c r="A57" s="3"/>
      <c r="B57" s="207" t="s">
        <v>218</v>
      </c>
      <c r="C57" s="159">
        <v>472941.63</v>
      </c>
      <c r="D57" s="159">
        <v>518569.89</v>
      </c>
      <c r="E57" s="159">
        <v>451234.43</v>
      </c>
      <c r="F57" s="8"/>
    </row>
    <row r="58" spans="1:6" ht="24" customHeight="1" x14ac:dyDescent="0.15">
      <c r="A58" s="3"/>
      <c r="B58" s="205" t="s">
        <v>220</v>
      </c>
      <c r="C58" s="159">
        <v>1849267.88</v>
      </c>
      <c r="D58" s="159">
        <v>1191561.76</v>
      </c>
      <c r="E58" s="159">
        <v>724590.27</v>
      </c>
      <c r="F58" s="8"/>
    </row>
    <row r="59" spans="1:6" ht="24" customHeight="1" x14ac:dyDescent="0.15">
      <c r="A59" s="3"/>
      <c r="B59" s="205" t="s">
        <v>221</v>
      </c>
      <c r="C59" s="159">
        <v>470381.33</v>
      </c>
      <c r="D59" s="159">
        <v>475016.1</v>
      </c>
      <c r="E59" s="159">
        <v>467665.24</v>
      </c>
      <c r="F59" s="8"/>
    </row>
    <row r="60" spans="1:6" ht="24" customHeight="1" x14ac:dyDescent="0.15">
      <c r="A60" s="3"/>
      <c r="B60" s="205" t="s">
        <v>222</v>
      </c>
      <c r="C60" s="159">
        <v>483909.47</v>
      </c>
      <c r="D60" s="159">
        <v>463675.3</v>
      </c>
      <c r="E60" s="159">
        <v>431062.92</v>
      </c>
      <c r="F60" s="8"/>
    </row>
    <row r="61" spans="1:6" ht="24" customHeight="1" x14ac:dyDescent="0.15">
      <c r="A61" s="3"/>
      <c r="B61" s="205" t="s">
        <v>224</v>
      </c>
      <c r="C61" s="159">
        <v>656598.75</v>
      </c>
      <c r="D61" s="159">
        <v>663717.79</v>
      </c>
      <c r="E61" s="159">
        <v>666680.22</v>
      </c>
      <c r="F61" s="8"/>
    </row>
    <row r="62" spans="1:6" ht="24" customHeight="1" x14ac:dyDescent="0.15">
      <c r="A62" s="3"/>
      <c r="B62" s="205" t="s">
        <v>225</v>
      </c>
      <c r="C62" s="159">
        <v>675586.79</v>
      </c>
      <c r="D62" s="159">
        <v>601287.56999999995</v>
      </c>
      <c r="E62" s="159">
        <v>561136.32999999996</v>
      </c>
      <c r="F62" s="8"/>
    </row>
    <row r="63" spans="1:6" ht="24" customHeight="1" x14ac:dyDescent="0.15">
      <c r="A63" s="3"/>
      <c r="B63" s="205" t="s">
        <v>227</v>
      </c>
      <c r="C63" s="159">
        <v>113868.82</v>
      </c>
      <c r="D63" s="159">
        <v>105651.9</v>
      </c>
      <c r="E63" s="159">
        <v>119631.16</v>
      </c>
      <c r="F63" s="8"/>
    </row>
    <row r="64" spans="1:6" ht="24" customHeight="1" x14ac:dyDescent="0.15">
      <c r="A64" s="3"/>
      <c r="B64" s="205" t="s">
        <v>229</v>
      </c>
      <c r="C64" s="159">
        <v>135587.54999999999</v>
      </c>
      <c r="D64" s="159">
        <v>117515.22</v>
      </c>
      <c r="E64" s="159">
        <v>118266.95</v>
      </c>
      <c r="F64" s="8"/>
    </row>
    <row r="65" spans="1:6" ht="24" customHeight="1" x14ac:dyDescent="0.15">
      <c r="A65" s="3"/>
      <c r="B65" s="205" t="s">
        <v>230</v>
      </c>
      <c r="C65" s="159">
        <v>532900.79</v>
      </c>
      <c r="D65" s="159">
        <v>198287.7</v>
      </c>
      <c r="E65" s="167"/>
      <c r="F65" s="8"/>
    </row>
    <row r="66" spans="1:6" ht="24" customHeight="1" x14ac:dyDescent="0.15">
      <c r="A66" s="3"/>
      <c r="B66" s="205" t="s">
        <v>231</v>
      </c>
      <c r="C66" s="159">
        <v>309065.46000000002</v>
      </c>
      <c r="D66" s="159">
        <v>143183.14000000001</v>
      </c>
      <c r="E66" s="167"/>
      <c r="F66" s="8"/>
    </row>
    <row r="67" spans="1:6" ht="24" customHeight="1" x14ac:dyDescent="0.15">
      <c r="A67" s="3"/>
      <c r="B67" s="205" t="s">
        <v>232</v>
      </c>
      <c r="C67" s="159">
        <v>816427.44</v>
      </c>
      <c r="D67" s="159">
        <v>687556.36</v>
      </c>
      <c r="E67" s="159">
        <v>611709.89</v>
      </c>
      <c r="F67" s="8"/>
    </row>
    <row r="68" spans="1:6" ht="24" customHeight="1" x14ac:dyDescent="0.15">
      <c r="A68" s="3"/>
      <c r="B68" s="153" t="s">
        <v>233</v>
      </c>
      <c r="C68" s="159">
        <v>726018.93</v>
      </c>
      <c r="D68" s="159">
        <v>720895.06</v>
      </c>
      <c r="E68" s="159">
        <v>665211.41</v>
      </c>
      <c r="F68" s="8"/>
    </row>
    <row r="69" spans="1:6" ht="24" customHeight="1" x14ac:dyDescent="0.15">
      <c r="A69" s="3"/>
      <c r="B69" s="205" t="s">
        <v>234</v>
      </c>
      <c r="C69" s="159">
        <v>543320.02</v>
      </c>
      <c r="D69" s="159">
        <v>672287.33</v>
      </c>
      <c r="E69" s="159">
        <v>541010.71</v>
      </c>
      <c r="F69" s="8"/>
    </row>
    <row r="70" spans="1:6" ht="24" customHeight="1" x14ac:dyDescent="0.15">
      <c r="A70" s="3"/>
      <c r="B70" s="205" t="s">
        <v>136</v>
      </c>
      <c r="C70" s="159">
        <v>1182857.31</v>
      </c>
      <c r="D70" s="159">
        <v>1059026.48</v>
      </c>
      <c r="E70" s="159">
        <v>1027136.84</v>
      </c>
      <c r="F70" s="8"/>
    </row>
    <row r="71" spans="1:6" ht="24" customHeight="1" x14ac:dyDescent="0.15">
      <c r="A71" s="3"/>
      <c r="B71" s="205" t="s">
        <v>138</v>
      </c>
      <c r="C71" s="159">
        <v>2246280.17</v>
      </c>
      <c r="D71" s="159">
        <v>2120829.48</v>
      </c>
      <c r="E71" s="159">
        <v>1842288.65</v>
      </c>
      <c r="F71" s="8"/>
    </row>
    <row r="72" spans="1:6" ht="24" customHeight="1" x14ac:dyDescent="0.15">
      <c r="A72" s="3"/>
      <c r="B72" s="205" t="s">
        <v>134</v>
      </c>
      <c r="C72" s="159">
        <v>390074.52</v>
      </c>
      <c r="D72" s="159">
        <v>400445.53</v>
      </c>
      <c r="E72" s="159">
        <v>415490.06</v>
      </c>
      <c r="F72" s="8"/>
    </row>
    <row r="73" spans="1:6" ht="24" customHeight="1" x14ac:dyDescent="0.15">
      <c r="A73" s="3"/>
      <c r="B73" s="205" t="s">
        <v>235</v>
      </c>
      <c r="C73" s="159">
        <v>286572.87</v>
      </c>
      <c r="D73" s="159">
        <v>312998.18</v>
      </c>
      <c r="E73" s="159">
        <v>497417.14</v>
      </c>
      <c r="F73" s="8"/>
    </row>
    <row r="74" spans="1:6" ht="24" customHeight="1" x14ac:dyDescent="0.15">
      <c r="A74" s="3"/>
      <c r="B74" s="205" t="s">
        <v>236</v>
      </c>
      <c r="C74" s="167"/>
      <c r="D74" s="167"/>
      <c r="E74" s="159">
        <v>6635.47</v>
      </c>
      <c r="F74" s="8"/>
    </row>
    <row r="75" spans="1:6" ht="24" customHeight="1" x14ac:dyDescent="0.15">
      <c r="A75" s="3"/>
      <c r="B75" s="166" t="s">
        <v>121</v>
      </c>
      <c r="C75" s="159">
        <v>1752287.75</v>
      </c>
      <c r="D75" s="159">
        <v>1474849.45</v>
      </c>
      <c r="E75" s="159">
        <v>1468269.88</v>
      </c>
      <c r="F75" s="8"/>
    </row>
    <row r="76" spans="1:6" ht="19.5" customHeight="1" x14ac:dyDescent="0.15">
      <c r="A76" s="3"/>
      <c r="B76" s="169"/>
      <c r="C76" s="167"/>
      <c r="D76" s="167"/>
      <c r="E76" s="167"/>
      <c r="F76" s="8"/>
    </row>
    <row r="77" spans="1:6" ht="19.5" customHeight="1" x14ac:dyDescent="0.15">
      <c r="A77" s="3"/>
      <c r="B77" s="151" t="s">
        <v>142</v>
      </c>
      <c r="C77" s="206">
        <v>85343881.420000002</v>
      </c>
      <c r="D77" s="206">
        <v>67321317.049999997</v>
      </c>
      <c r="E77" s="206">
        <v>51222808.390000001</v>
      </c>
      <c r="F77" s="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.15"/>
  <cols>
    <col min="1" max="35" width="17.33203125" customWidth="1"/>
  </cols>
  <sheetData>
    <row r="1" spans="1:35" ht="65" x14ac:dyDescent="0.15">
      <c r="A1" s="2"/>
      <c r="B1" s="5" t="s">
        <v>0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31"/>
      <c r="T1" s="32" t="s">
        <v>39</v>
      </c>
      <c r="U1" s="6" t="s">
        <v>40</v>
      </c>
      <c r="V1" s="6" t="s">
        <v>41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15</v>
      </c>
      <c r="AC1" s="6" t="s">
        <v>47</v>
      </c>
      <c r="AD1" s="31"/>
      <c r="AE1" s="6" t="s">
        <v>48</v>
      </c>
      <c r="AF1" s="6" t="s">
        <v>49</v>
      </c>
      <c r="AG1" s="6" t="s">
        <v>50</v>
      </c>
      <c r="AH1" s="6" t="s">
        <v>51</v>
      </c>
      <c r="AI1" s="6" t="s">
        <v>52</v>
      </c>
    </row>
    <row r="2" spans="1:35" ht="13" x14ac:dyDescent="0.15">
      <c r="A2" s="33" t="s">
        <v>53</v>
      </c>
      <c r="B2" s="59">
        <v>364866</v>
      </c>
      <c r="C2" s="59">
        <v>251790</v>
      </c>
      <c r="D2" s="59">
        <v>51612</v>
      </c>
      <c r="E2" s="59">
        <v>1982</v>
      </c>
      <c r="F2" s="81"/>
      <c r="G2" s="81"/>
      <c r="H2" s="59">
        <v>738</v>
      </c>
      <c r="I2" s="59">
        <v>0</v>
      </c>
      <c r="J2" s="59">
        <v>219239</v>
      </c>
      <c r="K2" s="59">
        <v>159310</v>
      </c>
      <c r="L2" s="59">
        <v>11799</v>
      </c>
      <c r="M2" s="59">
        <v>3630</v>
      </c>
      <c r="N2" s="59">
        <v>119392</v>
      </c>
      <c r="O2" s="81"/>
      <c r="P2" s="59">
        <v>66235</v>
      </c>
      <c r="Q2" s="59">
        <v>9590</v>
      </c>
      <c r="R2" s="59">
        <v>779322</v>
      </c>
      <c r="S2" s="81"/>
      <c r="T2" s="59">
        <v>208750</v>
      </c>
      <c r="U2" s="59">
        <v>115400</v>
      </c>
      <c r="V2" s="59">
        <v>26273</v>
      </c>
      <c r="W2" s="59">
        <v>18780</v>
      </c>
      <c r="X2" s="81"/>
      <c r="Y2" s="59">
        <v>566692</v>
      </c>
      <c r="Z2" s="59">
        <v>155790</v>
      </c>
      <c r="AA2" s="59">
        <v>328532</v>
      </c>
      <c r="AB2" s="81"/>
      <c r="AC2" s="59">
        <v>818220</v>
      </c>
      <c r="AD2" s="81"/>
      <c r="AE2" s="81"/>
      <c r="AF2" s="81"/>
      <c r="AG2" s="81"/>
      <c r="AH2" s="81"/>
      <c r="AI2" s="81"/>
    </row>
    <row r="3" spans="1:35" ht="13" x14ac:dyDescent="0.15">
      <c r="A3" s="33" t="s">
        <v>65</v>
      </c>
      <c r="B3" s="59">
        <v>3915819</v>
      </c>
      <c r="C3" s="59">
        <v>2633651</v>
      </c>
      <c r="D3" s="59">
        <v>642644</v>
      </c>
      <c r="E3" s="59">
        <v>50869</v>
      </c>
      <c r="F3" s="59">
        <v>103316</v>
      </c>
      <c r="G3" s="81"/>
      <c r="H3" s="59">
        <v>54647</v>
      </c>
      <c r="I3" s="59">
        <v>54060</v>
      </c>
      <c r="J3" s="59">
        <v>3315215</v>
      </c>
      <c r="K3" s="59">
        <v>819863</v>
      </c>
      <c r="L3" s="59">
        <v>107213</v>
      </c>
      <c r="M3" s="59">
        <v>156475</v>
      </c>
      <c r="N3" s="59">
        <v>7733632</v>
      </c>
      <c r="O3" s="81"/>
      <c r="P3" s="59">
        <v>282298</v>
      </c>
      <c r="Q3" s="59">
        <v>185229</v>
      </c>
      <c r="R3" s="59">
        <v>15486253</v>
      </c>
      <c r="S3" s="81"/>
      <c r="T3" s="59">
        <v>11574457</v>
      </c>
      <c r="U3" s="59">
        <v>6143123</v>
      </c>
      <c r="V3" s="59">
        <v>354001</v>
      </c>
      <c r="W3" s="59">
        <v>142438</v>
      </c>
      <c r="X3" s="59" t="s">
        <v>76</v>
      </c>
      <c r="Y3" s="81"/>
      <c r="Z3" s="81"/>
      <c r="AA3" s="81"/>
      <c r="AB3" s="59">
        <v>700000</v>
      </c>
      <c r="AC3" s="59">
        <v>15598542</v>
      </c>
      <c r="AD3" s="81"/>
      <c r="AE3" s="81"/>
      <c r="AF3" s="81"/>
      <c r="AG3" s="81"/>
      <c r="AH3" s="81"/>
      <c r="AI3" s="81"/>
    </row>
    <row r="4" spans="1:35" ht="13" x14ac:dyDescent="0.15">
      <c r="A4" s="33" t="s">
        <v>70</v>
      </c>
      <c r="B4" s="59">
        <v>2194750</v>
      </c>
      <c r="C4" s="59">
        <v>1452421</v>
      </c>
      <c r="D4" s="59">
        <v>517349</v>
      </c>
      <c r="E4" s="59">
        <v>21534</v>
      </c>
      <c r="F4" s="59">
        <v>12618</v>
      </c>
      <c r="G4" s="59">
        <v>19900</v>
      </c>
      <c r="H4" s="59">
        <v>23388</v>
      </c>
      <c r="I4" s="59">
        <v>34375</v>
      </c>
      <c r="J4" s="59">
        <v>713732</v>
      </c>
      <c r="K4" s="59">
        <v>283119</v>
      </c>
      <c r="L4" s="59">
        <v>122273</v>
      </c>
      <c r="M4" s="59">
        <v>99144</v>
      </c>
      <c r="N4" s="59">
        <v>851871</v>
      </c>
      <c r="O4" s="81"/>
      <c r="P4" s="59">
        <v>818337</v>
      </c>
      <c r="Q4" s="59">
        <v>169320</v>
      </c>
      <c r="R4" s="59">
        <v>4782385</v>
      </c>
      <c r="S4" s="81"/>
      <c r="T4" s="59">
        <v>1705925</v>
      </c>
      <c r="U4" s="59">
        <v>884203</v>
      </c>
      <c r="V4" s="59">
        <v>64681</v>
      </c>
      <c r="W4" s="59">
        <v>109123</v>
      </c>
      <c r="X4" s="59">
        <v>40518</v>
      </c>
      <c r="Y4" s="59">
        <v>2723709</v>
      </c>
      <c r="Z4" s="59">
        <v>240799</v>
      </c>
      <c r="AA4" s="59">
        <v>2476696</v>
      </c>
      <c r="AB4" s="59">
        <v>309700</v>
      </c>
      <c r="AC4" s="59">
        <v>4808580</v>
      </c>
      <c r="AD4" s="81"/>
      <c r="AE4" s="81"/>
      <c r="AF4" s="81"/>
      <c r="AG4" s="81"/>
      <c r="AH4" s="81"/>
      <c r="AI4" s="81"/>
    </row>
    <row r="5" spans="1:35" ht="13" x14ac:dyDescent="0.15">
      <c r="A5" s="33" t="s">
        <v>71</v>
      </c>
      <c r="B5" s="59">
        <v>1805221</v>
      </c>
      <c r="C5" s="59">
        <v>1019401</v>
      </c>
      <c r="D5" s="59">
        <v>523346</v>
      </c>
      <c r="E5" s="59">
        <v>46334</v>
      </c>
      <c r="F5" s="81"/>
      <c r="G5" s="59">
        <v>20578</v>
      </c>
      <c r="H5" s="81"/>
      <c r="I5" s="59">
        <v>95924</v>
      </c>
      <c r="J5" s="59">
        <v>1679629</v>
      </c>
      <c r="K5" s="59">
        <v>1322910</v>
      </c>
      <c r="L5" s="59">
        <v>243719</v>
      </c>
      <c r="M5" s="59">
        <v>113000</v>
      </c>
      <c r="N5" s="59">
        <v>3609134</v>
      </c>
      <c r="O5" s="81"/>
      <c r="P5" s="59">
        <v>1564134</v>
      </c>
      <c r="Q5" s="59">
        <v>164201</v>
      </c>
      <c r="R5" s="59">
        <v>8918242</v>
      </c>
      <c r="S5" s="81"/>
      <c r="T5" s="59">
        <v>3300595</v>
      </c>
      <c r="U5" s="59">
        <v>1493341</v>
      </c>
      <c r="V5" s="59">
        <v>77070</v>
      </c>
      <c r="W5" s="59">
        <v>143541</v>
      </c>
      <c r="X5" s="59">
        <v>3537</v>
      </c>
      <c r="Y5" s="59">
        <v>4007454</v>
      </c>
      <c r="Z5" s="81"/>
      <c r="AA5" s="59">
        <v>3554513</v>
      </c>
      <c r="AB5" s="59">
        <v>1989259</v>
      </c>
      <c r="AC5" s="59">
        <v>9311142</v>
      </c>
      <c r="AD5" s="81"/>
      <c r="AE5" s="81"/>
      <c r="AF5" s="81"/>
      <c r="AG5" s="81"/>
      <c r="AH5" s="81"/>
      <c r="AI5" s="81"/>
    </row>
    <row r="6" spans="1:35" ht="13" x14ac:dyDescent="0.15">
      <c r="A6" s="33" t="s">
        <v>72</v>
      </c>
      <c r="B6" s="59">
        <v>5029413</v>
      </c>
      <c r="C6" s="59">
        <v>2608596</v>
      </c>
      <c r="D6" s="59">
        <v>1920297</v>
      </c>
      <c r="E6" s="59">
        <v>125290</v>
      </c>
      <c r="F6" s="59">
        <v>46000</v>
      </c>
      <c r="G6" s="59">
        <v>71306</v>
      </c>
      <c r="H6" s="81"/>
      <c r="I6" s="59">
        <v>138963</v>
      </c>
      <c r="J6" s="59">
        <v>3365419</v>
      </c>
      <c r="K6" s="59">
        <v>3296496</v>
      </c>
      <c r="L6" s="59">
        <v>46591</v>
      </c>
      <c r="M6" s="59">
        <v>22331</v>
      </c>
      <c r="N6" s="59">
        <v>18097840</v>
      </c>
      <c r="O6" s="81"/>
      <c r="P6" s="59">
        <v>21778522</v>
      </c>
      <c r="Q6" s="59">
        <v>242164</v>
      </c>
      <c r="R6" s="59">
        <v>48652319</v>
      </c>
      <c r="S6" s="81"/>
      <c r="T6" s="59">
        <v>40766732</v>
      </c>
      <c r="U6" s="59">
        <v>8477387</v>
      </c>
      <c r="V6" s="59">
        <v>1091144</v>
      </c>
      <c r="W6" s="59">
        <v>31569</v>
      </c>
      <c r="X6" s="59">
        <v>7882056</v>
      </c>
      <c r="Y6" s="81"/>
      <c r="Z6" s="81"/>
      <c r="AA6" s="81"/>
      <c r="AB6" s="81"/>
      <c r="AC6" s="59">
        <v>48666978</v>
      </c>
      <c r="AD6" s="81"/>
      <c r="AE6" s="81"/>
      <c r="AF6" s="81"/>
      <c r="AG6" s="81"/>
      <c r="AH6" s="81"/>
      <c r="AI6" s="81"/>
    </row>
    <row r="7" spans="1:35" ht="13" x14ac:dyDescent="0.15">
      <c r="A7" s="33" t="s">
        <v>73</v>
      </c>
      <c r="B7" s="59">
        <v>1797343</v>
      </c>
      <c r="C7" s="59">
        <v>789781</v>
      </c>
      <c r="D7" s="59">
        <v>393561</v>
      </c>
      <c r="E7" s="59">
        <v>291104</v>
      </c>
      <c r="F7" s="59">
        <v>59062</v>
      </c>
      <c r="G7" s="59">
        <v>9835</v>
      </c>
      <c r="H7" s="81"/>
      <c r="I7" s="123"/>
      <c r="J7" s="59">
        <v>240309</v>
      </c>
      <c r="K7" s="127">
        <v>57911</v>
      </c>
      <c r="L7" s="59">
        <v>10290</v>
      </c>
      <c r="M7" s="59">
        <v>28204</v>
      </c>
      <c r="N7" s="59">
        <v>24950</v>
      </c>
      <c r="O7" s="59">
        <v>688000</v>
      </c>
      <c r="P7" s="59">
        <v>1307968</v>
      </c>
      <c r="Q7" s="59">
        <v>0</v>
      </c>
      <c r="R7" s="59">
        <v>4058571</v>
      </c>
      <c r="S7" s="81"/>
      <c r="T7" s="59">
        <v>2173212</v>
      </c>
      <c r="U7" s="59">
        <v>845485</v>
      </c>
      <c r="V7" s="59">
        <v>207794</v>
      </c>
      <c r="W7" s="59">
        <v>5241</v>
      </c>
      <c r="X7" s="59">
        <v>2636</v>
      </c>
      <c r="Y7" s="59">
        <v>1043144</v>
      </c>
      <c r="Z7" s="59">
        <v>237213</v>
      </c>
      <c r="AA7" s="59">
        <v>720197</v>
      </c>
      <c r="AB7" s="59">
        <v>99396</v>
      </c>
      <c r="AC7" s="59">
        <v>4093559</v>
      </c>
      <c r="AD7" s="81"/>
      <c r="AE7" s="81"/>
      <c r="AF7" s="81"/>
      <c r="AG7" s="81"/>
      <c r="AH7" s="81"/>
      <c r="AI7" s="81"/>
    </row>
    <row r="8" spans="1:35" ht="13" x14ac:dyDescent="0.15">
      <c r="A8" s="33" t="s">
        <v>74</v>
      </c>
      <c r="B8" s="59">
        <v>1563488</v>
      </c>
      <c r="C8" s="59">
        <v>806762</v>
      </c>
      <c r="D8" s="59">
        <v>380966</v>
      </c>
      <c r="E8" s="59">
        <v>31499</v>
      </c>
      <c r="F8" s="59">
        <v>3921</v>
      </c>
      <c r="G8" s="59">
        <v>5826</v>
      </c>
      <c r="H8" s="59">
        <v>71271</v>
      </c>
      <c r="I8" s="59">
        <v>4440</v>
      </c>
      <c r="J8" s="59">
        <v>730552</v>
      </c>
      <c r="K8" s="59">
        <v>242429</v>
      </c>
      <c r="L8" s="59">
        <v>130627</v>
      </c>
      <c r="M8" s="59">
        <v>116542</v>
      </c>
      <c r="N8" s="59">
        <v>321200</v>
      </c>
      <c r="O8" s="81"/>
      <c r="P8" s="59">
        <v>211857</v>
      </c>
      <c r="Q8" s="59">
        <v>50728</v>
      </c>
      <c r="R8" s="59">
        <v>2882265</v>
      </c>
      <c r="S8" s="81"/>
      <c r="T8" s="127">
        <v>1734387</v>
      </c>
      <c r="U8" s="127">
        <v>741390</v>
      </c>
      <c r="V8" s="127">
        <v>74821</v>
      </c>
      <c r="W8" s="59">
        <v>204106</v>
      </c>
      <c r="X8" s="59">
        <v>0</v>
      </c>
      <c r="Y8" s="127">
        <v>616102</v>
      </c>
      <c r="Z8" s="127">
        <v>90000</v>
      </c>
      <c r="AA8" s="59">
        <v>526102</v>
      </c>
      <c r="AB8" s="123"/>
      <c r="AC8" s="59">
        <v>3048344</v>
      </c>
      <c r="AD8" s="81"/>
      <c r="AE8" s="81"/>
      <c r="AF8" s="81"/>
      <c r="AG8" s="81"/>
      <c r="AH8" s="81"/>
      <c r="AI8" s="81"/>
    </row>
    <row r="9" spans="1:35" ht="13" x14ac:dyDescent="0.15">
      <c r="A9" s="33" t="s">
        <v>75</v>
      </c>
      <c r="B9" s="59">
        <v>5505729</v>
      </c>
      <c r="C9" s="59">
        <v>2495054</v>
      </c>
      <c r="D9" s="127">
        <v>1056776</v>
      </c>
      <c r="E9" s="127">
        <v>1658420</v>
      </c>
      <c r="F9" s="81"/>
      <c r="G9" s="81"/>
      <c r="H9" s="81"/>
      <c r="I9" s="123"/>
      <c r="J9" s="59">
        <v>840605</v>
      </c>
      <c r="K9" s="59">
        <v>396076</v>
      </c>
      <c r="L9" s="59">
        <v>158853</v>
      </c>
      <c r="M9" s="59">
        <v>133663</v>
      </c>
      <c r="N9" s="59">
        <v>1768958</v>
      </c>
      <c r="O9" s="127">
        <v>234630</v>
      </c>
      <c r="P9" s="127">
        <v>2326351</v>
      </c>
      <c r="Q9" s="127">
        <v>90309</v>
      </c>
      <c r="R9" s="59">
        <v>10766583</v>
      </c>
      <c r="S9" s="81"/>
      <c r="T9" s="127">
        <v>9284136</v>
      </c>
      <c r="U9" s="127">
        <v>4945292</v>
      </c>
      <c r="V9" s="127">
        <v>419167</v>
      </c>
      <c r="W9" s="81"/>
      <c r="X9" s="81"/>
      <c r="Y9" s="123"/>
      <c r="Z9" s="81"/>
      <c r="AA9" s="81"/>
      <c r="AB9" s="59">
        <v>1655000</v>
      </c>
      <c r="AC9" s="59">
        <v>10939136</v>
      </c>
      <c r="AD9" s="81"/>
      <c r="AE9" s="81"/>
      <c r="AF9" s="81"/>
      <c r="AG9" s="81"/>
      <c r="AH9" s="81"/>
      <c r="AI9" s="81"/>
    </row>
    <row r="10" spans="1:35" ht="13" x14ac:dyDescent="0.15">
      <c r="A10" s="33" t="s">
        <v>77</v>
      </c>
      <c r="B10" s="127">
        <v>950693</v>
      </c>
      <c r="C10" s="127">
        <v>664178</v>
      </c>
      <c r="D10" s="127">
        <v>167167</v>
      </c>
      <c r="E10" s="127">
        <v>13878</v>
      </c>
      <c r="F10" s="127">
        <v>96839</v>
      </c>
      <c r="G10" s="127">
        <v>0</v>
      </c>
      <c r="H10" s="127">
        <v>0</v>
      </c>
      <c r="I10" s="127">
        <v>0</v>
      </c>
      <c r="J10" s="127">
        <v>300920</v>
      </c>
      <c r="K10" s="127">
        <v>205331</v>
      </c>
      <c r="L10" s="127">
        <v>30334</v>
      </c>
      <c r="M10" s="127">
        <v>65254</v>
      </c>
      <c r="N10" s="127">
        <v>175514</v>
      </c>
      <c r="O10" s="127">
        <v>0</v>
      </c>
      <c r="P10" s="127">
        <v>1195645</v>
      </c>
      <c r="Q10" s="127">
        <v>0</v>
      </c>
      <c r="R10" s="127">
        <v>2622771</v>
      </c>
      <c r="S10" s="81"/>
      <c r="T10" s="127">
        <v>1696434</v>
      </c>
      <c r="U10" s="127">
        <v>1008013</v>
      </c>
      <c r="V10" s="59">
        <v>47491</v>
      </c>
      <c r="W10" s="59">
        <v>71014</v>
      </c>
      <c r="X10" s="59">
        <v>152627</v>
      </c>
      <c r="Y10" s="127">
        <v>497985</v>
      </c>
      <c r="Z10" s="81"/>
      <c r="AA10" s="59">
        <v>402985</v>
      </c>
      <c r="AB10" s="127">
        <v>300000</v>
      </c>
      <c r="AC10" s="59">
        <v>2649652</v>
      </c>
      <c r="AD10" s="81"/>
      <c r="AE10" s="81"/>
      <c r="AF10" s="81"/>
      <c r="AG10" s="81"/>
      <c r="AH10" s="81"/>
      <c r="AI10" s="81"/>
    </row>
    <row r="11" spans="1:35" ht="13" x14ac:dyDescent="0.15">
      <c r="A11" s="33" t="s">
        <v>78</v>
      </c>
      <c r="B11" s="127">
        <v>3106185</v>
      </c>
      <c r="C11" s="59">
        <v>1908757</v>
      </c>
      <c r="D11" s="127">
        <v>499679</v>
      </c>
      <c r="E11" s="127">
        <v>13132</v>
      </c>
      <c r="F11" s="127">
        <v>84936</v>
      </c>
      <c r="G11" s="127">
        <v>37982</v>
      </c>
      <c r="H11" s="59">
        <v>28000</v>
      </c>
      <c r="I11" s="127">
        <v>8615</v>
      </c>
      <c r="J11" s="127">
        <v>707903</v>
      </c>
      <c r="K11" s="127">
        <v>511441</v>
      </c>
      <c r="L11" s="127">
        <v>72791</v>
      </c>
      <c r="M11" s="59">
        <v>48420</v>
      </c>
      <c r="N11" s="127">
        <v>1524338</v>
      </c>
      <c r="O11" s="123"/>
      <c r="P11" s="127">
        <v>2185882</v>
      </c>
      <c r="Q11" s="127">
        <v>129310</v>
      </c>
      <c r="R11" s="59">
        <v>7662232</v>
      </c>
      <c r="S11" s="81"/>
      <c r="T11" s="127">
        <v>4913552</v>
      </c>
      <c r="U11" s="127">
        <v>3197893</v>
      </c>
      <c r="V11" s="127">
        <v>317316</v>
      </c>
      <c r="W11" s="59">
        <v>54146</v>
      </c>
      <c r="X11" s="59">
        <v>621490</v>
      </c>
      <c r="Y11" s="81"/>
      <c r="Z11" s="81"/>
      <c r="AA11" s="81"/>
      <c r="AB11" s="127">
        <v>2096358</v>
      </c>
      <c r="AC11" s="59">
        <v>7680307</v>
      </c>
      <c r="AD11" s="81"/>
      <c r="AE11" s="81"/>
      <c r="AF11" s="81"/>
      <c r="AG11" s="81"/>
      <c r="AH11" s="81"/>
      <c r="AI11" s="81"/>
    </row>
    <row r="12" spans="1:35" ht="13" x14ac:dyDescent="0.15">
      <c r="A12" s="33" t="s">
        <v>79</v>
      </c>
      <c r="B12" s="127">
        <v>1083952</v>
      </c>
      <c r="C12" s="59">
        <v>667385</v>
      </c>
      <c r="D12" s="127">
        <v>171366</v>
      </c>
      <c r="E12" s="127">
        <v>35010</v>
      </c>
      <c r="F12" s="81"/>
      <c r="G12" s="81"/>
      <c r="H12" s="81"/>
      <c r="I12" s="127">
        <v>4760</v>
      </c>
      <c r="J12" s="127">
        <v>113696</v>
      </c>
      <c r="K12" s="127">
        <v>44556</v>
      </c>
      <c r="L12" s="127">
        <v>21662</v>
      </c>
      <c r="M12" s="59">
        <v>47528</v>
      </c>
      <c r="N12" s="127">
        <v>210936</v>
      </c>
      <c r="O12" s="81"/>
      <c r="P12" s="127">
        <v>253971</v>
      </c>
      <c r="Q12" s="127">
        <v>36195</v>
      </c>
      <c r="R12" s="59">
        <v>1703510</v>
      </c>
      <c r="S12" s="81"/>
      <c r="T12" s="127">
        <v>1162321</v>
      </c>
      <c r="U12" s="127">
        <v>301829</v>
      </c>
      <c r="V12" s="127">
        <v>180773</v>
      </c>
      <c r="W12" s="59">
        <v>41795</v>
      </c>
      <c r="X12" s="59">
        <v>21457</v>
      </c>
      <c r="Y12" s="127">
        <v>509218</v>
      </c>
      <c r="Z12" s="59">
        <v>35542</v>
      </c>
      <c r="AA12" s="59">
        <v>473676</v>
      </c>
      <c r="AB12" s="123"/>
      <c r="AC12" s="59">
        <v>1705245</v>
      </c>
      <c r="AD12" s="81"/>
      <c r="AE12" s="81"/>
      <c r="AF12" s="81"/>
      <c r="AG12" s="81"/>
      <c r="AH12" s="81"/>
      <c r="AI12" s="81"/>
    </row>
    <row r="13" spans="1:35" ht="13" x14ac:dyDescent="0.15">
      <c r="A13" s="33" t="s">
        <v>80</v>
      </c>
      <c r="B13" s="59">
        <v>6076581</v>
      </c>
      <c r="C13" s="59">
        <v>2234007</v>
      </c>
      <c r="D13" s="127">
        <v>2246424</v>
      </c>
      <c r="E13" s="127">
        <v>216061</v>
      </c>
      <c r="F13" s="127">
        <v>206965</v>
      </c>
      <c r="G13" s="59">
        <v>203524</v>
      </c>
      <c r="H13" s="59">
        <v>189844</v>
      </c>
      <c r="I13" s="127">
        <v>0</v>
      </c>
      <c r="J13" s="127">
        <v>1463824</v>
      </c>
      <c r="K13" s="127">
        <v>279258</v>
      </c>
      <c r="L13" s="127">
        <v>100791</v>
      </c>
      <c r="M13" s="59">
        <v>273804</v>
      </c>
      <c r="N13" s="127">
        <v>1676465</v>
      </c>
      <c r="O13" s="81"/>
      <c r="P13" s="127">
        <v>5769024</v>
      </c>
      <c r="Q13" s="127">
        <v>844271</v>
      </c>
      <c r="R13" s="59">
        <v>15830165</v>
      </c>
      <c r="S13" s="81"/>
      <c r="T13" s="127">
        <v>9028318</v>
      </c>
      <c r="U13" s="127">
        <v>6022133</v>
      </c>
      <c r="V13" s="127">
        <v>357840</v>
      </c>
      <c r="W13" s="59">
        <v>135884</v>
      </c>
      <c r="X13" s="59">
        <v>602810</v>
      </c>
      <c r="Y13" s="127">
        <v>2101912</v>
      </c>
      <c r="Z13" s="81"/>
      <c r="AA13" s="59">
        <v>1995912</v>
      </c>
      <c r="AB13" s="59">
        <v>4017101</v>
      </c>
      <c r="AC13" s="59">
        <v>15834506</v>
      </c>
      <c r="AD13" s="81"/>
      <c r="AE13" s="81"/>
      <c r="AF13" s="81"/>
      <c r="AG13" s="81"/>
      <c r="AH13" s="81"/>
      <c r="AI13" s="81"/>
    </row>
    <row r="14" spans="1:35" ht="13" x14ac:dyDescent="0.15">
      <c r="A14" s="33" t="s">
        <v>85</v>
      </c>
      <c r="B14" s="127">
        <v>733649</v>
      </c>
      <c r="C14" s="59">
        <v>414612</v>
      </c>
      <c r="D14" s="127">
        <v>214679</v>
      </c>
      <c r="E14" s="127">
        <v>16536</v>
      </c>
      <c r="F14" s="127">
        <v>10215</v>
      </c>
      <c r="G14" s="81"/>
      <c r="H14" s="59">
        <v>16563</v>
      </c>
      <c r="I14" s="59">
        <v>34345</v>
      </c>
      <c r="J14" s="59">
        <v>323334</v>
      </c>
      <c r="K14" s="59">
        <v>237003</v>
      </c>
      <c r="L14" s="59">
        <v>24376</v>
      </c>
      <c r="M14" s="59">
        <v>62004</v>
      </c>
      <c r="N14" s="127">
        <v>329471</v>
      </c>
      <c r="O14" s="81"/>
      <c r="P14" s="59">
        <v>487832</v>
      </c>
      <c r="Q14" s="59">
        <v>45419</v>
      </c>
      <c r="R14" s="59">
        <v>1919704</v>
      </c>
      <c r="S14" s="81"/>
      <c r="T14" s="127">
        <v>914023</v>
      </c>
      <c r="U14" s="127">
        <v>298141</v>
      </c>
      <c r="V14" s="127">
        <v>334582</v>
      </c>
      <c r="W14" s="59">
        <v>33827</v>
      </c>
      <c r="X14" s="81"/>
      <c r="Y14" s="59">
        <v>822521</v>
      </c>
      <c r="Z14" s="123"/>
      <c r="AA14" s="59">
        <v>676761</v>
      </c>
      <c r="AB14" s="59">
        <v>330347</v>
      </c>
      <c r="AC14" s="59">
        <v>2066892</v>
      </c>
      <c r="AD14" s="81"/>
      <c r="AE14" s="81"/>
      <c r="AF14" s="81"/>
      <c r="AG14" s="81"/>
      <c r="AH14" s="81"/>
      <c r="AI14" s="81"/>
    </row>
    <row r="15" spans="1:35" ht="13" x14ac:dyDescent="0.15">
      <c r="A15" s="33" t="s">
        <v>87</v>
      </c>
      <c r="B15" s="127">
        <v>3985939</v>
      </c>
      <c r="C15" s="59">
        <v>1670848</v>
      </c>
      <c r="D15" s="127">
        <v>695752</v>
      </c>
      <c r="E15" s="127">
        <v>349844</v>
      </c>
      <c r="F15" s="127">
        <v>264453</v>
      </c>
      <c r="G15" s="59">
        <v>28875</v>
      </c>
      <c r="H15" s="59">
        <v>368548</v>
      </c>
      <c r="I15" s="127">
        <v>34291</v>
      </c>
      <c r="J15" s="127">
        <v>518243</v>
      </c>
      <c r="K15" s="127">
        <v>52090</v>
      </c>
      <c r="L15" s="59">
        <v>70433</v>
      </c>
      <c r="M15" s="59">
        <v>386750</v>
      </c>
      <c r="N15" s="127">
        <v>2692348</v>
      </c>
      <c r="O15" s="127">
        <v>2600</v>
      </c>
      <c r="P15" s="127">
        <v>749144</v>
      </c>
      <c r="Q15" s="59">
        <v>33998</v>
      </c>
      <c r="R15" s="59">
        <v>8016564</v>
      </c>
      <c r="S15" s="81"/>
      <c r="T15" s="127">
        <v>4586962</v>
      </c>
      <c r="U15" s="127">
        <v>2442044</v>
      </c>
      <c r="V15" s="127">
        <v>82708</v>
      </c>
      <c r="W15" s="59">
        <v>730983</v>
      </c>
      <c r="X15" s="123"/>
      <c r="Y15" s="59">
        <v>3447402</v>
      </c>
      <c r="Z15" s="123"/>
      <c r="AA15" s="59">
        <v>2111015</v>
      </c>
      <c r="AB15" s="127">
        <v>285452</v>
      </c>
      <c r="AC15" s="59">
        <v>8364177</v>
      </c>
      <c r="AD15" s="81"/>
      <c r="AE15" s="81"/>
      <c r="AF15" s="81"/>
      <c r="AG15" s="81"/>
      <c r="AH15" s="81"/>
      <c r="AI15" s="81"/>
    </row>
    <row r="16" spans="1:35" ht="13" x14ac:dyDescent="0.15">
      <c r="A16" s="33" t="s">
        <v>88</v>
      </c>
      <c r="B16" s="127">
        <v>880326</v>
      </c>
      <c r="C16" s="59">
        <v>363829</v>
      </c>
      <c r="D16" s="127">
        <v>208099</v>
      </c>
      <c r="E16" s="127">
        <v>201511</v>
      </c>
      <c r="F16" s="81"/>
      <c r="G16" s="81"/>
      <c r="H16" s="81"/>
      <c r="I16" s="123"/>
      <c r="J16" s="127">
        <v>417869</v>
      </c>
      <c r="K16" s="127">
        <v>122124</v>
      </c>
      <c r="L16" s="59">
        <v>73862</v>
      </c>
      <c r="M16" s="59">
        <v>75968</v>
      </c>
      <c r="N16" s="127">
        <v>1728428</v>
      </c>
      <c r="O16" s="127">
        <v>23900</v>
      </c>
      <c r="P16" s="127">
        <v>112222</v>
      </c>
      <c r="Q16" s="127">
        <v>73693</v>
      </c>
      <c r="R16" s="59">
        <v>3263437</v>
      </c>
      <c r="S16" s="81"/>
      <c r="T16" s="127">
        <v>1979451</v>
      </c>
      <c r="U16" s="127">
        <v>1558171</v>
      </c>
      <c r="V16" s="127">
        <v>8040</v>
      </c>
      <c r="W16" s="59">
        <v>343375</v>
      </c>
      <c r="X16" s="81"/>
      <c r="Y16" s="59">
        <v>409098</v>
      </c>
      <c r="Z16" s="123"/>
      <c r="AA16" s="59">
        <v>364098</v>
      </c>
      <c r="AB16" s="127">
        <v>0</v>
      </c>
      <c r="AC16" s="59">
        <v>3323997</v>
      </c>
      <c r="AD16" s="81"/>
      <c r="AE16" s="81"/>
      <c r="AF16" s="81"/>
      <c r="AG16" s="81"/>
      <c r="AH16" s="81"/>
      <c r="AI16" s="81"/>
    </row>
    <row r="17" spans="1:35" ht="13" x14ac:dyDescent="0.15">
      <c r="A17" s="33" t="s">
        <v>89</v>
      </c>
      <c r="B17" s="127">
        <v>17398803</v>
      </c>
      <c r="C17" s="59">
        <v>8402717</v>
      </c>
      <c r="D17" s="127">
        <v>6147550</v>
      </c>
      <c r="E17" s="127">
        <v>334672</v>
      </c>
      <c r="F17" s="127">
        <v>252079</v>
      </c>
      <c r="G17" s="59">
        <v>152925</v>
      </c>
      <c r="H17" s="81"/>
      <c r="I17" s="123"/>
      <c r="J17" s="127">
        <v>11290002</v>
      </c>
      <c r="K17" s="127">
        <v>101231</v>
      </c>
      <c r="L17" s="127">
        <v>514606</v>
      </c>
      <c r="M17" s="59">
        <v>752165</v>
      </c>
      <c r="N17" s="127">
        <v>35185414</v>
      </c>
      <c r="O17" s="81"/>
      <c r="P17" s="127">
        <v>2423557</v>
      </c>
      <c r="Q17" s="127">
        <v>1023542</v>
      </c>
      <c r="R17" s="59">
        <v>67321317</v>
      </c>
      <c r="S17" s="81"/>
      <c r="T17" s="127">
        <v>46497415</v>
      </c>
      <c r="U17" s="127">
        <v>20263989</v>
      </c>
      <c r="V17" s="127">
        <v>1567688</v>
      </c>
      <c r="W17" s="59">
        <v>298603</v>
      </c>
      <c r="X17" s="127">
        <v>12255828</v>
      </c>
      <c r="Y17" s="59">
        <v>344067</v>
      </c>
      <c r="Z17" s="127">
        <v>89330</v>
      </c>
      <c r="AA17" s="81"/>
      <c r="AB17" s="127">
        <v>10139825</v>
      </c>
      <c r="AC17" s="59">
        <v>75176418</v>
      </c>
      <c r="AD17" s="81"/>
      <c r="AE17" s="81"/>
      <c r="AF17" s="81"/>
      <c r="AG17" s="81"/>
      <c r="AH17" s="81"/>
      <c r="AI17" s="81"/>
    </row>
    <row r="18" spans="1:35" ht="13" x14ac:dyDescent="0.15">
      <c r="A18" s="33" t="s">
        <v>90</v>
      </c>
      <c r="B18" s="127">
        <v>1340351</v>
      </c>
      <c r="C18" s="59">
        <v>979760</v>
      </c>
      <c r="D18" s="127">
        <v>222562</v>
      </c>
      <c r="E18" s="127">
        <v>33967</v>
      </c>
      <c r="F18" s="127">
        <v>30431</v>
      </c>
      <c r="G18" s="81"/>
      <c r="H18" s="81"/>
      <c r="I18" s="123"/>
      <c r="J18" s="127">
        <v>810232</v>
      </c>
      <c r="K18" s="127">
        <v>675834</v>
      </c>
      <c r="L18" s="127">
        <v>54318</v>
      </c>
      <c r="M18" s="59">
        <v>75160</v>
      </c>
      <c r="N18" s="127">
        <v>561414</v>
      </c>
      <c r="O18" s="81"/>
      <c r="P18" s="127">
        <v>270684</v>
      </c>
      <c r="Q18" s="127">
        <v>68206</v>
      </c>
      <c r="R18" s="59">
        <v>3090701</v>
      </c>
      <c r="S18" s="81"/>
      <c r="T18" s="127">
        <v>1619136</v>
      </c>
      <c r="U18" s="127">
        <v>437339</v>
      </c>
      <c r="V18" s="59">
        <v>84073</v>
      </c>
      <c r="W18" s="59">
        <v>368649</v>
      </c>
      <c r="X18" s="127">
        <v>368649</v>
      </c>
      <c r="Y18" s="127">
        <v>1434113</v>
      </c>
      <c r="Z18" s="81"/>
      <c r="AA18" s="59">
        <v>1339113</v>
      </c>
      <c r="AB18" s="127">
        <v>0</v>
      </c>
      <c r="AC18" s="59">
        <v>3106889</v>
      </c>
      <c r="AD18" s="81"/>
      <c r="AE18" s="81"/>
      <c r="AF18" s="81"/>
      <c r="AG18" s="81"/>
      <c r="AH18" s="81"/>
      <c r="AI18" s="81"/>
    </row>
    <row r="19" spans="1:35" ht="13" x14ac:dyDescent="0.15">
      <c r="A19" s="33" t="s">
        <v>92</v>
      </c>
      <c r="B19" s="127">
        <v>521524</v>
      </c>
      <c r="C19" s="59">
        <v>283472</v>
      </c>
      <c r="D19" s="127">
        <v>77903</v>
      </c>
      <c r="E19" s="127">
        <v>106226</v>
      </c>
      <c r="F19" s="81"/>
      <c r="G19" s="81"/>
      <c r="H19" s="81"/>
      <c r="I19" s="123"/>
      <c r="J19" s="127">
        <v>226018</v>
      </c>
      <c r="K19" s="127">
        <v>63836</v>
      </c>
      <c r="L19" s="127">
        <v>16573</v>
      </c>
      <c r="M19" s="59">
        <v>52640</v>
      </c>
      <c r="N19" s="127">
        <v>120517</v>
      </c>
      <c r="O19" s="127">
        <v>0</v>
      </c>
      <c r="P19" s="127">
        <v>90942</v>
      </c>
      <c r="Q19" s="127">
        <v>0</v>
      </c>
      <c r="R19" s="127">
        <v>959001</v>
      </c>
      <c r="S19" s="81"/>
      <c r="T19" s="127">
        <v>120775</v>
      </c>
      <c r="U19" s="127">
        <v>64242</v>
      </c>
      <c r="V19" s="127">
        <v>21823</v>
      </c>
      <c r="W19" s="127">
        <v>14379</v>
      </c>
      <c r="X19" s="59">
        <v>341</v>
      </c>
      <c r="Y19" s="59">
        <v>1046269</v>
      </c>
      <c r="Z19" s="81"/>
      <c r="AA19" s="59">
        <v>624517</v>
      </c>
      <c r="AB19" s="123"/>
      <c r="AC19" s="59">
        <v>1316930</v>
      </c>
      <c r="AD19" s="81"/>
      <c r="AE19" s="81"/>
      <c r="AF19" s="81"/>
      <c r="AG19" s="81"/>
      <c r="AH19" s="81"/>
      <c r="AI19" s="81"/>
    </row>
    <row r="20" spans="1:35" ht="13" x14ac:dyDescent="0.15">
      <c r="A20" s="33" t="s">
        <v>93</v>
      </c>
      <c r="B20" s="127">
        <v>2169059</v>
      </c>
      <c r="C20" s="59">
        <v>1069837</v>
      </c>
      <c r="D20" s="127">
        <v>763817</v>
      </c>
      <c r="E20" s="59">
        <v>50142</v>
      </c>
      <c r="F20" s="81"/>
      <c r="G20" s="59">
        <v>25000</v>
      </c>
      <c r="H20" s="81"/>
      <c r="I20" s="81"/>
      <c r="J20" s="127">
        <v>1441018</v>
      </c>
      <c r="K20" s="127">
        <v>214578</v>
      </c>
      <c r="L20" s="127">
        <v>80907</v>
      </c>
      <c r="M20" s="127">
        <v>79510</v>
      </c>
      <c r="N20" s="127">
        <v>3460113</v>
      </c>
      <c r="O20" s="127">
        <v>0</v>
      </c>
      <c r="P20" s="127">
        <v>198301</v>
      </c>
      <c r="Q20" s="127">
        <v>99868</v>
      </c>
      <c r="R20" s="127">
        <v>7368359</v>
      </c>
      <c r="S20" s="81"/>
      <c r="T20" s="127">
        <v>8378930</v>
      </c>
      <c r="U20" s="127">
        <v>3249520</v>
      </c>
      <c r="V20" s="127">
        <v>328089</v>
      </c>
      <c r="W20" s="127">
        <v>3006</v>
      </c>
      <c r="X20" s="81"/>
      <c r="Y20" s="123"/>
      <c r="Z20" s="81"/>
      <c r="AA20" s="81"/>
      <c r="AB20" s="81"/>
      <c r="AC20" s="59">
        <v>11256313</v>
      </c>
      <c r="AD20" s="81"/>
      <c r="AE20" s="81"/>
      <c r="AF20" s="81"/>
      <c r="AG20" s="81"/>
      <c r="AH20" s="81"/>
      <c r="AI20" s="81"/>
    </row>
    <row r="21" spans="1:35" ht="13" x14ac:dyDescent="0.15">
      <c r="A21" s="33" t="s">
        <v>94</v>
      </c>
      <c r="B21" s="127">
        <v>2287974</v>
      </c>
      <c r="C21" s="127">
        <v>1443347</v>
      </c>
      <c r="D21" s="127">
        <v>440740</v>
      </c>
      <c r="E21" s="127">
        <v>313669</v>
      </c>
      <c r="F21" s="127">
        <v>2944</v>
      </c>
      <c r="G21" s="123"/>
      <c r="H21" s="123"/>
      <c r="I21" s="127">
        <v>1150</v>
      </c>
      <c r="J21" s="127">
        <v>555642</v>
      </c>
      <c r="K21" s="127">
        <v>70536</v>
      </c>
      <c r="L21" s="127">
        <v>48065</v>
      </c>
      <c r="M21" s="127">
        <v>79261</v>
      </c>
      <c r="N21" s="127">
        <v>535373</v>
      </c>
      <c r="O21" s="123"/>
      <c r="P21" s="127">
        <v>1197933</v>
      </c>
      <c r="Q21" s="127">
        <v>30111</v>
      </c>
      <c r="R21" s="127">
        <v>4608182</v>
      </c>
      <c r="S21" s="81"/>
      <c r="T21" s="127">
        <v>3345063</v>
      </c>
      <c r="U21" s="127">
        <v>1754506</v>
      </c>
      <c r="V21" s="127">
        <v>305693</v>
      </c>
      <c r="W21" s="127">
        <v>8189</v>
      </c>
      <c r="X21" s="123"/>
      <c r="Y21" s="127">
        <v>1069219</v>
      </c>
      <c r="Z21" s="123"/>
      <c r="AA21" s="127">
        <v>754779</v>
      </c>
      <c r="AB21" s="127">
        <v>202126</v>
      </c>
      <c r="AC21" s="127">
        <v>4622366</v>
      </c>
      <c r="AD21" s="81"/>
      <c r="AE21" s="81"/>
      <c r="AF21" s="81"/>
      <c r="AG21" s="81"/>
      <c r="AH21" s="81"/>
      <c r="AI21" s="81"/>
    </row>
    <row r="22" spans="1:35" ht="13" x14ac:dyDescent="0.15">
      <c r="A22" s="33" t="s">
        <v>95</v>
      </c>
      <c r="B22" s="127">
        <v>677014</v>
      </c>
      <c r="C22" s="59">
        <v>391478</v>
      </c>
      <c r="D22" s="127">
        <v>166906</v>
      </c>
      <c r="E22" s="127">
        <v>6470</v>
      </c>
      <c r="F22" s="81"/>
      <c r="G22" s="127">
        <v>8215</v>
      </c>
      <c r="H22" s="81"/>
      <c r="I22" s="127">
        <v>37178</v>
      </c>
      <c r="J22" s="127">
        <v>124948</v>
      </c>
      <c r="K22" s="127">
        <v>78805</v>
      </c>
      <c r="L22" s="127">
        <v>19868</v>
      </c>
      <c r="M22" s="127">
        <v>16075</v>
      </c>
      <c r="N22" s="127">
        <v>330589</v>
      </c>
      <c r="O22" s="81"/>
      <c r="P22" s="127">
        <v>180842</v>
      </c>
      <c r="Q22" s="81"/>
      <c r="R22" s="127">
        <v>1350571</v>
      </c>
      <c r="S22" s="81"/>
      <c r="T22" s="127">
        <v>733284</v>
      </c>
      <c r="U22" s="127">
        <v>305513</v>
      </c>
      <c r="V22" s="127">
        <v>48055</v>
      </c>
      <c r="W22" s="127">
        <v>35959</v>
      </c>
      <c r="X22" s="59">
        <v>58650</v>
      </c>
      <c r="Y22" s="59">
        <v>561533</v>
      </c>
      <c r="Z22" s="127">
        <v>33158</v>
      </c>
      <c r="AA22" s="59">
        <v>212182</v>
      </c>
      <c r="AB22" s="123"/>
      <c r="AC22" s="59">
        <v>1356931</v>
      </c>
      <c r="AD22" s="81"/>
      <c r="AE22" s="81"/>
      <c r="AF22" s="81"/>
      <c r="AG22" s="81"/>
      <c r="AH22" s="81"/>
      <c r="AI22" s="81"/>
    </row>
    <row r="23" spans="1:35" ht="13" hidden="1" x14ac:dyDescent="0.15">
      <c r="A23" s="135"/>
      <c r="B23" s="123"/>
      <c r="C23" s="81"/>
      <c r="D23" s="123"/>
      <c r="E23" s="81"/>
      <c r="F23" s="81"/>
      <c r="G23" s="81"/>
      <c r="H23" s="81"/>
      <c r="I23" s="123"/>
      <c r="J23" s="123"/>
      <c r="K23" s="81"/>
      <c r="L23" s="81"/>
      <c r="M23" s="81"/>
      <c r="N23" s="123"/>
      <c r="O23" s="81"/>
      <c r="P23" s="81"/>
      <c r="Q23" s="81"/>
      <c r="R23" s="81"/>
      <c r="S23" s="81"/>
      <c r="T23" s="123"/>
      <c r="U23" s="81"/>
      <c r="V23" s="81"/>
      <c r="W23" s="81"/>
      <c r="X23" s="81"/>
      <c r="Y23" s="123"/>
      <c r="Z23" s="81"/>
      <c r="AA23" s="81"/>
      <c r="AB23" s="81"/>
      <c r="AC23" s="81"/>
      <c r="AD23" s="81"/>
      <c r="AE23" s="81"/>
      <c r="AF23" s="81"/>
      <c r="AG23" s="81"/>
      <c r="AH23" s="81"/>
      <c r="AI23" s="81"/>
    </row>
    <row r="24" spans="1:35" ht="13" hidden="1" x14ac:dyDescent="0.15">
      <c r="A24" s="135"/>
      <c r="B24" s="81"/>
      <c r="C24" s="81"/>
      <c r="D24" s="123"/>
      <c r="E24" s="81"/>
      <c r="F24" s="81"/>
      <c r="G24" s="81"/>
      <c r="H24" s="81"/>
      <c r="I24" s="123"/>
      <c r="J24" s="123"/>
      <c r="K24" s="81"/>
      <c r="L24" s="81"/>
      <c r="M24" s="81"/>
      <c r="N24" s="123"/>
      <c r="O24" s="81"/>
      <c r="P24" s="81"/>
      <c r="Q24" s="81"/>
      <c r="R24" s="81"/>
      <c r="S24" s="81"/>
      <c r="T24" s="123"/>
      <c r="U24" s="81"/>
      <c r="V24" s="81"/>
      <c r="W24" s="81"/>
      <c r="X24" s="81"/>
      <c r="Y24" s="123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1:35" ht="13" hidden="1" x14ac:dyDescent="0.15">
      <c r="A25" s="135"/>
      <c r="B25" s="81"/>
      <c r="C25" s="81"/>
      <c r="D25" s="123"/>
      <c r="E25" s="81"/>
      <c r="F25" s="81"/>
      <c r="G25" s="81"/>
      <c r="H25" s="81"/>
      <c r="I25" s="123"/>
      <c r="J25" s="123"/>
      <c r="K25" s="81"/>
      <c r="L25" s="81"/>
      <c r="M25" s="81"/>
      <c r="N25" s="123"/>
      <c r="O25" s="81"/>
      <c r="P25" s="81"/>
      <c r="Q25" s="81"/>
      <c r="R25" s="81"/>
      <c r="S25" s="81"/>
      <c r="T25" s="123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1:35" ht="13" hidden="1" x14ac:dyDescent="0.15">
      <c r="A26" s="135"/>
      <c r="B26" s="81"/>
      <c r="C26" s="81"/>
      <c r="D26" s="123"/>
      <c r="E26" s="81"/>
      <c r="F26" s="81"/>
      <c r="G26" s="81"/>
      <c r="H26" s="81"/>
      <c r="I26" s="123"/>
      <c r="J26" s="123"/>
      <c r="K26" s="81"/>
      <c r="L26" s="81"/>
      <c r="M26" s="81"/>
      <c r="N26" s="123"/>
      <c r="O26" s="81"/>
      <c r="P26" s="81"/>
      <c r="Q26" s="81"/>
      <c r="R26" s="81"/>
      <c r="S26" s="81"/>
      <c r="T26" s="123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6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31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24">
        <f t="shared" ref="C5:E5" si="0">SUM(C6:C13)</f>
        <v>1420423.3</v>
      </c>
      <c r="D5" s="30">
        <f t="shared" si="0"/>
        <v>1340350.6900000002</v>
      </c>
      <c r="E5" s="30">
        <f t="shared" si="0"/>
        <v>1418129.6600000001</v>
      </c>
      <c r="F5" s="18"/>
    </row>
    <row r="6" spans="1:6" ht="13" x14ac:dyDescent="0.15">
      <c r="A6" s="19">
        <v>411</v>
      </c>
      <c r="B6" s="37" t="s">
        <v>38</v>
      </c>
      <c r="C6" s="56">
        <v>946161.93</v>
      </c>
      <c r="D6" s="57">
        <v>979760.48</v>
      </c>
      <c r="E6" s="57">
        <v>1067821.8500000001</v>
      </c>
      <c r="F6" s="41"/>
    </row>
    <row r="7" spans="1:6" ht="13" x14ac:dyDescent="0.15">
      <c r="A7" s="19">
        <v>412</v>
      </c>
      <c r="B7" s="58" t="s">
        <v>54</v>
      </c>
      <c r="C7" s="56">
        <v>95269.25</v>
      </c>
      <c r="D7" s="57">
        <v>73630.12</v>
      </c>
      <c r="E7" s="57">
        <v>49895.76</v>
      </c>
      <c r="F7" s="41"/>
    </row>
    <row r="8" spans="1:6" ht="13" x14ac:dyDescent="0.15">
      <c r="A8" s="19">
        <v>413</v>
      </c>
      <c r="B8" s="58" t="s">
        <v>3</v>
      </c>
      <c r="C8" s="56">
        <v>282214.45</v>
      </c>
      <c r="D8" s="57">
        <v>222561.56</v>
      </c>
      <c r="E8" s="57">
        <v>224795.82</v>
      </c>
      <c r="F8" s="41"/>
    </row>
    <row r="9" spans="1:6" ht="13" x14ac:dyDescent="0.15">
      <c r="A9" s="44">
        <v>414</v>
      </c>
      <c r="B9" s="37" t="s">
        <v>5</v>
      </c>
      <c r="C9" s="56">
        <v>58722.03</v>
      </c>
      <c r="D9" s="57">
        <v>33967.269999999997</v>
      </c>
      <c r="E9" s="57">
        <v>32695.13</v>
      </c>
      <c r="F9" s="41"/>
    </row>
    <row r="10" spans="1:6" ht="13" x14ac:dyDescent="0.15">
      <c r="A10" s="19">
        <v>415</v>
      </c>
      <c r="B10" s="60" t="s">
        <v>6</v>
      </c>
      <c r="C10" s="56">
        <v>33055.64</v>
      </c>
      <c r="D10" s="57">
        <v>30431.26</v>
      </c>
      <c r="E10" s="57">
        <v>32641.1</v>
      </c>
      <c r="F10" s="41"/>
    </row>
    <row r="11" spans="1:6" ht="13" x14ac:dyDescent="0.15">
      <c r="A11" s="19">
        <v>416</v>
      </c>
      <c r="B11" s="37" t="s">
        <v>7</v>
      </c>
      <c r="C11" s="16"/>
      <c r="D11" s="18"/>
      <c r="E11" s="41"/>
      <c r="F11" s="41"/>
    </row>
    <row r="12" spans="1:6" ht="13" x14ac:dyDescent="0.15">
      <c r="A12" s="19">
        <v>417</v>
      </c>
      <c r="B12" s="37" t="s">
        <v>8</v>
      </c>
      <c r="C12" s="16"/>
      <c r="D12" s="48"/>
      <c r="E12" s="41"/>
      <c r="F12" s="41"/>
    </row>
    <row r="13" spans="1:6" ht="13" x14ac:dyDescent="0.15">
      <c r="A13" s="19">
        <v>418</v>
      </c>
      <c r="B13" s="37" t="s">
        <v>55</v>
      </c>
      <c r="C13" s="56">
        <v>5000</v>
      </c>
      <c r="D13" s="57">
        <v>0</v>
      </c>
      <c r="E13" s="57">
        <v>10280</v>
      </c>
      <c r="F13" s="41"/>
    </row>
    <row r="14" spans="1:6" ht="13" x14ac:dyDescent="0.15">
      <c r="A14" s="19">
        <v>42</v>
      </c>
      <c r="B14" s="82" t="s">
        <v>9</v>
      </c>
      <c r="C14" s="83"/>
      <c r="D14" s="84"/>
      <c r="E14" s="85"/>
      <c r="F14" s="85"/>
    </row>
    <row r="15" spans="1:6" ht="16.5" customHeight="1" x14ac:dyDescent="0.15">
      <c r="A15" s="49">
        <v>43</v>
      </c>
      <c r="B15" s="60" t="s">
        <v>10</v>
      </c>
      <c r="C15" s="71">
        <v>842244.56</v>
      </c>
      <c r="D15" s="75">
        <v>810231.57</v>
      </c>
      <c r="E15" s="71">
        <v>975609.56</v>
      </c>
      <c r="F15" s="18"/>
    </row>
    <row r="16" spans="1:6" ht="13" x14ac:dyDescent="0.15">
      <c r="A16" s="44" t="s">
        <v>58</v>
      </c>
      <c r="B16" s="45" t="s">
        <v>11</v>
      </c>
      <c r="C16" s="40">
        <v>713085.42</v>
      </c>
      <c r="D16" s="43">
        <v>675833.92</v>
      </c>
      <c r="E16" s="40">
        <v>845106.2</v>
      </c>
      <c r="F16" s="18"/>
    </row>
    <row r="17" spans="1:6" ht="13" x14ac:dyDescent="0.15">
      <c r="A17" s="44" t="s">
        <v>59</v>
      </c>
      <c r="B17" s="45" t="s">
        <v>12</v>
      </c>
      <c r="C17" s="40">
        <v>59379.19</v>
      </c>
      <c r="D17" s="43">
        <v>54318.15</v>
      </c>
      <c r="E17" s="40">
        <v>66302.559999999998</v>
      </c>
      <c r="F17" s="18"/>
    </row>
    <row r="18" spans="1:6" ht="13" x14ac:dyDescent="0.15">
      <c r="A18" s="44" t="s">
        <v>60</v>
      </c>
      <c r="B18" s="74" t="s">
        <v>13</v>
      </c>
      <c r="C18" s="43">
        <v>63941.35</v>
      </c>
      <c r="D18" s="40">
        <v>75160</v>
      </c>
      <c r="E18" s="39">
        <v>58540</v>
      </c>
      <c r="F18" s="88"/>
    </row>
    <row r="19" spans="1:6" ht="13" x14ac:dyDescent="0.15">
      <c r="A19" s="44" t="s">
        <v>61</v>
      </c>
      <c r="B19" s="74" t="s">
        <v>62</v>
      </c>
      <c r="C19" s="43">
        <v>5838.6</v>
      </c>
      <c r="D19" s="40">
        <v>4919.5</v>
      </c>
      <c r="E19" s="39">
        <v>5660.8</v>
      </c>
      <c r="F19" s="95"/>
    </row>
    <row r="20" spans="1:6" ht="13" x14ac:dyDescent="0.15">
      <c r="A20" s="19">
        <v>44</v>
      </c>
      <c r="B20" s="37" t="s">
        <v>14</v>
      </c>
      <c r="C20" s="56">
        <v>1221380.6100000001</v>
      </c>
      <c r="D20" s="57">
        <v>561414.30000000005</v>
      </c>
      <c r="E20" s="57">
        <v>973806.35</v>
      </c>
      <c r="F20" s="18"/>
    </row>
    <row r="21" spans="1:6" ht="13" x14ac:dyDescent="0.15">
      <c r="A21" s="19">
        <v>45</v>
      </c>
      <c r="B21" s="47" t="s">
        <v>63</v>
      </c>
      <c r="C21" s="16"/>
      <c r="D21" s="18"/>
      <c r="E21" s="18"/>
      <c r="F21" s="18"/>
    </row>
    <row r="22" spans="1:6" ht="13" x14ac:dyDescent="0.15">
      <c r="A22" s="19">
        <v>46</v>
      </c>
      <c r="B22" s="20" t="s">
        <v>16</v>
      </c>
      <c r="C22" s="56">
        <v>313897.53999999998</v>
      </c>
      <c r="D22" s="57">
        <v>270684.13</v>
      </c>
      <c r="E22" s="57">
        <v>386857.24</v>
      </c>
      <c r="F22" s="18"/>
    </row>
    <row r="23" spans="1:6" ht="13" x14ac:dyDescent="0.15">
      <c r="A23" s="19">
        <v>47</v>
      </c>
      <c r="B23" s="20" t="s">
        <v>17</v>
      </c>
      <c r="C23" s="56">
        <v>103618.97</v>
      </c>
      <c r="D23" s="57">
        <v>68206.14</v>
      </c>
      <c r="E23" s="57">
        <v>76686.47</v>
      </c>
      <c r="F23" s="18"/>
    </row>
    <row r="24" spans="1:6" ht="13" x14ac:dyDescent="0.15">
      <c r="A24" s="3"/>
      <c r="B24" s="20" t="s">
        <v>18</v>
      </c>
      <c r="C24" s="56">
        <v>3901564.98</v>
      </c>
      <c r="D24" s="57">
        <v>3090700.67</v>
      </c>
      <c r="E24" s="57">
        <v>3831089.28</v>
      </c>
      <c r="F24" s="18"/>
    </row>
    <row r="25" spans="1:6" ht="13" x14ac:dyDescent="0.15">
      <c r="A25" s="3"/>
      <c r="B25" s="103" t="s">
        <v>64</v>
      </c>
      <c r="C25" s="104"/>
      <c r="D25" s="105"/>
      <c r="E25" s="105"/>
      <c r="F25" s="105"/>
    </row>
    <row r="26" spans="1:6" ht="13" x14ac:dyDescent="0.15">
      <c r="A26" s="19">
        <v>71</v>
      </c>
      <c r="B26" s="20" t="s">
        <v>39</v>
      </c>
      <c r="C26" s="107">
        <f t="shared" ref="C26:E26" si="1">SUM(C28:C32)</f>
        <v>1842893.7</v>
      </c>
      <c r="D26" s="107">
        <f t="shared" si="1"/>
        <v>1619135.7899999998</v>
      </c>
      <c r="E26" s="107">
        <f t="shared" si="1"/>
        <v>1420093.11</v>
      </c>
      <c r="F26" s="15"/>
    </row>
    <row r="27" spans="1:6" ht="13" x14ac:dyDescent="0.15">
      <c r="A27" s="35"/>
      <c r="B27" s="20" t="s">
        <v>105</v>
      </c>
      <c r="C27" s="57">
        <v>1021.67</v>
      </c>
      <c r="D27" s="57">
        <v>40726.39</v>
      </c>
      <c r="E27" s="57">
        <v>16188.51</v>
      </c>
      <c r="F27" s="15"/>
    </row>
    <row r="28" spans="1:6" ht="13" x14ac:dyDescent="0.15">
      <c r="A28" s="44">
        <v>711</v>
      </c>
      <c r="B28" s="45" t="s">
        <v>40</v>
      </c>
      <c r="C28" s="39">
        <v>487636.21</v>
      </c>
      <c r="D28" s="39">
        <v>437338.79</v>
      </c>
      <c r="E28" s="39">
        <v>367207.16</v>
      </c>
      <c r="F28" s="41"/>
    </row>
    <row r="29" spans="1:6" ht="13" x14ac:dyDescent="0.15">
      <c r="A29" s="44">
        <v>713</v>
      </c>
      <c r="B29" s="45" t="s">
        <v>41</v>
      </c>
      <c r="C29" s="39">
        <v>197253.32</v>
      </c>
      <c r="D29" s="39">
        <v>84072.74</v>
      </c>
      <c r="E29" s="39">
        <v>45652.07</v>
      </c>
      <c r="F29" s="41"/>
    </row>
    <row r="30" spans="1:6" ht="13" x14ac:dyDescent="0.15">
      <c r="A30" s="44">
        <v>714</v>
      </c>
      <c r="B30" s="45" t="s">
        <v>42</v>
      </c>
      <c r="C30" s="39">
        <v>163828.25</v>
      </c>
      <c r="D30" s="39">
        <v>368649.3</v>
      </c>
      <c r="E30" s="39">
        <v>412119.26</v>
      </c>
      <c r="F30" s="41"/>
    </row>
    <row r="31" spans="1:6" ht="13" x14ac:dyDescent="0.15">
      <c r="A31" s="80"/>
      <c r="B31" s="45" t="s">
        <v>66</v>
      </c>
      <c r="C31" s="48">
        <f>69578.14+734338.52</f>
        <v>803916.66</v>
      </c>
      <c r="D31" s="48">
        <f>32347.59+474753.67</f>
        <v>507101.26</v>
      </c>
      <c r="E31" s="48">
        <f>37608.22+332287.44+71959.39+9846.06</f>
        <v>451701.11000000004</v>
      </c>
      <c r="F31" s="41"/>
    </row>
    <row r="32" spans="1:6" ht="13" x14ac:dyDescent="0.15">
      <c r="A32" s="44">
        <v>715</v>
      </c>
      <c r="B32" s="45" t="s">
        <v>67</v>
      </c>
      <c r="C32" s="38">
        <v>190259.26</v>
      </c>
      <c r="D32" s="39">
        <v>221973.7</v>
      </c>
      <c r="E32" s="39">
        <v>143413.51</v>
      </c>
      <c r="F32" s="41"/>
    </row>
    <row r="33" spans="1:6" ht="13" x14ac:dyDescent="0.15">
      <c r="A33" s="19">
        <v>72</v>
      </c>
      <c r="B33" s="113" t="s">
        <v>43</v>
      </c>
      <c r="C33" s="56">
        <v>38847</v>
      </c>
      <c r="D33" s="57">
        <v>12916</v>
      </c>
      <c r="E33" s="57">
        <v>8244.5</v>
      </c>
      <c r="F33" s="48"/>
    </row>
    <row r="34" spans="1:6" ht="18" customHeight="1" x14ac:dyDescent="0.15">
      <c r="A34" s="115">
        <v>73</v>
      </c>
      <c r="B34" s="47" t="s">
        <v>68</v>
      </c>
      <c r="C34" s="154"/>
      <c r="D34" s="117"/>
      <c r="E34" s="117"/>
      <c r="F34" s="117"/>
    </row>
    <row r="35" spans="1:6" ht="13" x14ac:dyDescent="0.15">
      <c r="A35" s="19">
        <v>74</v>
      </c>
      <c r="B35" s="60" t="s">
        <v>44</v>
      </c>
      <c r="C35" s="56">
        <v>1910664</v>
      </c>
      <c r="D35" s="57">
        <v>1434113</v>
      </c>
      <c r="E35" s="57">
        <v>2073725</v>
      </c>
      <c r="F35" s="18"/>
    </row>
    <row r="36" spans="1:6" ht="13" x14ac:dyDescent="0.15">
      <c r="A36" s="44">
        <v>741</v>
      </c>
      <c r="B36" s="45" t="s">
        <v>45</v>
      </c>
      <c r="C36" s="155"/>
      <c r="D36" s="155"/>
      <c r="E36" s="155"/>
      <c r="F36" s="18"/>
    </row>
    <row r="37" spans="1:6" ht="13" x14ac:dyDescent="0.15">
      <c r="A37" s="44">
        <v>742</v>
      </c>
      <c r="B37" s="45" t="s">
        <v>46</v>
      </c>
      <c r="C37" s="38">
        <v>1729664</v>
      </c>
      <c r="D37" s="39">
        <v>1339113</v>
      </c>
      <c r="E37" s="39">
        <v>2073725</v>
      </c>
      <c r="F37" s="18"/>
    </row>
    <row r="38" spans="1:6" ht="13" x14ac:dyDescent="0.15">
      <c r="A38" s="80"/>
      <c r="B38" s="45" t="s">
        <v>81</v>
      </c>
      <c r="C38" s="55">
        <v>181000</v>
      </c>
      <c r="D38" s="55">
        <v>95000</v>
      </c>
      <c r="E38" s="149">
        <v>0</v>
      </c>
      <c r="F38" s="18"/>
    </row>
    <row r="39" spans="1:6" ht="13" x14ac:dyDescent="0.15">
      <c r="A39" s="19">
        <v>751</v>
      </c>
      <c r="B39" s="37" t="s">
        <v>63</v>
      </c>
      <c r="C39" s="71">
        <v>148865</v>
      </c>
      <c r="D39" s="57">
        <v>0</v>
      </c>
      <c r="E39" s="57">
        <v>315000</v>
      </c>
      <c r="F39" s="18"/>
    </row>
    <row r="40" spans="1:6" ht="13" x14ac:dyDescent="0.15">
      <c r="A40" s="3"/>
      <c r="B40" s="37" t="s">
        <v>82</v>
      </c>
      <c r="C40" s="56">
        <v>3942291.37</v>
      </c>
      <c r="D40" s="57">
        <v>3106889.18</v>
      </c>
      <c r="E40" s="57">
        <v>3833251.12</v>
      </c>
      <c r="F40" s="18"/>
    </row>
    <row r="41" spans="1:6" ht="13" x14ac:dyDescent="0.15">
      <c r="A41" s="3"/>
      <c r="B41" s="103" t="s">
        <v>83</v>
      </c>
      <c r="C41" s="104"/>
      <c r="D41" s="105"/>
      <c r="E41" s="105"/>
      <c r="F41" s="105"/>
    </row>
    <row r="42" spans="1:6" ht="13" x14ac:dyDescent="0.15">
      <c r="A42" s="3"/>
      <c r="B42" s="42" t="s">
        <v>84</v>
      </c>
      <c r="C42" s="66"/>
      <c r="D42" s="48"/>
      <c r="E42" s="48"/>
      <c r="F42" s="48"/>
    </row>
    <row r="43" spans="1:6" ht="13" x14ac:dyDescent="0.15">
      <c r="A43" s="3"/>
      <c r="B43" s="42" t="s">
        <v>49</v>
      </c>
      <c r="C43" s="66"/>
      <c r="D43" s="48"/>
      <c r="E43" s="48"/>
      <c r="F43" s="48"/>
    </row>
    <row r="44" spans="1:6" ht="13" x14ac:dyDescent="0.15">
      <c r="A44" s="3"/>
      <c r="B44" s="42" t="s">
        <v>51</v>
      </c>
      <c r="C44" s="66"/>
      <c r="D44" s="48"/>
      <c r="E44" s="48"/>
      <c r="F44" s="48"/>
    </row>
    <row r="45" spans="1:6" ht="13" x14ac:dyDescent="0.15">
      <c r="A45" s="3"/>
      <c r="B45" s="42" t="s">
        <v>86</v>
      </c>
      <c r="C45" s="66"/>
      <c r="D45" s="48"/>
      <c r="E45" s="48"/>
      <c r="F45" s="48"/>
    </row>
    <row r="46" spans="1:6" ht="13" x14ac:dyDescent="0.15">
      <c r="A46" s="3"/>
      <c r="B46" s="134"/>
      <c r="C46" s="104"/>
      <c r="D46" s="105"/>
      <c r="E46" s="105"/>
      <c r="F46" s="105"/>
    </row>
    <row r="47" spans="1:6" ht="19.5" customHeight="1" x14ac:dyDescent="0.15">
      <c r="B47" s="140"/>
      <c r="C47" s="140"/>
      <c r="D47" s="141"/>
      <c r="E47" s="140"/>
      <c r="F47" s="140"/>
    </row>
    <row r="48" spans="1:6" ht="19.5" customHeight="1" x14ac:dyDescent="0.15">
      <c r="B48" s="148" t="s">
        <v>96</v>
      </c>
      <c r="C48" s="1"/>
      <c r="D48" s="150"/>
      <c r="E48" s="1"/>
    </row>
    <row r="49" spans="1:6" ht="19.5" customHeight="1" x14ac:dyDescent="0.15">
      <c r="A49" s="3"/>
      <c r="B49" s="151" t="s">
        <v>106</v>
      </c>
      <c r="C49" s="114"/>
      <c r="D49" s="139"/>
      <c r="E49" s="158"/>
      <c r="F49" s="8"/>
    </row>
    <row r="50" spans="1:6" ht="24" customHeight="1" x14ac:dyDescent="0.15">
      <c r="A50" s="3"/>
      <c r="B50" s="153" t="s">
        <v>113</v>
      </c>
      <c r="C50" s="159">
        <v>248974.3</v>
      </c>
      <c r="D50" s="159">
        <v>224245.62</v>
      </c>
      <c r="E50" s="161">
        <v>178602.93</v>
      </c>
      <c r="F50" s="8"/>
    </row>
    <row r="51" spans="1:6" ht="24" customHeight="1" x14ac:dyDescent="0.15">
      <c r="A51" s="3"/>
      <c r="B51" s="153" t="s">
        <v>114</v>
      </c>
      <c r="C51" s="159">
        <v>164877.28</v>
      </c>
      <c r="D51" s="159">
        <v>206806.58</v>
      </c>
      <c r="E51" s="161">
        <v>187074.25</v>
      </c>
      <c r="F51" s="8"/>
    </row>
    <row r="52" spans="1:6" ht="24" customHeight="1" x14ac:dyDescent="0.15">
      <c r="A52" s="3"/>
      <c r="B52" s="166" t="s">
        <v>115</v>
      </c>
      <c r="C52" s="159">
        <v>24520.68</v>
      </c>
      <c r="D52" s="159">
        <v>39578.31</v>
      </c>
      <c r="E52" s="161">
        <v>34170.269999999997</v>
      </c>
      <c r="F52" s="8"/>
    </row>
    <row r="53" spans="1:6" ht="24" customHeight="1" x14ac:dyDescent="0.15">
      <c r="A53" s="3"/>
      <c r="B53" s="166" t="s">
        <v>127</v>
      </c>
      <c r="C53" s="159">
        <v>1267913.05</v>
      </c>
      <c r="D53" s="159">
        <v>1142447.3799999999</v>
      </c>
      <c r="E53" s="161">
        <v>1435558.07</v>
      </c>
      <c r="F53" s="8"/>
    </row>
    <row r="54" spans="1:6" ht="24" customHeight="1" x14ac:dyDescent="0.15">
      <c r="A54" s="3"/>
      <c r="B54" s="218" t="s">
        <v>162</v>
      </c>
      <c r="C54" s="192">
        <v>220504.43</v>
      </c>
      <c r="D54" s="167"/>
      <c r="E54" s="198"/>
      <c r="F54" s="8"/>
    </row>
    <row r="55" spans="1:6" ht="24" customHeight="1" x14ac:dyDescent="0.15">
      <c r="A55" s="3"/>
      <c r="B55" s="153" t="s">
        <v>203</v>
      </c>
      <c r="C55" s="167"/>
      <c r="D55" s="159">
        <v>142879.34</v>
      </c>
      <c r="E55" s="161">
        <v>144641.79999999999</v>
      </c>
      <c r="F55" s="8"/>
    </row>
    <row r="56" spans="1:6" ht="24" customHeight="1" x14ac:dyDescent="0.15">
      <c r="A56" s="3"/>
      <c r="B56" s="153" t="s">
        <v>241</v>
      </c>
      <c r="C56" s="167"/>
      <c r="D56" s="159">
        <v>113462.83</v>
      </c>
      <c r="E56" s="161">
        <v>132203.26999999999</v>
      </c>
      <c r="F56" s="8"/>
    </row>
    <row r="57" spans="1:6" ht="24" customHeight="1" x14ac:dyDescent="0.15">
      <c r="A57" s="3"/>
      <c r="B57" s="218" t="s">
        <v>326</v>
      </c>
      <c r="C57" s="167"/>
      <c r="D57" s="192">
        <v>212410.37</v>
      </c>
      <c r="E57" s="243">
        <v>264090.62</v>
      </c>
      <c r="F57" s="8"/>
    </row>
    <row r="58" spans="1:6" ht="24" customHeight="1" x14ac:dyDescent="0.15">
      <c r="A58" s="3"/>
      <c r="B58" s="153" t="s">
        <v>233</v>
      </c>
      <c r="C58" s="159">
        <v>258977.84</v>
      </c>
      <c r="D58" s="167"/>
      <c r="E58" s="198"/>
      <c r="F58" s="8"/>
    </row>
    <row r="59" spans="1:6" ht="24" customHeight="1" x14ac:dyDescent="0.15">
      <c r="A59" s="3"/>
      <c r="B59" s="166" t="s">
        <v>328</v>
      </c>
      <c r="C59" s="159">
        <v>98726.92</v>
      </c>
      <c r="D59" s="159">
        <v>91492.4</v>
      </c>
      <c r="E59" s="161">
        <v>89245.96</v>
      </c>
      <c r="F59" s="8"/>
    </row>
    <row r="60" spans="1:6" ht="24" customHeight="1" x14ac:dyDescent="0.15">
      <c r="A60" s="3"/>
      <c r="B60" s="166" t="s">
        <v>134</v>
      </c>
      <c r="C60" s="159">
        <v>33409.980000000003</v>
      </c>
      <c r="D60" s="159">
        <v>34720.6</v>
      </c>
      <c r="E60" s="161">
        <v>37017.160000000003</v>
      </c>
      <c r="F60" s="8"/>
    </row>
    <row r="61" spans="1:6" ht="24" customHeight="1" x14ac:dyDescent="0.15">
      <c r="A61" s="3"/>
      <c r="B61" s="166" t="s">
        <v>136</v>
      </c>
      <c r="C61" s="159">
        <v>78576.86</v>
      </c>
      <c r="D61" s="159">
        <v>102602.42</v>
      </c>
      <c r="E61" s="161">
        <v>125557.12</v>
      </c>
      <c r="F61" s="8"/>
    </row>
    <row r="62" spans="1:6" ht="24" customHeight="1" x14ac:dyDescent="0.15">
      <c r="A62" s="3"/>
      <c r="B62" s="166" t="s">
        <v>329</v>
      </c>
      <c r="C62" s="159">
        <v>26781.14</v>
      </c>
      <c r="D62" s="167"/>
      <c r="E62" s="198"/>
      <c r="F62" s="8"/>
    </row>
    <row r="63" spans="1:6" ht="24" customHeight="1" x14ac:dyDescent="0.15">
      <c r="A63" s="3"/>
      <c r="B63" s="166" t="s">
        <v>121</v>
      </c>
      <c r="C63" s="159">
        <v>202376.12</v>
      </c>
      <c r="D63" s="159">
        <v>164793.54</v>
      </c>
      <c r="E63" s="161">
        <v>178292.26</v>
      </c>
      <c r="F63" s="8"/>
    </row>
    <row r="64" spans="1:6" ht="24" customHeight="1" x14ac:dyDescent="0.15">
      <c r="A64" s="3"/>
      <c r="B64" s="166" t="s">
        <v>330</v>
      </c>
      <c r="C64" s="159">
        <v>54545.77</v>
      </c>
      <c r="D64" s="159">
        <v>53846.98</v>
      </c>
      <c r="E64" s="161">
        <v>50829.22</v>
      </c>
      <c r="F64" s="8"/>
    </row>
    <row r="65" spans="1:6" ht="19.5" customHeight="1" x14ac:dyDescent="0.15">
      <c r="A65" s="3"/>
      <c r="B65" s="169"/>
      <c r="C65" s="167"/>
      <c r="D65" s="167"/>
      <c r="E65" s="198"/>
      <c r="F65" s="8"/>
    </row>
    <row r="66" spans="1:6" ht="19.5" customHeight="1" x14ac:dyDescent="0.15">
      <c r="A66" s="3"/>
      <c r="B66" s="151" t="s">
        <v>142</v>
      </c>
      <c r="C66" s="206">
        <v>2680184.37</v>
      </c>
      <c r="D66" s="206">
        <v>2529286.37</v>
      </c>
      <c r="E66" s="206">
        <v>2857282.92</v>
      </c>
      <c r="F66" s="8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34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24">
        <f t="shared" ref="C5:E5" si="0">SUM(C6:C13)</f>
        <v>604492.07999999996</v>
      </c>
      <c r="D5" s="30">
        <f t="shared" si="0"/>
        <v>521524.22000000003</v>
      </c>
      <c r="E5" s="30">
        <f t="shared" si="0"/>
        <v>594380.30000000005</v>
      </c>
      <c r="F5" s="18"/>
    </row>
    <row r="6" spans="1:6" ht="13" x14ac:dyDescent="0.15">
      <c r="A6" s="19">
        <v>411</v>
      </c>
      <c r="B6" s="37" t="s">
        <v>38</v>
      </c>
      <c r="C6" s="97">
        <v>342212.05</v>
      </c>
      <c r="D6" s="57">
        <v>283472.07</v>
      </c>
      <c r="E6" s="57">
        <v>333626.21999999997</v>
      </c>
      <c r="F6" s="41"/>
    </row>
    <row r="7" spans="1:6" ht="13" x14ac:dyDescent="0.15">
      <c r="A7" s="19">
        <v>412</v>
      </c>
      <c r="B7" s="58" t="s">
        <v>54</v>
      </c>
      <c r="C7" s="56">
        <v>81407.8</v>
      </c>
      <c r="D7" s="57">
        <v>53923.4</v>
      </c>
      <c r="E7" s="57">
        <v>43259.199999999997</v>
      </c>
      <c r="F7" s="41"/>
    </row>
    <row r="8" spans="1:6" ht="13" x14ac:dyDescent="0.15">
      <c r="A8" s="19">
        <v>413</v>
      </c>
      <c r="B8" s="58" t="s">
        <v>3</v>
      </c>
      <c r="C8" s="56">
        <v>97613.11</v>
      </c>
      <c r="D8" s="57">
        <v>77902.929999999993</v>
      </c>
      <c r="E8" s="57">
        <v>97284.7</v>
      </c>
      <c r="F8" s="41"/>
    </row>
    <row r="9" spans="1:6" ht="13" x14ac:dyDescent="0.15">
      <c r="A9" s="44">
        <v>414</v>
      </c>
      <c r="B9" s="37" t="s">
        <v>5</v>
      </c>
      <c r="C9" s="56">
        <v>83259.12</v>
      </c>
      <c r="D9" s="57">
        <v>106225.82</v>
      </c>
      <c r="E9" s="57">
        <v>120210.18</v>
      </c>
      <c r="F9" s="41"/>
    </row>
    <row r="10" spans="1:6" ht="13" x14ac:dyDescent="0.15">
      <c r="A10" s="19">
        <v>415</v>
      </c>
      <c r="B10" s="60" t="s">
        <v>6</v>
      </c>
      <c r="C10" s="16"/>
      <c r="D10" s="18"/>
      <c r="E10" s="18"/>
      <c r="F10" s="41"/>
    </row>
    <row r="11" spans="1:6" ht="13" x14ac:dyDescent="0.15">
      <c r="A11" s="19">
        <v>416</v>
      </c>
      <c r="B11" s="37" t="s">
        <v>7</v>
      </c>
      <c r="C11" s="16"/>
      <c r="D11" s="18"/>
      <c r="E11" s="41"/>
      <c r="F11" s="41"/>
    </row>
    <row r="12" spans="1:6" ht="13" x14ac:dyDescent="0.15">
      <c r="A12" s="19">
        <v>417</v>
      </c>
      <c r="B12" s="37" t="s">
        <v>8</v>
      </c>
      <c r="C12" s="16"/>
      <c r="D12" s="48"/>
      <c r="E12" s="41"/>
      <c r="F12" s="41"/>
    </row>
    <row r="13" spans="1:6" ht="13" x14ac:dyDescent="0.15">
      <c r="A13" s="19">
        <v>418</v>
      </c>
      <c r="B13" s="37" t="s">
        <v>55</v>
      </c>
      <c r="C13" s="16"/>
      <c r="D13" s="48"/>
      <c r="E13" s="41"/>
      <c r="F13" s="41"/>
    </row>
    <row r="14" spans="1:6" ht="13" x14ac:dyDescent="0.15">
      <c r="A14" s="19">
        <v>42</v>
      </c>
      <c r="B14" s="82" t="s">
        <v>9</v>
      </c>
      <c r="C14" s="83"/>
      <c r="D14" s="84"/>
      <c r="E14" s="85"/>
      <c r="F14" s="85"/>
    </row>
    <row r="15" spans="1:6" ht="16.5" customHeight="1" x14ac:dyDescent="0.15">
      <c r="A15" s="49">
        <v>43</v>
      </c>
      <c r="B15" s="60" t="s">
        <v>10</v>
      </c>
      <c r="C15" s="71">
        <v>130027.34</v>
      </c>
      <c r="D15" s="75">
        <v>226017.7</v>
      </c>
      <c r="E15" s="71">
        <v>184968.87</v>
      </c>
      <c r="F15" s="18"/>
    </row>
    <row r="16" spans="1:6" ht="13" x14ac:dyDescent="0.15">
      <c r="A16" s="44" t="s">
        <v>58</v>
      </c>
      <c r="B16" s="45" t="s">
        <v>11</v>
      </c>
      <c r="C16" s="67">
        <f>10074.3+2118.9+2050.4+3306.3+2317.21</f>
        <v>19867.109999999997</v>
      </c>
      <c r="D16" s="46">
        <f>5400+4665.8+51568.4+694+1508</f>
        <v>63836.2</v>
      </c>
      <c r="E16" s="67">
        <f>2250.38+450+600+2200</f>
        <v>5500.38</v>
      </c>
      <c r="F16" s="18"/>
    </row>
    <row r="17" spans="1:6" ht="13" x14ac:dyDescent="0.15">
      <c r="A17" s="44" t="s">
        <v>59</v>
      </c>
      <c r="B17" s="45" t="s">
        <v>12</v>
      </c>
      <c r="C17" s="67">
        <f>500+300+2671.95</f>
        <v>3471.95</v>
      </c>
      <c r="D17" s="46">
        <f>1000+1373.17+14200</f>
        <v>16573.169999999998</v>
      </c>
      <c r="E17" s="67">
        <f>600+1000+807.14</f>
        <v>2407.14</v>
      </c>
      <c r="F17" s="18"/>
    </row>
    <row r="18" spans="1:6" ht="13" x14ac:dyDescent="0.15">
      <c r="A18" s="44" t="s">
        <v>60</v>
      </c>
      <c r="B18" s="74" t="s">
        <v>13</v>
      </c>
      <c r="C18" s="46">
        <f>14119.6+27250+1663.5+2207.58</f>
        <v>45240.68</v>
      </c>
      <c r="D18" s="67">
        <f>23287.11+22600+2236.67+4516.6</f>
        <v>52640.38</v>
      </c>
      <c r="E18" s="48">
        <f>17377.85+21200+4192+15530.73</f>
        <v>58300.58</v>
      </c>
      <c r="F18" s="88"/>
    </row>
    <row r="19" spans="1:6" ht="13" x14ac:dyDescent="0.15">
      <c r="A19" s="44" t="s">
        <v>61</v>
      </c>
      <c r="B19" s="74" t="s">
        <v>62</v>
      </c>
      <c r="C19" s="46">
        <f>30825.7+9000+3321.9+18300</f>
        <v>61447.6</v>
      </c>
      <c r="D19" s="67">
        <f>22372.58+4523.19+25070.18+41002</f>
        <v>92967.95</v>
      </c>
      <c r="E19" s="48">
        <f>42507.66+1000+12063.94+20627.36+42571.81</f>
        <v>118770.77</v>
      </c>
      <c r="F19" s="95"/>
    </row>
    <row r="20" spans="1:6" ht="13" x14ac:dyDescent="0.15">
      <c r="A20" s="19">
        <v>44</v>
      </c>
      <c r="B20" s="37" t="s">
        <v>14</v>
      </c>
      <c r="C20" s="56">
        <v>178339.33</v>
      </c>
      <c r="D20" s="57">
        <v>120517.07</v>
      </c>
      <c r="E20" s="57">
        <v>57785.78</v>
      </c>
      <c r="F20" s="18"/>
    </row>
    <row r="21" spans="1:6" ht="13" x14ac:dyDescent="0.15">
      <c r="A21" s="19">
        <v>45</v>
      </c>
      <c r="B21" s="47" t="s">
        <v>63</v>
      </c>
      <c r="C21" s="16"/>
      <c r="D21" s="57">
        <v>0</v>
      </c>
      <c r="E21" s="18"/>
      <c r="F21" s="18"/>
    </row>
    <row r="22" spans="1:6" ht="13" x14ac:dyDescent="0.15">
      <c r="A22" s="19">
        <v>46</v>
      </c>
      <c r="B22" s="20" t="s">
        <v>16</v>
      </c>
      <c r="C22" s="56">
        <v>45052.49</v>
      </c>
      <c r="D22" s="18">
        <f>57143+33799.41</f>
        <v>90942.41</v>
      </c>
      <c r="E22" s="18">
        <f>57143+146766.66</f>
        <v>203909.66</v>
      </c>
      <c r="F22" s="18"/>
    </row>
    <row r="23" spans="1:6" ht="13" x14ac:dyDescent="0.15">
      <c r="A23" s="19">
        <v>47</v>
      </c>
      <c r="B23" s="20" t="s">
        <v>17</v>
      </c>
      <c r="C23" s="56">
        <v>0</v>
      </c>
      <c r="D23" s="57">
        <v>0</v>
      </c>
      <c r="E23" s="18"/>
      <c r="F23" s="18"/>
    </row>
    <row r="24" spans="1:6" ht="13" x14ac:dyDescent="0.15">
      <c r="A24" s="3"/>
      <c r="B24" s="20" t="s">
        <v>18</v>
      </c>
      <c r="C24" s="56">
        <v>957911.24</v>
      </c>
      <c r="D24" s="57">
        <v>959001.4</v>
      </c>
      <c r="E24" s="57">
        <v>1041044.61</v>
      </c>
      <c r="F24" s="18"/>
    </row>
    <row r="25" spans="1:6" ht="13" x14ac:dyDescent="0.15">
      <c r="A25" s="3"/>
      <c r="B25" s="103" t="s">
        <v>64</v>
      </c>
      <c r="C25" s="104"/>
      <c r="D25" s="105"/>
      <c r="E25" s="105"/>
      <c r="F25" s="105"/>
    </row>
    <row r="26" spans="1:6" ht="13" x14ac:dyDescent="0.15">
      <c r="A26" s="19">
        <v>71</v>
      </c>
      <c r="B26" s="20" t="s">
        <v>39</v>
      </c>
      <c r="C26" s="107">
        <f t="shared" ref="C26:E26" si="1">SUM(C27:C31)</f>
        <v>124853.73999999999</v>
      </c>
      <c r="D26" s="107">
        <f t="shared" si="1"/>
        <v>120775.42000000001</v>
      </c>
      <c r="E26" s="107">
        <f t="shared" si="1"/>
        <v>96436.33</v>
      </c>
      <c r="F26" s="15"/>
    </row>
    <row r="27" spans="1:6" ht="13" x14ac:dyDescent="0.15">
      <c r="A27" s="44">
        <v>711</v>
      </c>
      <c r="B27" s="45" t="s">
        <v>40</v>
      </c>
      <c r="C27" s="38">
        <v>74952.47</v>
      </c>
      <c r="D27" s="39">
        <v>64241.53</v>
      </c>
      <c r="E27" s="39">
        <v>70767.7</v>
      </c>
      <c r="F27" s="41"/>
    </row>
    <row r="28" spans="1:6" ht="13" x14ac:dyDescent="0.15">
      <c r="A28" s="44">
        <v>713</v>
      </c>
      <c r="B28" s="45" t="s">
        <v>41</v>
      </c>
      <c r="C28" s="39">
        <v>7387.83</v>
      </c>
      <c r="D28" s="39">
        <v>21823.1</v>
      </c>
      <c r="E28" s="39">
        <v>103.4</v>
      </c>
      <c r="F28" s="41"/>
    </row>
    <row r="29" spans="1:6" ht="13" x14ac:dyDescent="0.15">
      <c r="A29" s="44">
        <v>714</v>
      </c>
      <c r="B29" s="45" t="s">
        <v>42</v>
      </c>
      <c r="C29" s="149">
        <v>3927.9</v>
      </c>
      <c r="D29" s="48">
        <f>2.1+14377.11</f>
        <v>14379.210000000001</v>
      </c>
      <c r="E29" s="39">
        <v>9200.58</v>
      </c>
      <c r="F29" s="41"/>
    </row>
    <row r="30" spans="1:6" ht="13" x14ac:dyDescent="0.15">
      <c r="A30" s="80"/>
      <c r="B30" s="45" t="s">
        <v>66</v>
      </c>
      <c r="C30" s="48">
        <f>1921.15+4692.28+4656.49+1738.3</f>
        <v>13008.22</v>
      </c>
      <c r="D30" s="48">
        <f>257+552.13+728.8</f>
        <v>1537.9299999999998</v>
      </c>
      <c r="E30" s="48">
        <f>257+189.1</f>
        <v>446.1</v>
      </c>
      <c r="F30" s="41"/>
    </row>
    <row r="31" spans="1:6" ht="13" x14ac:dyDescent="0.15">
      <c r="A31" s="44">
        <v>715</v>
      </c>
      <c r="B31" s="45" t="s">
        <v>67</v>
      </c>
      <c r="C31" s="38">
        <v>25577.32</v>
      </c>
      <c r="D31" s="39">
        <v>18793.650000000001</v>
      </c>
      <c r="E31" s="39">
        <v>15918.55</v>
      </c>
      <c r="F31" s="41"/>
    </row>
    <row r="32" spans="1:6" ht="13" x14ac:dyDescent="0.15">
      <c r="A32" s="19">
        <v>72</v>
      </c>
      <c r="B32" s="113" t="s">
        <v>43</v>
      </c>
      <c r="C32" s="56">
        <v>641.12</v>
      </c>
      <c r="D32" s="57">
        <v>341.12</v>
      </c>
      <c r="E32" s="57">
        <v>141.12</v>
      </c>
      <c r="F32" s="48"/>
    </row>
    <row r="33" spans="1:6" ht="18" customHeight="1" x14ac:dyDescent="0.15">
      <c r="A33" s="115">
        <v>73</v>
      </c>
      <c r="B33" s="47" t="s">
        <v>68</v>
      </c>
      <c r="C33" s="131">
        <v>184794.96</v>
      </c>
      <c r="D33" s="131">
        <v>149544.35999999999</v>
      </c>
      <c r="E33" s="131">
        <v>357928.21</v>
      </c>
      <c r="F33" s="117"/>
    </row>
    <row r="34" spans="1:6" ht="13" x14ac:dyDescent="0.15">
      <c r="A34" s="19">
        <v>74</v>
      </c>
      <c r="B34" s="60" t="s">
        <v>44</v>
      </c>
      <c r="C34" s="108">
        <f>100899.78+696266</f>
        <v>797165.78</v>
      </c>
      <c r="D34" s="109">
        <f>421751.71+624517</f>
        <v>1046268.71</v>
      </c>
      <c r="E34" s="109">
        <f>163816.2+968236</f>
        <v>1132052.2</v>
      </c>
      <c r="F34" s="18"/>
    </row>
    <row r="35" spans="1:6" ht="13" x14ac:dyDescent="0.15">
      <c r="A35" s="44">
        <v>741</v>
      </c>
      <c r="B35" s="45" t="s">
        <v>45</v>
      </c>
      <c r="C35" s="108"/>
      <c r="D35" s="109"/>
      <c r="E35" s="109"/>
      <c r="F35" s="18"/>
    </row>
    <row r="36" spans="1:6" ht="13" x14ac:dyDescent="0.15">
      <c r="A36" s="44">
        <v>742</v>
      </c>
      <c r="B36" s="45" t="s">
        <v>46</v>
      </c>
      <c r="C36" s="40">
        <v>696266</v>
      </c>
      <c r="D36" s="43">
        <v>624517</v>
      </c>
      <c r="E36" s="43">
        <v>968236</v>
      </c>
      <c r="F36" s="18"/>
    </row>
    <row r="37" spans="1:6" ht="13" x14ac:dyDescent="0.15">
      <c r="A37" s="80"/>
      <c r="B37" s="45" t="s">
        <v>81</v>
      </c>
      <c r="C37" s="111" t="s">
        <v>109</v>
      </c>
      <c r="D37" s="111" t="s">
        <v>110</v>
      </c>
      <c r="E37" s="111" t="s">
        <v>111</v>
      </c>
      <c r="F37" s="18"/>
    </row>
    <row r="38" spans="1:6" ht="13" x14ac:dyDescent="0.15">
      <c r="A38" s="19">
        <v>751</v>
      </c>
      <c r="B38" s="37" t="s">
        <v>63</v>
      </c>
      <c r="C38" s="16"/>
      <c r="D38" s="18"/>
      <c r="E38" s="18"/>
      <c r="F38" s="18"/>
    </row>
    <row r="39" spans="1:6" ht="13" x14ac:dyDescent="0.15">
      <c r="A39" s="3"/>
      <c r="B39" s="37" t="s">
        <v>82</v>
      </c>
      <c r="C39" s="56">
        <v>1107455.6000000001</v>
      </c>
      <c r="D39" s="57">
        <v>1316929.81</v>
      </c>
      <c r="E39" s="57">
        <v>1586557.86</v>
      </c>
      <c r="F39" s="18"/>
    </row>
    <row r="40" spans="1:6" ht="13" x14ac:dyDescent="0.15">
      <c r="A40" s="3"/>
      <c r="B40" s="103" t="s">
        <v>83</v>
      </c>
      <c r="C40" s="104"/>
      <c r="D40" s="105"/>
      <c r="E40" s="105"/>
      <c r="F40" s="105"/>
    </row>
    <row r="41" spans="1:6" ht="13" x14ac:dyDescent="0.15">
      <c r="A41" s="3"/>
      <c r="B41" s="42" t="s">
        <v>84</v>
      </c>
      <c r="C41" s="66"/>
      <c r="D41" s="48"/>
      <c r="E41" s="48"/>
      <c r="F41" s="48"/>
    </row>
    <row r="42" spans="1:6" ht="13" x14ac:dyDescent="0.15">
      <c r="A42" s="3"/>
      <c r="B42" s="42" t="s">
        <v>49</v>
      </c>
      <c r="C42" s="66"/>
      <c r="D42" s="48"/>
      <c r="E42" s="48"/>
      <c r="F42" s="48"/>
    </row>
    <row r="43" spans="1:6" ht="13" x14ac:dyDescent="0.15">
      <c r="A43" s="3"/>
      <c r="B43" s="42" t="s">
        <v>51</v>
      </c>
      <c r="C43" s="66"/>
      <c r="D43" s="48"/>
      <c r="E43" s="48"/>
      <c r="F43" s="48"/>
    </row>
    <row r="44" spans="1:6" ht="13" x14ac:dyDescent="0.15">
      <c r="A44" s="3"/>
      <c r="B44" s="42" t="s">
        <v>86</v>
      </c>
      <c r="C44" s="66"/>
      <c r="D44" s="48"/>
      <c r="E44" s="48"/>
      <c r="F44" s="48"/>
    </row>
    <row r="45" spans="1:6" ht="13" x14ac:dyDescent="0.15">
      <c r="A45" s="3"/>
      <c r="B45" s="134"/>
      <c r="C45" s="104"/>
      <c r="D45" s="105"/>
      <c r="E45" s="105"/>
      <c r="F45" s="105"/>
    </row>
    <row r="46" spans="1:6" ht="19.5" customHeight="1" x14ac:dyDescent="0.15">
      <c r="B46" s="140"/>
      <c r="C46" s="140"/>
      <c r="D46" s="141"/>
      <c r="E46" s="140"/>
      <c r="F46" s="140"/>
    </row>
    <row r="47" spans="1:6" ht="19.5" customHeight="1" x14ac:dyDescent="0.15">
      <c r="B47" s="148" t="s">
        <v>96</v>
      </c>
      <c r="C47" s="1"/>
      <c r="D47" s="150"/>
      <c r="E47" s="1"/>
    </row>
    <row r="48" spans="1:6" ht="19.5" customHeight="1" x14ac:dyDescent="0.15">
      <c r="A48" s="3"/>
      <c r="B48" s="151" t="s">
        <v>106</v>
      </c>
      <c r="C48" s="114"/>
      <c r="D48" s="139"/>
      <c r="E48" s="114"/>
      <c r="F48" s="8"/>
    </row>
    <row r="49" spans="1:6" ht="24" customHeight="1" x14ac:dyDescent="0.15">
      <c r="A49" s="3"/>
      <c r="B49" s="153" t="s">
        <v>112</v>
      </c>
      <c r="C49" s="159">
        <v>614786.13</v>
      </c>
      <c r="D49" s="159">
        <v>665555.25</v>
      </c>
      <c r="E49" s="159">
        <v>703447.95</v>
      </c>
      <c r="F49" s="8"/>
    </row>
    <row r="50" spans="1:6" ht="24" customHeight="1" x14ac:dyDescent="0.15">
      <c r="A50" s="3"/>
      <c r="B50" s="153" t="s">
        <v>116</v>
      </c>
      <c r="C50" s="159">
        <v>107670.93</v>
      </c>
      <c r="D50" s="159">
        <v>93543</v>
      </c>
      <c r="E50" s="159">
        <v>82791.08</v>
      </c>
      <c r="F50" s="8"/>
    </row>
    <row r="51" spans="1:6" ht="24" customHeight="1" x14ac:dyDescent="0.15">
      <c r="A51" s="3"/>
      <c r="B51" s="166" t="s">
        <v>117</v>
      </c>
      <c r="C51" s="159">
        <v>219750.51</v>
      </c>
      <c r="D51" s="159">
        <v>184061.83</v>
      </c>
      <c r="E51" s="159">
        <v>179102.61</v>
      </c>
      <c r="F51" s="8"/>
    </row>
    <row r="52" spans="1:6" ht="24" customHeight="1" x14ac:dyDescent="0.15">
      <c r="A52" s="3"/>
      <c r="B52" s="166" t="s">
        <v>121</v>
      </c>
      <c r="C52" s="159">
        <v>15703.67</v>
      </c>
      <c r="D52" s="159">
        <v>12852.03</v>
      </c>
      <c r="E52" s="159">
        <v>15496.36</v>
      </c>
      <c r="F52" s="8"/>
    </row>
    <row r="53" spans="1:6" ht="24" customHeight="1" x14ac:dyDescent="0.15">
      <c r="A53" s="3"/>
      <c r="B53" s="153" t="s">
        <v>122</v>
      </c>
      <c r="C53" s="167"/>
      <c r="D53" s="159">
        <v>2989.29</v>
      </c>
      <c r="E53" s="159">
        <v>60207.62</v>
      </c>
      <c r="F53" s="8"/>
    </row>
    <row r="54" spans="1:6" ht="24" customHeight="1" x14ac:dyDescent="0.15">
      <c r="A54" s="3"/>
      <c r="B54" s="169"/>
      <c r="C54" s="167"/>
      <c r="D54" s="167"/>
      <c r="E54" s="167"/>
      <c r="F54" s="8"/>
    </row>
    <row r="55" spans="1:6" ht="19.5" customHeight="1" x14ac:dyDescent="0.15">
      <c r="A55" s="3"/>
      <c r="B55" s="151" t="s">
        <v>142</v>
      </c>
      <c r="C55" s="171">
        <v>957911.24</v>
      </c>
      <c r="D55" s="171">
        <v>959001.4</v>
      </c>
      <c r="E55" s="171">
        <v>1041044.61</v>
      </c>
      <c r="F55" s="8"/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2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8" width="11.83203125" customWidth="1"/>
  </cols>
  <sheetData>
    <row r="1" spans="1:8" ht="27.75" customHeight="1" x14ac:dyDescent="0.15">
      <c r="B1" s="1"/>
      <c r="C1" s="1"/>
      <c r="D1" s="1"/>
      <c r="E1" s="1"/>
      <c r="F1" s="1"/>
    </row>
    <row r="2" spans="1:8" ht="13" x14ac:dyDescent="0.15">
      <c r="A2" s="3"/>
      <c r="B2" s="4" t="s">
        <v>33</v>
      </c>
      <c r="C2" s="17">
        <v>2009</v>
      </c>
      <c r="D2" s="25">
        <v>2010</v>
      </c>
      <c r="E2" s="25">
        <v>2011</v>
      </c>
      <c r="F2" s="10"/>
      <c r="G2" s="8"/>
    </row>
    <row r="3" spans="1:8" ht="13" x14ac:dyDescent="0.15">
      <c r="A3" s="3"/>
      <c r="B3" s="9" t="s">
        <v>22</v>
      </c>
      <c r="C3" s="26"/>
      <c r="D3" s="27"/>
      <c r="E3" s="28"/>
      <c r="F3" s="14"/>
      <c r="G3" s="8"/>
    </row>
    <row r="4" spans="1:8" ht="13" x14ac:dyDescent="0.15">
      <c r="A4" s="3"/>
      <c r="B4" s="15"/>
      <c r="C4" s="83"/>
      <c r="D4" s="89"/>
      <c r="E4" s="89"/>
      <c r="F4" s="18"/>
      <c r="G4" s="8"/>
    </row>
    <row r="5" spans="1:8" ht="13" x14ac:dyDescent="0.15">
      <c r="A5" s="19">
        <v>41</v>
      </c>
      <c r="B5" s="20" t="s">
        <v>0</v>
      </c>
      <c r="C5" s="101">
        <f t="shared" ref="C5:E5" si="0">SUM(C6:C13)</f>
        <v>2181685.23</v>
      </c>
      <c r="D5" s="100">
        <f t="shared" si="0"/>
        <v>2169059.4000000004</v>
      </c>
      <c r="E5" s="100">
        <f t="shared" si="0"/>
        <v>2323749.9900000007</v>
      </c>
      <c r="F5" s="18"/>
      <c r="G5" s="8"/>
    </row>
    <row r="6" spans="1:8" ht="13" x14ac:dyDescent="0.15">
      <c r="A6" s="19">
        <v>411</v>
      </c>
      <c r="B6" s="36" t="s">
        <v>38</v>
      </c>
      <c r="C6" s="62">
        <v>1024988.1</v>
      </c>
      <c r="D6" s="61">
        <v>1069836.6100000001</v>
      </c>
      <c r="E6" s="61">
        <v>1126388.17</v>
      </c>
      <c r="F6" s="41"/>
      <c r="G6" s="8"/>
    </row>
    <row r="7" spans="1:8" ht="13" x14ac:dyDescent="0.15">
      <c r="A7" s="19">
        <v>412</v>
      </c>
      <c r="B7" s="42" t="s">
        <v>54</v>
      </c>
      <c r="C7" s="62">
        <v>266516.62</v>
      </c>
      <c r="D7" s="61">
        <v>236704.35</v>
      </c>
      <c r="E7" s="61">
        <v>184854.35</v>
      </c>
      <c r="F7" s="41"/>
      <c r="G7" s="8"/>
    </row>
    <row r="8" spans="1:8" ht="13" x14ac:dyDescent="0.15">
      <c r="A8" s="19">
        <v>413</v>
      </c>
      <c r="B8" s="42" t="s">
        <v>3</v>
      </c>
      <c r="C8" s="62">
        <v>816711.84</v>
      </c>
      <c r="D8" s="61">
        <v>763816.75</v>
      </c>
      <c r="E8" s="61">
        <v>864805.76</v>
      </c>
      <c r="F8" s="41"/>
      <c r="G8" s="8"/>
    </row>
    <row r="9" spans="1:8" ht="13" x14ac:dyDescent="0.15">
      <c r="A9" s="44">
        <v>414</v>
      </c>
      <c r="B9" s="36" t="s">
        <v>5</v>
      </c>
      <c r="C9" s="62">
        <v>49612.06</v>
      </c>
      <c r="D9" s="61">
        <v>50141.82</v>
      </c>
      <c r="E9" s="61">
        <v>72031.990000000005</v>
      </c>
      <c r="F9" s="41"/>
      <c r="G9" s="8"/>
    </row>
    <row r="10" spans="1:8" ht="13" x14ac:dyDescent="0.15">
      <c r="A10" s="19">
        <v>415</v>
      </c>
      <c r="B10" s="45" t="s">
        <v>6</v>
      </c>
      <c r="C10" s="102"/>
      <c r="D10" s="84"/>
      <c r="E10" s="84"/>
      <c r="F10" s="41"/>
      <c r="G10" s="8"/>
    </row>
    <row r="11" spans="1:8" ht="13" x14ac:dyDescent="0.15">
      <c r="A11" s="19">
        <v>416</v>
      </c>
      <c r="B11" s="36" t="s">
        <v>7</v>
      </c>
      <c r="C11" s="102"/>
      <c r="D11" s="61">
        <v>25000</v>
      </c>
      <c r="E11" s="61">
        <v>34934</v>
      </c>
      <c r="F11" s="41"/>
      <c r="G11" s="8"/>
    </row>
    <row r="12" spans="1:8" ht="13" x14ac:dyDescent="0.15">
      <c r="A12" s="19">
        <v>417</v>
      </c>
      <c r="B12" s="36" t="s">
        <v>8</v>
      </c>
      <c r="C12" s="102"/>
      <c r="D12" s="84"/>
      <c r="E12" s="84"/>
      <c r="F12" s="41"/>
      <c r="G12" s="8"/>
    </row>
    <row r="13" spans="1:8" ht="13" x14ac:dyDescent="0.15">
      <c r="A13" s="19">
        <v>418</v>
      </c>
      <c r="B13" s="36" t="s">
        <v>55</v>
      </c>
      <c r="C13" s="62">
        <v>23856.61</v>
      </c>
      <c r="D13" s="61">
        <v>23559.87</v>
      </c>
      <c r="E13" s="61">
        <v>40735.72</v>
      </c>
      <c r="F13" s="41"/>
      <c r="G13" s="8"/>
    </row>
    <row r="14" spans="1:8" ht="13" x14ac:dyDescent="0.15">
      <c r="A14" s="19">
        <v>42</v>
      </c>
      <c r="B14" s="47" t="s">
        <v>9</v>
      </c>
      <c r="C14" s="83"/>
      <c r="D14" s="89"/>
      <c r="E14" s="97">
        <v>69558.38</v>
      </c>
      <c r="F14" s="41"/>
      <c r="G14" s="8"/>
    </row>
    <row r="15" spans="1:8" ht="16.5" customHeight="1" x14ac:dyDescent="0.15">
      <c r="A15" s="49">
        <v>43</v>
      </c>
      <c r="B15" s="60" t="s">
        <v>10</v>
      </c>
      <c r="C15" s="110">
        <f>1097789.55+50000</f>
        <v>1147789.55</v>
      </c>
      <c r="D15" s="138">
        <f>1341292.42+99725.86</f>
        <v>1441018.28</v>
      </c>
      <c r="E15" s="136">
        <v>1383239.96</v>
      </c>
      <c r="F15" s="18"/>
      <c r="G15" s="8"/>
    </row>
    <row r="16" spans="1:8" ht="13" x14ac:dyDescent="0.15">
      <c r="A16" s="44" t="s">
        <v>58</v>
      </c>
      <c r="B16" s="45" t="s">
        <v>11</v>
      </c>
      <c r="C16" s="114">
        <f>125242+9000+4263.58+17152.14+27131.47</f>
        <v>182789.18999999997</v>
      </c>
      <c r="D16" s="138">
        <f>145056.3+10000+9000+8000+13248.14+29273.66</f>
        <v>214578.1</v>
      </c>
      <c r="E16" s="110">
        <f>167366.5+39972.88+16386.4+8250+7344.31+47429.11</f>
        <v>286749.2</v>
      </c>
      <c r="F16" s="18"/>
      <c r="G16" s="8"/>
      <c r="H16" s="63"/>
    </row>
    <row r="17" spans="1:8" ht="31.5" customHeight="1" x14ac:dyDescent="0.15">
      <c r="A17" s="44" t="s">
        <v>59</v>
      </c>
      <c r="B17" s="45" t="s">
        <v>12</v>
      </c>
      <c r="C17" s="114">
        <f>39734.16+23579.2</f>
        <v>63313.36</v>
      </c>
      <c r="D17" s="138">
        <f>40000+40906.56</f>
        <v>80906.559999999998</v>
      </c>
      <c r="E17" s="110">
        <f>53530.36+41373.35</f>
        <v>94903.709999999992</v>
      </c>
      <c r="F17" s="18"/>
      <c r="G17" s="8"/>
    </row>
    <row r="18" spans="1:8" ht="13" x14ac:dyDescent="0.15">
      <c r="A18" s="44" t="s">
        <v>60</v>
      </c>
      <c r="B18" s="74" t="s">
        <v>13</v>
      </c>
      <c r="C18" s="114">
        <f>17700+22737+34650</f>
        <v>75087</v>
      </c>
      <c r="D18" s="110">
        <f>21374.8+19635+38500</f>
        <v>79509.8</v>
      </c>
      <c r="E18" s="89">
        <f>28585.29+22011+30800+54893.72+50000</f>
        <v>186290.01</v>
      </c>
      <c r="F18" s="88"/>
    </row>
    <row r="19" spans="1:8" ht="13" x14ac:dyDescent="0.15">
      <c r="A19" s="44" t="s">
        <v>61</v>
      </c>
      <c r="B19" s="74" t="s">
        <v>62</v>
      </c>
      <c r="C19" s="145">
        <f>168000+36000+67000+13000+15000+151800+43800+12000+270000+50000</f>
        <v>826600</v>
      </c>
      <c r="D19" s="145">
        <f>168000+35999.35+67000+13000+14999.46+152000+44000+12000+459299.15+99725.86</f>
        <v>1066023.82</v>
      </c>
      <c r="E19" s="89">
        <f>173000+39747.36+69999.56+15000+11938.46+170000+45000+44000+12000+191992.52+42619.14</f>
        <v>815297.04</v>
      </c>
      <c r="F19" s="95"/>
    </row>
    <row r="20" spans="1:8" ht="13" x14ac:dyDescent="0.15">
      <c r="A20" s="19">
        <v>44</v>
      </c>
      <c r="B20" s="37" t="s">
        <v>14</v>
      </c>
      <c r="C20" s="93">
        <v>2357761.9700000002</v>
      </c>
      <c r="D20" s="97">
        <v>3460112.86</v>
      </c>
      <c r="E20" s="97">
        <v>2967600.99</v>
      </c>
      <c r="F20" s="18"/>
      <c r="G20" s="8"/>
    </row>
    <row r="21" spans="1:8" ht="13" x14ac:dyDescent="0.15">
      <c r="A21" s="19">
        <v>45</v>
      </c>
      <c r="B21" s="47" t="s">
        <v>63</v>
      </c>
      <c r="C21" s="83"/>
      <c r="D21" s="97">
        <v>0</v>
      </c>
      <c r="E21" s="97">
        <v>80000</v>
      </c>
      <c r="F21" s="18"/>
      <c r="G21" s="8"/>
      <c r="H21" s="63"/>
    </row>
    <row r="22" spans="1:8" ht="13" x14ac:dyDescent="0.15">
      <c r="A22" s="19">
        <v>46</v>
      </c>
      <c r="B22" s="20" t="s">
        <v>16</v>
      </c>
      <c r="C22" s="93">
        <v>133781.92000000001</v>
      </c>
      <c r="D22" s="97">
        <v>198300.52</v>
      </c>
      <c r="E22" s="97">
        <v>452587.32</v>
      </c>
      <c r="F22" s="18"/>
      <c r="G22" s="8"/>
      <c r="H22" s="63"/>
    </row>
    <row r="23" spans="1:8" ht="13" x14ac:dyDescent="0.15">
      <c r="A23" s="19">
        <v>47</v>
      </c>
      <c r="B23" s="20" t="s">
        <v>17</v>
      </c>
      <c r="C23" s="93">
        <v>98598.36</v>
      </c>
      <c r="D23" s="97">
        <v>99867.81</v>
      </c>
      <c r="E23" s="89">
        <f>69361.45+21000</f>
        <v>90361.45</v>
      </c>
      <c r="F23" s="18"/>
      <c r="G23" s="8"/>
    </row>
    <row r="24" spans="1:8" ht="13" x14ac:dyDescent="0.15">
      <c r="A24" s="3"/>
      <c r="B24" s="20" t="s">
        <v>18</v>
      </c>
      <c r="C24" s="93">
        <v>5919617.0300000003</v>
      </c>
      <c r="D24" s="97">
        <v>7368358.8700000001</v>
      </c>
      <c r="E24" s="97">
        <v>7367098.0899999999</v>
      </c>
      <c r="F24" s="18"/>
      <c r="G24" s="8"/>
    </row>
    <row r="25" spans="1:8" ht="13" x14ac:dyDescent="0.15">
      <c r="A25" s="3"/>
      <c r="B25" s="103" t="s">
        <v>64</v>
      </c>
      <c r="C25" s="23"/>
      <c r="D25" s="157"/>
      <c r="E25" s="157"/>
      <c r="F25" s="105"/>
      <c r="G25" s="8"/>
      <c r="H25" s="63"/>
    </row>
    <row r="26" spans="1:8" ht="13" x14ac:dyDescent="0.15">
      <c r="A26" s="19">
        <v>71</v>
      </c>
      <c r="B26" s="20" t="s">
        <v>39</v>
      </c>
      <c r="C26" s="100">
        <f t="shared" ref="C26:E26" si="1">SUM(C27:C31)</f>
        <v>7622275.3499999996</v>
      </c>
      <c r="D26" s="100">
        <f t="shared" si="1"/>
        <v>8378930.25</v>
      </c>
      <c r="E26" s="100">
        <f t="shared" si="1"/>
        <v>6854379.29</v>
      </c>
      <c r="F26" s="15"/>
      <c r="G26" s="8"/>
    </row>
    <row r="27" spans="1:8" ht="13" x14ac:dyDescent="0.15">
      <c r="A27" s="44">
        <v>711</v>
      </c>
      <c r="B27" s="45" t="s">
        <v>40</v>
      </c>
      <c r="C27" s="61">
        <v>2735886.63</v>
      </c>
      <c r="D27" s="61">
        <v>3249519.75</v>
      </c>
      <c r="E27" s="162">
        <v>2856182.8</v>
      </c>
      <c r="F27" s="41"/>
      <c r="G27" s="8"/>
    </row>
    <row r="28" spans="1:8" ht="13" x14ac:dyDescent="0.15">
      <c r="A28" s="44">
        <v>713</v>
      </c>
      <c r="B28" s="45" t="s">
        <v>41</v>
      </c>
      <c r="C28" s="61">
        <v>315837.53999999998</v>
      </c>
      <c r="D28" s="61">
        <v>328089.12</v>
      </c>
      <c r="E28" s="162">
        <v>449824.9</v>
      </c>
      <c r="F28" s="41"/>
      <c r="G28" s="8"/>
    </row>
    <row r="29" spans="1:8" ht="13" x14ac:dyDescent="0.15">
      <c r="A29" s="44">
        <v>714</v>
      </c>
      <c r="B29" s="45" t="s">
        <v>42</v>
      </c>
      <c r="C29" s="84">
        <f>3479.1+2430.16+32983.37</f>
        <v>38892.630000000005</v>
      </c>
      <c r="D29" s="84">
        <f>1976.7+1029.46</f>
        <v>3006.16</v>
      </c>
      <c r="E29" s="84">
        <f>8085.34+4220.79+2138.44+7970.2</f>
        <v>22414.77</v>
      </c>
      <c r="F29" s="41"/>
      <c r="G29" s="8"/>
    </row>
    <row r="30" spans="1:8" ht="13" x14ac:dyDescent="0.15">
      <c r="A30" s="80"/>
      <c r="B30" s="45" t="s">
        <v>66</v>
      </c>
      <c r="C30" s="84">
        <f>56033.75+86395.5+60262.85+963292.64+99141.76+44436.87</f>
        <v>1309563.3700000001</v>
      </c>
      <c r="D30" s="84">
        <f>17478.43+73270.03+9800.06+1469052.35+1419.66+41624.52</f>
        <v>1612645.05</v>
      </c>
      <c r="E30" s="84">
        <f>18340.08+2901951.89+5537.38+43395.66+92926.51+76911.1</f>
        <v>3139062.62</v>
      </c>
      <c r="F30" s="41"/>
      <c r="G30" s="8"/>
    </row>
    <row r="31" spans="1:8" ht="13" x14ac:dyDescent="0.15">
      <c r="A31" s="44">
        <v>715</v>
      </c>
      <c r="B31" s="45" t="s">
        <v>67</v>
      </c>
      <c r="C31" s="62">
        <v>3222095.18</v>
      </c>
      <c r="D31" s="61">
        <v>3185670.17</v>
      </c>
      <c r="E31" s="61">
        <v>386894.2</v>
      </c>
      <c r="F31" s="41"/>
      <c r="G31" s="8"/>
    </row>
    <row r="32" spans="1:8" ht="13" x14ac:dyDescent="0.15">
      <c r="A32" s="19">
        <v>72</v>
      </c>
      <c r="B32" s="113" t="s">
        <v>43</v>
      </c>
      <c r="C32" s="93">
        <v>24700</v>
      </c>
      <c r="D32" s="84"/>
      <c r="E32" s="97">
        <v>118100</v>
      </c>
      <c r="F32" s="48"/>
      <c r="G32" s="8"/>
    </row>
    <row r="33" spans="1:8" ht="13" x14ac:dyDescent="0.15">
      <c r="A33" s="115">
        <v>73</v>
      </c>
      <c r="B33" s="47" t="s">
        <v>68</v>
      </c>
      <c r="C33" s="213">
        <v>1147211.79</v>
      </c>
      <c r="D33" s="214">
        <v>2877382.62</v>
      </c>
      <c r="E33" s="214">
        <v>3890390.78</v>
      </c>
      <c r="F33" s="117"/>
      <c r="G33" s="8"/>
      <c r="H33" s="132"/>
    </row>
    <row r="34" spans="1:8" ht="13" x14ac:dyDescent="0.15">
      <c r="A34" s="19">
        <v>74</v>
      </c>
      <c r="B34" s="60" t="s">
        <v>44</v>
      </c>
      <c r="C34" s="110"/>
      <c r="D34" s="138"/>
      <c r="E34" s="137">
        <v>10000</v>
      </c>
      <c r="F34" s="18"/>
      <c r="G34" s="8"/>
    </row>
    <row r="35" spans="1:8" ht="13" x14ac:dyDescent="0.15">
      <c r="A35" s="44">
        <v>741</v>
      </c>
      <c r="B35" s="45" t="s">
        <v>45</v>
      </c>
      <c r="C35" s="110"/>
      <c r="D35" s="138"/>
      <c r="E35" s="138"/>
      <c r="F35" s="18"/>
      <c r="G35" s="8"/>
    </row>
    <row r="36" spans="1:8" ht="13" x14ac:dyDescent="0.15">
      <c r="A36" s="44">
        <v>742</v>
      </c>
      <c r="B36" s="45" t="s">
        <v>46</v>
      </c>
      <c r="C36" s="110"/>
      <c r="D36" s="138"/>
      <c r="E36" s="138"/>
      <c r="F36" s="18"/>
      <c r="G36" s="8"/>
    </row>
    <row r="37" spans="1:8" ht="13" x14ac:dyDescent="0.15">
      <c r="A37" s="80"/>
      <c r="B37" s="45" t="s">
        <v>81</v>
      </c>
      <c r="C37" s="110"/>
      <c r="D37" s="138"/>
      <c r="E37" s="111">
        <v>10000</v>
      </c>
      <c r="F37" s="18"/>
      <c r="G37" s="8"/>
    </row>
    <row r="38" spans="1:8" ht="13" x14ac:dyDescent="0.15">
      <c r="A38" s="19">
        <v>751</v>
      </c>
      <c r="B38" s="37" t="s">
        <v>63</v>
      </c>
      <c r="C38" s="83"/>
      <c r="D38" s="89"/>
      <c r="E38" s="89"/>
      <c r="F38" s="18"/>
      <c r="G38" s="8"/>
    </row>
    <row r="39" spans="1:8" ht="13" x14ac:dyDescent="0.15">
      <c r="A39" s="3"/>
      <c r="B39" s="37" t="s">
        <v>82</v>
      </c>
      <c r="C39" s="93">
        <v>8794187.1400000006</v>
      </c>
      <c r="D39" s="97">
        <v>11256312.869999999</v>
      </c>
      <c r="E39" s="97">
        <v>10872870.07</v>
      </c>
      <c r="F39" s="18"/>
      <c r="G39" s="8"/>
    </row>
    <row r="40" spans="1:8" ht="13" x14ac:dyDescent="0.15">
      <c r="A40" s="3"/>
      <c r="B40" s="103" t="s">
        <v>83</v>
      </c>
      <c r="C40" s="23"/>
      <c r="D40" s="157"/>
      <c r="E40" s="157"/>
      <c r="F40" s="105"/>
      <c r="G40" s="8"/>
    </row>
    <row r="41" spans="1:8" ht="13" x14ac:dyDescent="0.15">
      <c r="A41" s="3"/>
      <c r="B41" s="42" t="s">
        <v>84</v>
      </c>
      <c r="C41" s="102"/>
      <c r="D41" s="84"/>
      <c r="E41" s="84"/>
      <c r="F41" s="48"/>
      <c r="G41" s="8"/>
    </row>
    <row r="42" spans="1:8" ht="13" x14ac:dyDescent="0.15">
      <c r="A42" s="3"/>
      <c r="B42" s="42" t="s">
        <v>49</v>
      </c>
      <c r="C42" s="102"/>
      <c r="D42" s="84"/>
      <c r="E42" s="84"/>
      <c r="F42" s="48"/>
      <c r="G42" s="8"/>
    </row>
    <row r="43" spans="1:8" ht="13" x14ac:dyDescent="0.15">
      <c r="A43" s="3"/>
      <c r="B43" s="42" t="s">
        <v>51</v>
      </c>
      <c r="C43" s="102"/>
      <c r="D43" s="84"/>
      <c r="E43" s="84"/>
      <c r="F43" s="48"/>
      <c r="G43" s="8"/>
    </row>
    <row r="44" spans="1:8" ht="13" x14ac:dyDescent="0.15">
      <c r="A44" s="3"/>
      <c r="B44" s="42" t="s">
        <v>86</v>
      </c>
      <c r="C44" s="102"/>
      <c r="D44" s="84"/>
      <c r="E44" s="84"/>
      <c r="F44" s="48"/>
      <c r="G44" s="8"/>
    </row>
    <row r="45" spans="1:8" ht="13" x14ac:dyDescent="0.15">
      <c r="A45" s="3"/>
      <c r="B45" s="134"/>
      <c r="C45" s="102"/>
      <c r="D45" s="84"/>
      <c r="E45" s="84"/>
      <c r="F45" s="105"/>
      <c r="G45" s="8"/>
    </row>
    <row r="46" spans="1:8" ht="19.5" customHeight="1" x14ac:dyDescent="0.15">
      <c r="B46" s="140"/>
      <c r="C46" s="140"/>
      <c r="D46" s="141"/>
      <c r="E46" s="140"/>
      <c r="F46" s="140"/>
    </row>
    <row r="47" spans="1:8" ht="19.5" customHeight="1" x14ac:dyDescent="0.15">
      <c r="B47" s="148" t="s">
        <v>96</v>
      </c>
      <c r="C47" s="1"/>
      <c r="D47" s="150"/>
      <c r="E47" s="1"/>
    </row>
    <row r="48" spans="1:8" ht="19.5" customHeight="1" x14ac:dyDescent="0.15">
      <c r="A48" s="3"/>
      <c r="B48" s="151" t="s">
        <v>106</v>
      </c>
      <c r="C48" s="114"/>
      <c r="D48" s="139"/>
      <c r="E48" s="158"/>
      <c r="F48" s="8"/>
    </row>
    <row r="49" spans="1:6" ht="24" customHeight="1" x14ac:dyDescent="0.15">
      <c r="A49" s="3"/>
      <c r="B49" s="153" t="s">
        <v>253</v>
      </c>
      <c r="C49" s="111">
        <v>341775.61</v>
      </c>
      <c r="D49" s="152">
        <v>360302.86</v>
      </c>
      <c r="E49" s="241">
        <v>486278.22</v>
      </c>
      <c r="F49" s="8"/>
    </row>
    <row r="50" spans="1:6" ht="24" customHeight="1" x14ac:dyDescent="0.15">
      <c r="A50" s="3"/>
      <c r="B50" s="153" t="s">
        <v>153</v>
      </c>
      <c r="C50" s="111">
        <v>117211.34</v>
      </c>
      <c r="D50" s="152">
        <v>130163.84</v>
      </c>
      <c r="E50" s="241">
        <v>90138.23</v>
      </c>
      <c r="F50" s="8"/>
    </row>
    <row r="51" spans="1:6" ht="24" customHeight="1" x14ac:dyDescent="0.15">
      <c r="A51" s="3"/>
      <c r="B51" s="166" t="s">
        <v>323</v>
      </c>
      <c r="C51" s="111">
        <v>177827.97</v>
      </c>
      <c r="D51" s="152">
        <v>185534.65</v>
      </c>
      <c r="E51" s="241">
        <v>213236.98</v>
      </c>
      <c r="F51" s="8"/>
    </row>
    <row r="52" spans="1:6" ht="24" customHeight="1" x14ac:dyDescent="0.15">
      <c r="A52" s="3"/>
      <c r="B52" s="166" t="s">
        <v>324</v>
      </c>
      <c r="C52" s="111">
        <v>686869.65</v>
      </c>
      <c r="D52" s="152">
        <v>149163.68</v>
      </c>
      <c r="E52" s="241">
        <v>121894.72</v>
      </c>
      <c r="F52" s="8"/>
    </row>
    <row r="53" spans="1:6" ht="24" customHeight="1" x14ac:dyDescent="0.15">
      <c r="A53" s="3"/>
      <c r="B53" s="166" t="s">
        <v>136</v>
      </c>
      <c r="C53" s="111">
        <v>142342.54</v>
      </c>
      <c r="D53" s="152">
        <v>156877.59</v>
      </c>
      <c r="E53" s="241">
        <v>125180.48</v>
      </c>
      <c r="F53" s="8"/>
    </row>
    <row r="54" spans="1:6" ht="24" customHeight="1" x14ac:dyDescent="0.15">
      <c r="A54" s="3"/>
      <c r="B54" s="166" t="s">
        <v>308</v>
      </c>
      <c r="C54" s="111">
        <v>1281310.6200000001</v>
      </c>
      <c r="D54" s="152">
        <v>2152211.54</v>
      </c>
      <c r="E54" s="241">
        <v>2215110.33</v>
      </c>
      <c r="F54" s="8"/>
    </row>
    <row r="55" spans="1:6" ht="24" customHeight="1" x14ac:dyDescent="0.15">
      <c r="A55" s="3"/>
      <c r="B55" s="153" t="s">
        <v>134</v>
      </c>
      <c r="C55" s="111">
        <v>33153.449999999997</v>
      </c>
      <c r="D55" s="152">
        <v>34119.040000000001</v>
      </c>
      <c r="E55" s="241">
        <v>51515.89</v>
      </c>
      <c r="F55" s="8"/>
    </row>
    <row r="56" spans="1:6" ht="24" customHeight="1" x14ac:dyDescent="0.15">
      <c r="A56" s="3"/>
      <c r="B56" s="166" t="s">
        <v>325</v>
      </c>
      <c r="C56" s="111">
        <v>931268.32</v>
      </c>
      <c r="D56" s="152">
        <v>982534.55</v>
      </c>
      <c r="E56" s="241">
        <v>1293866.19</v>
      </c>
      <c r="F56" s="8"/>
    </row>
    <row r="57" spans="1:6" ht="24" customHeight="1" x14ac:dyDescent="0.15">
      <c r="A57" s="3"/>
      <c r="B57" s="166" t="s">
        <v>167</v>
      </c>
      <c r="C57" s="111">
        <v>167045.69</v>
      </c>
      <c r="D57" s="152">
        <v>182800.54</v>
      </c>
      <c r="E57" s="241">
        <v>228864.7</v>
      </c>
      <c r="F57" s="8"/>
    </row>
    <row r="58" spans="1:6" ht="24" customHeight="1" x14ac:dyDescent="0.15">
      <c r="A58" s="3"/>
      <c r="B58" s="166" t="s">
        <v>320</v>
      </c>
      <c r="C58" s="114"/>
      <c r="D58" s="139"/>
      <c r="E58" s="241">
        <v>53892.23</v>
      </c>
      <c r="F58" s="8"/>
    </row>
    <row r="59" spans="1:6" ht="24" customHeight="1" x14ac:dyDescent="0.15">
      <c r="A59" s="3"/>
      <c r="B59" s="166" t="s">
        <v>248</v>
      </c>
      <c r="C59" s="111">
        <v>220114.2</v>
      </c>
      <c r="D59" s="152">
        <v>208497.9</v>
      </c>
      <c r="E59" s="158"/>
      <c r="F59" s="8"/>
    </row>
    <row r="60" spans="1:6" ht="24" customHeight="1" x14ac:dyDescent="0.15">
      <c r="A60" s="3"/>
      <c r="B60" s="166" t="s">
        <v>327</v>
      </c>
      <c r="C60" s="111">
        <v>1820697.64</v>
      </c>
      <c r="D60" s="152">
        <v>2826152.68</v>
      </c>
      <c r="E60" s="241">
        <v>2487120.12</v>
      </c>
      <c r="F60" s="8"/>
    </row>
    <row r="61" spans="1:6" ht="19.5" customHeight="1" x14ac:dyDescent="0.15">
      <c r="A61" s="3"/>
      <c r="B61" s="169"/>
      <c r="C61" s="114"/>
      <c r="D61" s="139"/>
      <c r="E61" s="158"/>
      <c r="F61" s="8"/>
    </row>
    <row r="62" spans="1:6" ht="19.5" customHeight="1" x14ac:dyDescent="0.15">
      <c r="A62" s="3"/>
      <c r="B62" s="151" t="s">
        <v>142</v>
      </c>
      <c r="C62" s="210">
        <v>6816311</v>
      </c>
      <c r="D62" s="211">
        <v>7368358.8700000001</v>
      </c>
      <c r="E62" s="210">
        <v>7367098.0899999999</v>
      </c>
      <c r="F62" s="8"/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3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35</v>
      </c>
      <c r="C2" s="4">
        <v>2009</v>
      </c>
      <c r="D2" s="4">
        <v>2010</v>
      </c>
      <c r="E2" s="21">
        <v>2011</v>
      </c>
      <c r="F2" s="10"/>
    </row>
    <row r="3" spans="1:6" ht="13" x14ac:dyDescent="0.15">
      <c r="A3" s="3"/>
      <c r="B3" s="9" t="s">
        <v>22</v>
      </c>
      <c r="C3" s="11"/>
      <c r="D3" s="90"/>
      <c r="E3" s="91"/>
      <c r="F3" s="14"/>
    </row>
    <row r="4" spans="1:6" ht="13" x14ac:dyDescent="0.15">
      <c r="A4" s="3"/>
      <c r="B4" s="15"/>
      <c r="C4" s="16"/>
      <c r="D4" s="18"/>
      <c r="E4" s="89"/>
      <c r="F4" s="18"/>
    </row>
    <row r="5" spans="1:6" ht="13" x14ac:dyDescent="0.15">
      <c r="A5" s="19">
        <v>41</v>
      </c>
      <c r="B5" s="20" t="s">
        <v>0</v>
      </c>
      <c r="C5" s="24">
        <f t="shared" ref="C5:E5" si="0">SUM(C6:C13)</f>
        <v>2640688.04</v>
      </c>
      <c r="D5" s="30">
        <f t="shared" si="0"/>
        <v>2287973.5099999998</v>
      </c>
      <c r="E5" s="100">
        <f t="shared" si="0"/>
        <v>1907415.5199999998</v>
      </c>
      <c r="F5" s="18"/>
    </row>
    <row r="6" spans="1:6" ht="13" x14ac:dyDescent="0.15">
      <c r="A6" s="19">
        <v>411</v>
      </c>
      <c r="B6" s="36" t="s">
        <v>38</v>
      </c>
      <c r="C6" s="66">
        <f>1060385.03+170888.17+297213.69+208229.12+21752.99</f>
        <v>1758468.9999999998</v>
      </c>
      <c r="D6" s="48">
        <f>866231.32+115101.11+320913.45+126580.64+14520.14</f>
        <v>1443346.6599999997</v>
      </c>
      <c r="E6" s="84">
        <f>1330157.24+5867.49+12130.43+3743.62+704.96</f>
        <v>1352603.74</v>
      </c>
      <c r="F6" s="41"/>
    </row>
    <row r="7" spans="1:6" ht="13" x14ac:dyDescent="0.15">
      <c r="A7" s="19">
        <v>412</v>
      </c>
      <c r="B7" s="42" t="s">
        <v>54</v>
      </c>
      <c r="C7" s="66">
        <f>58910.6+31646.25+14900+113960.6+70037.6+3330+3828</f>
        <v>296613.05000000005</v>
      </c>
      <c r="D7" s="48">
        <f>32669.2+35300+600+10325.12+8379.17</f>
        <v>87273.489999999991</v>
      </c>
      <c r="E7" s="84">
        <f>27580+99465+22837.92</f>
        <v>149882.91999999998</v>
      </c>
      <c r="F7" s="41"/>
    </row>
    <row r="8" spans="1:6" ht="13" x14ac:dyDescent="0.15">
      <c r="A8" s="19">
        <v>413</v>
      </c>
      <c r="B8" s="42" t="s">
        <v>3</v>
      </c>
      <c r="C8" s="66">
        <f>21464.64+590+1096+1873.96+5693.69+8998.57+14651.48+62142.29+40888.58+135203.51+22827.1+17295.47+3652.18+10575.93+2751+14834.5+70+1404+96695.65+6229.02</f>
        <v>468937.57000000007</v>
      </c>
      <c r="D8" s="48">
        <f>19173.6+973.8+15235.93+12068.19+67340.86+40220.27+24267.8+23680+18032.17+105+10349.66+784+61060.15+50+585+43980.8+4680+5061.04+93091.51</f>
        <v>440739.77999999997</v>
      </c>
      <c r="E8" s="84">
        <f>14104.6+549.8+4285.2+6669.17+2972.99+44253.63+21208+27859+16824.12+1141.37+7795.73+3500.51+34704.91+6841+3917.62+11538.79+4680+6127.47+9173.02</f>
        <v>228146.93</v>
      </c>
      <c r="F8" s="41"/>
    </row>
    <row r="9" spans="1:6" ht="13" x14ac:dyDescent="0.15">
      <c r="A9" s="44">
        <v>414</v>
      </c>
      <c r="B9" s="36" t="s">
        <v>5</v>
      </c>
      <c r="C9" s="66">
        <f>85262.1+939.65+26985.41</f>
        <v>113187.16</v>
      </c>
      <c r="D9" s="48">
        <f>286350.74+4534.8+22783.94</f>
        <v>313669.48</v>
      </c>
      <c r="E9" s="84">
        <f>157393.22+112+19276.71</f>
        <v>176781.93</v>
      </c>
      <c r="F9" s="41"/>
    </row>
    <row r="10" spans="1:6" ht="13" x14ac:dyDescent="0.15">
      <c r="A10" s="19">
        <v>415</v>
      </c>
      <c r="B10" s="45" t="s">
        <v>6</v>
      </c>
      <c r="C10" s="38">
        <v>3021.26</v>
      </c>
      <c r="D10" s="39">
        <v>2944.1</v>
      </c>
      <c r="E10" s="84"/>
      <c r="F10" s="41"/>
    </row>
    <row r="11" spans="1:6" ht="13" x14ac:dyDescent="0.15">
      <c r="A11" s="19">
        <v>416</v>
      </c>
      <c r="B11" s="36" t="s">
        <v>7</v>
      </c>
      <c r="C11" s="66"/>
      <c r="D11" s="48"/>
      <c r="E11" s="84"/>
      <c r="F11" s="41"/>
    </row>
    <row r="12" spans="1:6" ht="13" x14ac:dyDescent="0.15">
      <c r="A12" s="19">
        <v>417</v>
      </c>
      <c r="B12" s="36" t="s">
        <v>8</v>
      </c>
      <c r="C12" s="38">
        <v>460</v>
      </c>
      <c r="D12" s="48"/>
      <c r="E12" s="84"/>
      <c r="F12" s="41"/>
    </row>
    <row r="13" spans="1:6" ht="13" x14ac:dyDescent="0.15">
      <c r="A13" s="19">
        <v>418</v>
      </c>
      <c r="B13" s="36" t="s">
        <v>55</v>
      </c>
      <c r="C13" s="66"/>
      <c r="D13" s="48"/>
      <c r="E13" s="84"/>
      <c r="F13" s="41"/>
    </row>
    <row r="14" spans="1:6" ht="13" x14ac:dyDescent="0.15">
      <c r="A14" s="19">
        <v>42</v>
      </c>
      <c r="B14" s="47" t="s">
        <v>9</v>
      </c>
      <c r="C14" s="56">
        <v>2200.4699999999998</v>
      </c>
      <c r="D14" s="57">
        <v>1150</v>
      </c>
      <c r="E14" s="89"/>
      <c r="F14" s="41"/>
    </row>
    <row r="15" spans="1:6" ht="16.5" customHeight="1" x14ac:dyDescent="0.15">
      <c r="A15" s="49">
        <v>43</v>
      </c>
      <c r="B15" s="60" t="s">
        <v>10</v>
      </c>
      <c r="C15" s="108">
        <f t="shared" ref="C15:E15" si="1">C19+C18+C17+C16</f>
        <v>585116.4</v>
      </c>
      <c r="D15" s="109">
        <f t="shared" si="1"/>
        <v>555642.23</v>
      </c>
      <c r="E15" s="110">
        <f t="shared" si="1"/>
        <v>558097.30000000005</v>
      </c>
      <c r="F15" s="18"/>
    </row>
    <row r="16" spans="1:6" ht="13" x14ac:dyDescent="0.15">
      <c r="A16" s="44" t="s">
        <v>58</v>
      </c>
      <c r="B16" s="45" t="s">
        <v>11</v>
      </c>
      <c r="C16" s="40">
        <v>85326.5</v>
      </c>
      <c r="D16" s="43">
        <v>70536</v>
      </c>
      <c r="E16" s="111">
        <v>37457.75</v>
      </c>
      <c r="F16" s="18"/>
    </row>
    <row r="17" spans="1:6" ht="31.5" customHeight="1" x14ac:dyDescent="0.15">
      <c r="A17" s="44" t="s">
        <v>59</v>
      </c>
      <c r="B17" s="45" t="s">
        <v>12</v>
      </c>
      <c r="C17" s="67">
        <f>700+13542.55</f>
        <v>14242.55</v>
      </c>
      <c r="D17" s="46">
        <f>9900+12046.36+26118.96</f>
        <v>48065.32</v>
      </c>
      <c r="E17" s="114">
        <f>4900+58083.88</f>
        <v>62983.88</v>
      </c>
      <c r="F17" s="18"/>
    </row>
    <row r="18" spans="1:6" ht="13" x14ac:dyDescent="0.15">
      <c r="A18" s="44" t="s">
        <v>60</v>
      </c>
      <c r="B18" s="74" t="s">
        <v>13</v>
      </c>
      <c r="C18" s="46">
        <f>34250+12360+20980</f>
        <v>67590</v>
      </c>
      <c r="D18" s="67">
        <f>48600.9+9600+21059.99</f>
        <v>79260.89</v>
      </c>
      <c r="E18" s="84">
        <f>13590+20880+43145</f>
        <v>77615</v>
      </c>
      <c r="F18" s="88"/>
    </row>
    <row r="19" spans="1:6" ht="13" x14ac:dyDescent="0.15">
      <c r="A19" s="44" t="s">
        <v>61</v>
      </c>
      <c r="B19" s="74" t="s">
        <v>62</v>
      </c>
      <c r="C19" s="46">
        <f>300+60+1710+203812.6+84441.31+65247.44+62386</f>
        <v>417957.35000000003</v>
      </c>
      <c r="D19" s="67">
        <f>500+25+146459.2+71555.53+52650+52000+34590.29</f>
        <v>357780.01999999996</v>
      </c>
      <c r="E19" s="84">
        <f>1000+550+218043.37+40000+50047.09+35569.69+34830.52</f>
        <v>380040.67</v>
      </c>
      <c r="F19" s="95"/>
    </row>
    <row r="20" spans="1:6" ht="13" x14ac:dyDescent="0.15">
      <c r="A20" s="19">
        <v>44</v>
      </c>
      <c r="B20" s="37" t="s">
        <v>14</v>
      </c>
      <c r="C20" s="16">
        <f>10445.61+281607.17+2132.41+9846.69</f>
        <v>304031.87999999995</v>
      </c>
      <c r="D20" s="18">
        <f>30000+109807.98+29359.43+359985.1+5920.4+300</f>
        <v>535372.91</v>
      </c>
      <c r="E20" s="89">
        <f>13179.68+59453.96+12427.93+20872.6</f>
        <v>105934.17000000001</v>
      </c>
      <c r="F20" s="18"/>
    </row>
    <row r="21" spans="1:6" ht="13" x14ac:dyDescent="0.15">
      <c r="A21" s="19">
        <v>45</v>
      </c>
      <c r="B21" s="47" t="s">
        <v>63</v>
      </c>
      <c r="C21" s="16"/>
      <c r="D21" s="18"/>
      <c r="E21" s="89"/>
      <c r="F21" s="18"/>
    </row>
    <row r="22" spans="1:6" ht="13" x14ac:dyDescent="0.15">
      <c r="A22" s="19">
        <v>46</v>
      </c>
      <c r="B22" s="20" t="s">
        <v>16</v>
      </c>
      <c r="C22" s="16">
        <f>252006.27+764835.77</f>
        <v>1016842.04</v>
      </c>
      <c r="D22" s="18">
        <f>196435.63+1001496.91</f>
        <v>1197932.54</v>
      </c>
      <c r="E22" s="89">
        <f>21279.08+2277735.58</f>
        <v>2299014.66</v>
      </c>
      <c r="F22" s="18"/>
    </row>
    <row r="23" spans="1:6" ht="13" x14ac:dyDescent="0.15">
      <c r="A23" s="19">
        <v>47</v>
      </c>
      <c r="B23" s="20" t="s">
        <v>17</v>
      </c>
      <c r="C23" s="16"/>
      <c r="D23" s="18">
        <f>9950+20161</f>
        <v>30111</v>
      </c>
      <c r="E23" s="97">
        <v>100000</v>
      </c>
      <c r="F23" s="18"/>
    </row>
    <row r="24" spans="1:6" ht="13" x14ac:dyDescent="0.15">
      <c r="A24" s="3"/>
      <c r="B24" s="20" t="s">
        <v>18</v>
      </c>
      <c r="C24" s="120">
        <v>4630399.4000000004</v>
      </c>
      <c r="D24" s="121">
        <v>4608182.1900000004</v>
      </c>
      <c r="E24" s="133">
        <v>4970461.6500000004</v>
      </c>
      <c r="F24" s="18"/>
    </row>
    <row r="25" spans="1:6" ht="13" x14ac:dyDescent="0.15">
      <c r="A25" s="3"/>
      <c r="B25" s="103" t="s">
        <v>64</v>
      </c>
      <c r="C25" s="104"/>
      <c r="D25" s="105"/>
      <c r="E25" s="157"/>
      <c r="F25" s="105"/>
    </row>
    <row r="26" spans="1:6" ht="13" x14ac:dyDescent="0.15">
      <c r="A26" s="19">
        <v>71</v>
      </c>
      <c r="B26" s="20" t="s">
        <v>39</v>
      </c>
      <c r="C26" s="30">
        <f t="shared" ref="C26:E26" si="2">SUM(C27:C31)</f>
        <v>3259667.73</v>
      </c>
      <c r="D26" s="30">
        <f t="shared" si="2"/>
        <v>3345063.4299999997</v>
      </c>
      <c r="E26" s="100">
        <f t="shared" si="2"/>
        <v>2477509.27</v>
      </c>
      <c r="F26" s="15"/>
    </row>
    <row r="27" spans="1:6" ht="13" x14ac:dyDescent="0.15">
      <c r="A27" s="44">
        <v>711</v>
      </c>
      <c r="B27" s="45" t="s">
        <v>40</v>
      </c>
      <c r="C27" s="39">
        <v>1842118.44</v>
      </c>
      <c r="D27" s="39">
        <v>1754506.33</v>
      </c>
      <c r="E27" s="61">
        <v>1680647.82</v>
      </c>
      <c r="F27" s="41"/>
    </row>
    <row r="28" spans="1:6" ht="13" x14ac:dyDescent="0.15">
      <c r="A28" s="44">
        <v>713</v>
      </c>
      <c r="B28" s="45" t="s">
        <v>41</v>
      </c>
      <c r="C28" s="39">
        <v>354500.42</v>
      </c>
      <c r="D28" s="39">
        <v>305693.38</v>
      </c>
      <c r="E28" s="61">
        <v>289642.64</v>
      </c>
      <c r="F28" s="41"/>
    </row>
    <row r="29" spans="1:6" ht="13" x14ac:dyDescent="0.15">
      <c r="A29" s="44">
        <v>714</v>
      </c>
      <c r="B29" s="45" t="s">
        <v>42</v>
      </c>
      <c r="C29" s="48">
        <f>11921.26+5149.16</f>
        <v>17070.419999999998</v>
      </c>
      <c r="D29" s="39">
        <v>8189.03</v>
      </c>
      <c r="E29" s="84">
        <f>29643.79+350.34</f>
        <v>29994.13</v>
      </c>
      <c r="F29" s="41"/>
    </row>
    <row r="30" spans="1:6" ht="13" x14ac:dyDescent="0.15">
      <c r="A30" s="80"/>
      <c r="B30" s="45" t="s">
        <v>66</v>
      </c>
      <c r="C30" s="48">
        <f>340442.61+457990.7+124541.99+52662.34+59.9</f>
        <v>975697.54</v>
      </c>
      <c r="D30" s="48">
        <f>1188940.84-D29</f>
        <v>1180751.81</v>
      </c>
      <c r="E30" s="84">
        <f>20973+202820.86+87323.89+46614.9+10821.12+50659.91+446.1</f>
        <v>419659.78</v>
      </c>
      <c r="F30" s="41"/>
    </row>
    <row r="31" spans="1:6" ht="13" x14ac:dyDescent="0.15">
      <c r="A31" s="44">
        <v>715</v>
      </c>
      <c r="B31" s="45" t="s">
        <v>67</v>
      </c>
      <c r="C31" s="38">
        <v>70280.91</v>
      </c>
      <c r="D31" s="39">
        <v>95922.880000000005</v>
      </c>
      <c r="E31" s="62">
        <v>57564.9</v>
      </c>
      <c r="F31" s="41"/>
    </row>
    <row r="32" spans="1:6" ht="13" x14ac:dyDescent="0.15">
      <c r="A32" s="19">
        <v>72</v>
      </c>
      <c r="B32" s="113" t="s">
        <v>43</v>
      </c>
      <c r="C32" s="16"/>
      <c r="D32" s="48"/>
      <c r="E32" s="93">
        <v>320040</v>
      </c>
      <c r="F32" s="48"/>
    </row>
    <row r="33" spans="1:6" ht="18" customHeight="1" x14ac:dyDescent="0.15">
      <c r="A33" s="115">
        <v>73</v>
      </c>
      <c r="B33" s="47" t="s">
        <v>68</v>
      </c>
      <c r="C33" s="131">
        <v>350402.72</v>
      </c>
      <c r="D33" s="131">
        <v>5956.52</v>
      </c>
      <c r="E33" s="187">
        <v>14183.32</v>
      </c>
      <c r="F33" s="117"/>
    </row>
    <row r="34" spans="1:6" ht="13" x14ac:dyDescent="0.15">
      <c r="A34" s="19">
        <v>74</v>
      </c>
      <c r="B34" s="60" t="s">
        <v>44</v>
      </c>
      <c r="C34" s="108">
        <f>98690+721116.75</f>
        <v>819806.75</v>
      </c>
      <c r="D34" s="109">
        <f>314440.16+754779</f>
        <v>1069219.1599999999</v>
      </c>
      <c r="E34" s="110">
        <f>87072.68+503154.84</f>
        <v>590227.52</v>
      </c>
      <c r="F34" s="18"/>
    </row>
    <row r="35" spans="1:6" ht="13" x14ac:dyDescent="0.15">
      <c r="A35" s="44">
        <v>741</v>
      </c>
      <c r="B35" s="45" t="s">
        <v>45</v>
      </c>
      <c r="C35" s="191"/>
      <c r="D35" s="109"/>
      <c r="E35" s="230"/>
      <c r="F35" s="18"/>
    </row>
    <row r="36" spans="1:6" ht="13" x14ac:dyDescent="0.15">
      <c r="A36" s="44">
        <v>742</v>
      </c>
      <c r="B36" s="45" t="s">
        <v>46</v>
      </c>
      <c r="C36" s="40">
        <v>720659</v>
      </c>
      <c r="D36" s="43">
        <v>754779</v>
      </c>
      <c r="E36" s="111">
        <v>501954.84</v>
      </c>
      <c r="F36" s="18"/>
    </row>
    <row r="37" spans="1:6" ht="13" x14ac:dyDescent="0.15">
      <c r="A37" s="80"/>
      <c r="B37" s="45" t="s">
        <v>81</v>
      </c>
      <c r="C37" s="111" t="s">
        <v>300</v>
      </c>
      <c r="D37" s="111" t="s">
        <v>301</v>
      </c>
      <c r="E37" s="111" t="s">
        <v>302</v>
      </c>
      <c r="F37" s="18"/>
    </row>
    <row r="38" spans="1:6" ht="13" x14ac:dyDescent="0.15">
      <c r="A38" s="19">
        <v>751</v>
      </c>
      <c r="B38" s="37" t="s">
        <v>63</v>
      </c>
      <c r="C38" s="56">
        <v>206478.72</v>
      </c>
      <c r="D38" s="57">
        <v>202126.4</v>
      </c>
      <c r="E38" s="93">
        <v>1644816.41</v>
      </c>
      <c r="F38" s="18"/>
    </row>
    <row r="39" spans="1:6" ht="13" x14ac:dyDescent="0.15">
      <c r="A39" s="3"/>
      <c r="B39" s="37" t="s">
        <v>82</v>
      </c>
      <c r="C39" s="56">
        <v>4636355.92</v>
      </c>
      <c r="D39" s="57">
        <v>4622365.51</v>
      </c>
      <c r="E39" s="93">
        <v>5046776.5199999996</v>
      </c>
      <c r="F39" s="18"/>
    </row>
    <row r="40" spans="1:6" ht="13" x14ac:dyDescent="0.15">
      <c r="A40" s="3"/>
      <c r="B40" s="103" t="s">
        <v>83</v>
      </c>
      <c r="C40" s="104"/>
      <c r="D40" s="105"/>
      <c r="E40" s="157"/>
      <c r="F40" s="105"/>
    </row>
    <row r="41" spans="1:6" ht="13" x14ac:dyDescent="0.15">
      <c r="A41" s="3"/>
      <c r="B41" s="42" t="s">
        <v>84</v>
      </c>
      <c r="C41" s="66"/>
      <c r="D41" s="48"/>
      <c r="E41" s="84"/>
      <c r="F41" s="48"/>
    </row>
    <row r="42" spans="1:6" ht="13" x14ac:dyDescent="0.15">
      <c r="A42" s="3"/>
      <c r="B42" s="42" t="s">
        <v>49</v>
      </c>
      <c r="C42" s="66"/>
      <c r="D42" s="48"/>
      <c r="E42" s="84"/>
      <c r="F42" s="48"/>
    </row>
    <row r="43" spans="1:6" ht="13" x14ac:dyDescent="0.15">
      <c r="A43" s="3"/>
      <c r="B43" s="42" t="s">
        <v>51</v>
      </c>
      <c r="C43" s="66"/>
      <c r="D43" s="48"/>
      <c r="E43" s="84"/>
      <c r="F43" s="48"/>
    </row>
    <row r="44" spans="1:6" ht="13" x14ac:dyDescent="0.15">
      <c r="A44" s="3"/>
      <c r="B44" s="42" t="s">
        <v>86</v>
      </c>
      <c r="C44" s="66"/>
      <c r="D44" s="48"/>
      <c r="E44" s="84"/>
      <c r="F44" s="48"/>
    </row>
    <row r="45" spans="1:6" ht="13" x14ac:dyDescent="0.15">
      <c r="A45" s="3"/>
      <c r="B45" s="134"/>
      <c r="C45" s="104"/>
      <c r="D45" s="105"/>
      <c r="E45" s="157"/>
      <c r="F45" s="105"/>
    </row>
    <row r="46" spans="1:6" ht="20.25" customHeight="1" x14ac:dyDescent="0.15">
      <c r="B46" s="140"/>
      <c r="C46" s="140"/>
      <c r="D46" s="140"/>
      <c r="E46" s="140"/>
      <c r="F46" s="140"/>
    </row>
    <row r="47" spans="1:6" ht="19.5" customHeight="1" x14ac:dyDescent="0.15">
      <c r="B47" s="148" t="s">
        <v>96</v>
      </c>
      <c r="C47" s="1"/>
      <c r="D47" s="1"/>
      <c r="E47" s="1"/>
    </row>
    <row r="48" spans="1:6" ht="19.5" customHeight="1" x14ac:dyDescent="0.15">
      <c r="A48" s="3"/>
      <c r="B48" s="151" t="s">
        <v>106</v>
      </c>
      <c r="C48" s="167"/>
      <c r="D48" s="167"/>
      <c r="E48" s="167"/>
      <c r="F48" s="8"/>
    </row>
    <row r="49" spans="1:6" ht="24" customHeight="1" x14ac:dyDescent="0.15">
      <c r="A49" s="3"/>
      <c r="B49" s="153" t="s">
        <v>158</v>
      </c>
      <c r="C49" s="159">
        <v>412133.17</v>
      </c>
      <c r="D49" s="159">
        <v>350137.18</v>
      </c>
      <c r="E49" s="159">
        <v>232066.87</v>
      </c>
      <c r="F49" s="8"/>
    </row>
    <row r="50" spans="1:6" ht="24" customHeight="1" x14ac:dyDescent="0.15">
      <c r="A50" s="3"/>
      <c r="B50" s="153" t="s">
        <v>305</v>
      </c>
      <c r="C50" s="159">
        <v>213328.97</v>
      </c>
      <c r="D50" s="159">
        <v>130184.05</v>
      </c>
      <c r="E50" s="159">
        <v>257571.53</v>
      </c>
      <c r="F50" s="8"/>
    </row>
    <row r="51" spans="1:6" ht="24" customHeight="1" x14ac:dyDescent="0.15">
      <c r="A51" s="3"/>
      <c r="B51" s="166" t="s">
        <v>306</v>
      </c>
      <c r="C51" s="159">
        <v>625543.69999999995</v>
      </c>
      <c r="D51" s="159">
        <v>555955.56000000006</v>
      </c>
      <c r="E51" s="159">
        <v>557869.42000000004</v>
      </c>
      <c r="F51" s="8"/>
    </row>
    <row r="52" spans="1:6" ht="24" customHeight="1" x14ac:dyDescent="0.15">
      <c r="A52" s="3"/>
      <c r="B52" s="166" t="s">
        <v>308</v>
      </c>
      <c r="C52" s="159">
        <v>1416389.14</v>
      </c>
      <c r="D52" s="159">
        <v>1605734.44</v>
      </c>
      <c r="E52" s="159">
        <v>2637277.94</v>
      </c>
      <c r="F52" s="8"/>
    </row>
    <row r="53" spans="1:6" ht="24" customHeight="1" x14ac:dyDescent="0.15">
      <c r="A53" s="3"/>
      <c r="B53" s="166" t="s">
        <v>309</v>
      </c>
      <c r="C53" s="159">
        <v>117474.38</v>
      </c>
      <c r="D53" s="159">
        <v>137955.25</v>
      </c>
      <c r="E53" s="159">
        <v>110267.02</v>
      </c>
      <c r="F53" s="8"/>
    </row>
    <row r="54" spans="1:6" ht="24" customHeight="1" x14ac:dyDescent="0.15">
      <c r="A54" s="3"/>
      <c r="B54" s="153" t="s">
        <v>310</v>
      </c>
      <c r="C54" s="159">
        <v>666081.01</v>
      </c>
      <c r="D54" s="159">
        <v>953400.27</v>
      </c>
      <c r="E54" s="159">
        <v>338256.58</v>
      </c>
      <c r="F54" s="8"/>
    </row>
    <row r="55" spans="1:6" ht="24" customHeight="1" x14ac:dyDescent="0.15">
      <c r="A55" s="3"/>
      <c r="B55" s="153" t="s">
        <v>210</v>
      </c>
      <c r="C55" s="159">
        <v>287027.48</v>
      </c>
      <c r="D55" s="159">
        <v>176866.22</v>
      </c>
      <c r="E55" s="159">
        <v>155276.71</v>
      </c>
      <c r="F55" s="8"/>
    </row>
    <row r="56" spans="1:6" ht="24" customHeight="1" x14ac:dyDescent="0.15">
      <c r="A56" s="3"/>
      <c r="B56" s="166" t="s">
        <v>312</v>
      </c>
      <c r="C56" s="159">
        <v>114154.43</v>
      </c>
      <c r="D56" s="159">
        <v>80557.97</v>
      </c>
      <c r="E56" s="159">
        <v>86703.75</v>
      </c>
      <c r="F56" s="8"/>
    </row>
    <row r="57" spans="1:6" ht="24" customHeight="1" x14ac:dyDescent="0.15">
      <c r="A57" s="3"/>
      <c r="B57" s="166" t="s">
        <v>197</v>
      </c>
      <c r="C57" s="159">
        <v>63181.5</v>
      </c>
      <c r="D57" s="159">
        <v>50782.76</v>
      </c>
      <c r="E57" s="159">
        <v>54675.81</v>
      </c>
      <c r="F57" s="8"/>
    </row>
    <row r="58" spans="1:6" ht="24" customHeight="1" x14ac:dyDescent="0.15">
      <c r="A58" s="3"/>
      <c r="B58" s="166" t="s">
        <v>313</v>
      </c>
      <c r="C58" s="159">
        <v>53806.27</v>
      </c>
      <c r="D58" s="159">
        <v>35107.03</v>
      </c>
      <c r="E58" s="159">
        <v>30872.48</v>
      </c>
      <c r="F58" s="8"/>
    </row>
    <row r="59" spans="1:6" ht="24" customHeight="1" x14ac:dyDescent="0.15">
      <c r="A59" s="3"/>
      <c r="B59" s="166" t="s">
        <v>138</v>
      </c>
      <c r="C59" s="159">
        <v>240763</v>
      </c>
      <c r="D59" s="159">
        <v>232780.79999999999</v>
      </c>
      <c r="E59" s="159">
        <v>231901.67</v>
      </c>
      <c r="F59" s="8"/>
    </row>
    <row r="60" spans="1:6" ht="24" customHeight="1" x14ac:dyDescent="0.15">
      <c r="A60" s="3"/>
      <c r="B60" s="166" t="s">
        <v>121</v>
      </c>
      <c r="C60" s="159">
        <v>358294.3</v>
      </c>
      <c r="D60" s="159">
        <v>257429.41</v>
      </c>
      <c r="E60" s="159">
        <v>238764.06</v>
      </c>
      <c r="F60" s="8"/>
    </row>
    <row r="61" spans="1:6" ht="24" customHeight="1" x14ac:dyDescent="0.15">
      <c r="A61" s="3"/>
      <c r="B61" s="166" t="s">
        <v>315</v>
      </c>
      <c r="C61" s="159">
        <v>62222.05</v>
      </c>
      <c r="D61" s="159">
        <v>41291.25</v>
      </c>
      <c r="E61" s="159">
        <v>38957.81</v>
      </c>
      <c r="F61" s="8"/>
    </row>
    <row r="62" spans="1:6" ht="19.5" customHeight="1" x14ac:dyDescent="0.15">
      <c r="A62" s="3"/>
      <c r="B62" s="169"/>
      <c r="C62" s="167"/>
      <c r="D62" s="167"/>
      <c r="E62" s="167"/>
      <c r="F62" s="8"/>
    </row>
    <row r="63" spans="1:6" ht="19.5" customHeight="1" x14ac:dyDescent="0.15">
      <c r="A63" s="3"/>
      <c r="B63" s="151" t="s">
        <v>142</v>
      </c>
      <c r="C63" s="206">
        <v>4630399.4000000004</v>
      </c>
      <c r="D63" s="206">
        <v>4608182.1900000004</v>
      </c>
      <c r="E63" s="206">
        <v>4970461.6500000004</v>
      </c>
      <c r="F63" s="8"/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3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</cols>
  <sheetData>
    <row r="1" spans="1:6" ht="27.75" customHeight="1" x14ac:dyDescent="0.15">
      <c r="B1" s="1"/>
      <c r="C1" s="1"/>
      <c r="D1" s="1"/>
      <c r="E1" s="1"/>
      <c r="F1" s="1"/>
    </row>
    <row r="2" spans="1:6" ht="13" x14ac:dyDescent="0.15">
      <c r="A2" s="3"/>
      <c r="B2" s="4" t="s">
        <v>36</v>
      </c>
      <c r="C2" s="4">
        <v>2009</v>
      </c>
      <c r="D2" s="7">
        <v>2010</v>
      </c>
      <c r="E2" s="7">
        <v>2011</v>
      </c>
      <c r="F2" s="10"/>
    </row>
    <row r="3" spans="1:6" ht="13" x14ac:dyDescent="0.15">
      <c r="A3" s="3"/>
      <c r="B3" s="9" t="s">
        <v>22</v>
      </c>
      <c r="C3" s="11"/>
      <c r="D3" s="12"/>
      <c r="E3" s="13"/>
      <c r="F3" s="14"/>
    </row>
    <row r="4" spans="1:6" ht="13" x14ac:dyDescent="0.15">
      <c r="A4" s="3"/>
      <c r="B4" s="15"/>
      <c r="C4" s="16"/>
      <c r="D4" s="18"/>
      <c r="E4" s="18"/>
      <c r="F4" s="18"/>
    </row>
    <row r="5" spans="1:6" ht="13" x14ac:dyDescent="0.15">
      <c r="A5" s="19">
        <v>41</v>
      </c>
      <c r="B5" s="20" t="s">
        <v>0</v>
      </c>
      <c r="C5" s="24">
        <f t="shared" ref="C5:E5" si="0">SUM(C6:C13)</f>
        <v>847454.33999999985</v>
      </c>
      <c r="D5" s="30">
        <f t="shared" si="0"/>
        <v>677013.7</v>
      </c>
      <c r="E5" s="30">
        <f t="shared" si="0"/>
        <v>532642.04</v>
      </c>
      <c r="F5" s="18"/>
    </row>
    <row r="6" spans="1:6" ht="13" x14ac:dyDescent="0.15">
      <c r="A6" s="19">
        <v>411</v>
      </c>
      <c r="B6" s="37" t="s">
        <v>38</v>
      </c>
      <c r="C6" s="56">
        <v>534609.94999999995</v>
      </c>
      <c r="D6" s="57">
        <v>391477.95</v>
      </c>
      <c r="E6" s="57">
        <v>281687.52</v>
      </c>
      <c r="F6" s="41"/>
    </row>
    <row r="7" spans="1:6" ht="13" x14ac:dyDescent="0.15">
      <c r="A7" s="19">
        <v>412</v>
      </c>
      <c r="B7" s="58" t="s">
        <v>54</v>
      </c>
      <c r="C7" s="56">
        <v>86906.73</v>
      </c>
      <c r="D7" s="57">
        <v>74060.97</v>
      </c>
      <c r="E7" s="57">
        <v>45599.66</v>
      </c>
      <c r="F7" s="41"/>
    </row>
    <row r="8" spans="1:6" ht="13" x14ac:dyDescent="0.15">
      <c r="A8" s="19">
        <v>413</v>
      </c>
      <c r="B8" s="58" t="s">
        <v>3</v>
      </c>
      <c r="C8" s="56">
        <v>180127.01</v>
      </c>
      <c r="D8" s="57">
        <v>166905.59</v>
      </c>
      <c r="E8" s="57">
        <v>164209.24</v>
      </c>
      <c r="F8" s="41"/>
    </row>
    <row r="9" spans="1:6" ht="13" x14ac:dyDescent="0.15">
      <c r="A9" s="44">
        <v>414</v>
      </c>
      <c r="B9" s="37" t="s">
        <v>5</v>
      </c>
      <c r="C9" s="56">
        <v>7921.59</v>
      </c>
      <c r="D9" s="57">
        <v>6469.73</v>
      </c>
      <c r="E9" s="57">
        <v>6212.58</v>
      </c>
      <c r="F9" s="41"/>
    </row>
    <row r="10" spans="1:6" ht="13" x14ac:dyDescent="0.15">
      <c r="A10" s="19">
        <v>415</v>
      </c>
      <c r="B10" s="60" t="s">
        <v>6</v>
      </c>
      <c r="C10" s="16"/>
      <c r="D10" s="18"/>
      <c r="E10" s="18"/>
      <c r="F10" s="41"/>
    </row>
    <row r="11" spans="1:6" ht="13" x14ac:dyDescent="0.15">
      <c r="A11" s="19">
        <v>416</v>
      </c>
      <c r="B11" s="37" t="s">
        <v>7</v>
      </c>
      <c r="C11" s="56">
        <v>1300</v>
      </c>
      <c r="D11" s="57">
        <v>8215</v>
      </c>
      <c r="E11" s="57">
        <v>11425</v>
      </c>
      <c r="F11" s="41"/>
    </row>
    <row r="12" spans="1:6" ht="13" x14ac:dyDescent="0.15">
      <c r="A12" s="19">
        <v>417</v>
      </c>
      <c r="B12" s="37" t="s">
        <v>8</v>
      </c>
      <c r="C12" s="16"/>
      <c r="D12" s="48"/>
      <c r="E12" s="18"/>
      <c r="F12" s="41"/>
    </row>
    <row r="13" spans="1:6" ht="13" x14ac:dyDescent="0.15">
      <c r="A13" s="19">
        <v>418</v>
      </c>
      <c r="B13" s="37" t="s">
        <v>55</v>
      </c>
      <c r="C13" s="56">
        <v>36589.06</v>
      </c>
      <c r="D13" s="57">
        <v>29884.46</v>
      </c>
      <c r="E13" s="57">
        <v>23508.04</v>
      </c>
      <c r="F13" s="41"/>
    </row>
    <row r="14" spans="1:6" ht="13" x14ac:dyDescent="0.15">
      <c r="A14" s="19">
        <v>42</v>
      </c>
      <c r="B14" s="82" t="s">
        <v>9</v>
      </c>
      <c r="C14" s="93">
        <v>346.6</v>
      </c>
      <c r="D14" s="97">
        <v>37178.36</v>
      </c>
      <c r="E14" s="97">
        <v>48833.69</v>
      </c>
      <c r="F14" s="85"/>
    </row>
    <row r="15" spans="1:6" ht="16.5" customHeight="1" x14ac:dyDescent="0.15">
      <c r="A15" s="49">
        <v>43</v>
      </c>
      <c r="B15" s="60" t="s">
        <v>10</v>
      </c>
      <c r="C15" s="71">
        <v>159982.79</v>
      </c>
      <c r="D15" s="75">
        <v>124947.86</v>
      </c>
      <c r="E15" s="71">
        <v>149310.32</v>
      </c>
      <c r="F15" s="18"/>
    </row>
    <row r="16" spans="1:6" ht="13" x14ac:dyDescent="0.15">
      <c r="A16" s="44" t="s">
        <v>58</v>
      </c>
      <c r="B16" s="45" t="s">
        <v>11</v>
      </c>
      <c r="C16" s="67">
        <f>8091.66+3450+75000+2000+11457.93</f>
        <v>99999.59</v>
      </c>
      <c r="D16" s="46">
        <f>3309.7+68800+3809.09+2886.24</f>
        <v>78805.03</v>
      </c>
      <c r="E16" s="67">
        <f>3990+90000+1000+2857.6</f>
        <v>97847.6</v>
      </c>
      <c r="F16" s="18"/>
    </row>
    <row r="17" spans="1:6" ht="31.5" customHeight="1" x14ac:dyDescent="0.15">
      <c r="A17" s="44" t="s">
        <v>59</v>
      </c>
      <c r="B17" s="45" t="s">
        <v>12</v>
      </c>
      <c r="C17" s="67">
        <f>5700+9525+200+6000+2500+1000+1500+1000</f>
        <v>27425</v>
      </c>
      <c r="D17" s="46">
        <f>8418.27+6950+2500+1000+1000</f>
        <v>19868.27</v>
      </c>
      <c r="E17" s="67">
        <f>2050.18+7000+2500+1000</f>
        <v>12550.18</v>
      </c>
      <c r="F17" s="18"/>
    </row>
    <row r="18" spans="1:6" ht="13" x14ac:dyDescent="0.15">
      <c r="A18" s="44" t="s">
        <v>60</v>
      </c>
      <c r="B18" s="74" t="s">
        <v>13</v>
      </c>
      <c r="C18" s="46">
        <f>4936+12122.2</f>
        <v>17058.2</v>
      </c>
      <c r="D18" s="67">
        <f>4944.56+11130</f>
        <v>16074.560000000001</v>
      </c>
      <c r="E18" s="48">
        <f>4907.54+13805+20200</f>
        <v>38912.54</v>
      </c>
      <c r="F18" s="88"/>
    </row>
    <row r="19" spans="1:6" ht="13" x14ac:dyDescent="0.15">
      <c r="A19" s="44" t="s">
        <v>61</v>
      </c>
      <c r="B19" s="74" t="s">
        <v>62</v>
      </c>
      <c r="C19" s="46">
        <f>1500+14000</f>
        <v>15500</v>
      </c>
      <c r="D19" s="67">
        <f>200+10000</f>
        <v>10200</v>
      </c>
      <c r="E19" s="48"/>
      <c r="F19" s="95"/>
    </row>
    <row r="20" spans="1:6" ht="13" x14ac:dyDescent="0.15">
      <c r="A20" s="19">
        <v>44</v>
      </c>
      <c r="B20" s="37" t="s">
        <v>14</v>
      </c>
      <c r="C20" s="56">
        <v>672735.84</v>
      </c>
      <c r="D20" s="57">
        <v>330588.7</v>
      </c>
      <c r="E20" s="57">
        <v>299068.73</v>
      </c>
      <c r="F20" s="18"/>
    </row>
    <row r="21" spans="1:6" ht="13" x14ac:dyDescent="0.15">
      <c r="A21" s="19">
        <v>45</v>
      </c>
      <c r="B21" s="47" t="s">
        <v>63</v>
      </c>
      <c r="C21" s="16"/>
      <c r="D21" s="18"/>
      <c r="E21" s="18"/>
      <c r="F21" s="18"/>
    </row>
    <row r="22" spans="1:6" ht="13" x14ac:dyDescent="0.15">
      <c r="A22" s="19">
        <v>46</v>
      </c>
      <c r="B22" s="20" t="s">
        <v>16</v>
      </c>
      <c r="C22" s="56">
        <v>183749.95</v>
      </c>
      <c r="D22" s="57">
        <v>180842</v>
      </c>
      <c r="E22" s="57">
        <v>140542.84</v>
      </c>
      <c r="F22" s="18"/>
    </row>
    <row r="23" spans="1:6" ht="13" x14ac:dyDescent="0.15">
      <c r="A23" s="19">
        <v>47</v>
      </c>
      <c r="B23" s="20" t="s">
        <v>17</v>
      </c>
      <c r="C23" s="16"/>
      <c r="D23" s="18"/>
      <c r="E23" s="18"/>
      <c r="F23" s="18"/>
    </row>
    <row r="24" spans="1:6" ht="13" x14ac:dyDescent="0.15">
      <c r="A24" s="3"/>
      <c r="B24" s="20" t="s">
        <v>18</v>
      </c>
      <c r="C24" s="56">
        <v>1864269.52</v>
      </c>
      <c r="D24" s="57">
        <v>1350570.62</v>
      </c>
      <c r="E24" s="57">
        <v>1170397.6200000001</v>
      </c>
      <c r="F24" s="18"/>
    </row>
    <row r="25" spans="1:6" ht="13" x14ac:dyDescent="0.15">
      <c r="A25" s="3"/>
      <c r="B25" s="103" t="s">
        <v>64</v>
      </c>
      <c r="C25" s="104"/>
      <c r="D25" s="105"/>
      <c r="E25" s="105"/>
      <c r="F25" s="105"/>
    </row>
    <row r="26" spans="1:6" ht="13" x14ac:dyDescent="0.15">
      <c r="A26" s="19">
        <v>71</v>
      </c>
      <c r="B26" s="20" t="s">
        <v>39</v>
      </c>
      <c r="C26" s="107">
        <f t="shared" ref="C26:E26" si="1">SUM(C27:C31)</f>
        <v>694253.89999999991</v>
      </c>
      <c r="D26" s="107">
        <f t="shared" si="1"/>
        <v>733283.79000000015</v>
      </c>
      <c r="E26" s="107">
        <f t="shared" si="1"/>
        <v>841610.23</v>
      </c>
      <c r="F26" s="15"/>
    </row>
    <row r="27" spans="1:6" ht="13" x14ac:dyDescent="0.15">
      <c r="A27" s="44">
        <v>711</v>
      </c>
      <c r="B27" s="45" t="s">
        <v>40</v>
      </c>
      <c r="C27" s="39">
        <v>296995.43</v>
      </c>
      <c r="D27" s="39">
        <v>305512.78000000003</v>
      </c>
      <c r="E27" s="39">
        <v>324017.63</v>
      </c>
      <c r="F27" s="41"/>
    </row>
    <row r="28" spans="1:6" ht="13" x14ac:dyDescent="0.15">
      <c r="A28" s="44">
        <v>713</v>
      </c>
      <c r="B28" s="45" t="s">
        <v>41</v>
      </c>
      <c r="C28" s="39">
        <v>52189.61</v>
      </c>
      <c r="D28" s="39">
        <v>48054.64</v>
      </c>
      <c r="E28" s="39">
        <v>23582.23</v>
      </c>
      <c r="F28" s="41"/>
    </row>
    <row r="29" spans="1:6" ht="13" x14ac:dyDescent="0.15">
      <c r="A29" s="44">
        <v>714</v>
      </c>
      <c r="B29" s="45" t="s">
        <v>42</v>
      </c>
      <c r="C29" s="48">
        <f>888.59+95581.34</f>
        <v>96469.93</v>
      </c>
      <c r="D29" s="48">
        <f>403.3+35555.36</f>
        <v>35958.660000000003</v>
      </c>
      <c r="E29" s="48">
        <f>5602.26+228823.09</f>
        <v>234425.35</v>
      </c>
      <c r="F29" s="41"/>
    </row>
    <row r="30" spans="1:6" ht="13" x14ac:dyDescent="0.15">
      <c r="A30" s="80"/>
      <c r="B30" s="45" t="s">
        <v>66</v>
      </c>
      <c r="C30" s="48">
        <f>36517.34+103128.58+26411.61+6743.12</f>
        <v>172800.64999999997</v>
      </c>
      <c r="D30" s="48">
        <f>34680.22+218317.96+4306.8+6007.57</f>
        <v>263312.55</v>
      </c>
      <c r="E30" s="48">
        <f>24204.26+191884.36+5491.52</f>
        <v>221580.13999999998</v>
      </c>
      <c r="F30" s="41"/>
    </row>
    <row r="31" spans="1:6" ht="13" x14ac:dyDescent="0.15">
      <c r="A31" s="44">
        <v>715</v>
      </c>
      <c r="B31" s="45" t="s">
        <v>67</v>
      </c>
      <c r="C31" s="38">
        <v>75798.28</v>
      </c>
      <c r="D31" s="39">
        <v>80445.16</v>
      </c>
      <c r="E31" s="39">
        <v>38004.879999999997</v>
      </c>
      <c r="F31" s="41"/>
    </row>
    <row r="32" spans="1:6" ht="13" x14ac:dyDescent="0.15">
      <c r="A32" s="19">
        <v>72</v>
      </c>
      <c r="B32" s="113" t="s">
        <v>43</v>
      </c>
      <c r="C32" s="56">
        <v>313486</v>
      </c>
      <c r="D32" s="75">
        <v>58650</v>
      </c>
      <c r="E32" s="57">
        <v>665</v>
      </c>
      <c r="F32" s="48"/>
    </row>
    <row r="33" spans="1:6" ht="18" customHeight="1" x14ac:dyDescent="0.15">
      <c r="A33" s="115">
        <v>73</v>
      </c>
      <c r="B33" s="47" t="s">
        <v>68</v>
      </c>
      <c r="C33" s="131">
        <v>185714.56</v>
      </c>
      <c r="D33" s="131">
        <v>3464.84</v>
      </c>
      <c r="E33" s="131">
        <v>6360.82</v>
      </c>
      <c r="F33" s="117"/>
    </row>
    <row r="34" spans="1:6" ht="13" x14ac:dyDescent="0.15">
      <c r="A34" s="19">
        <v>74</v>
      </c>
      <c r="B34" s="60" t="s">
        <v>44</v>
      </c>
      <c r="C34" s="71">
        <v>674279.97</v>
      </c>
      <c r="D34" s="75">
        <v>561532.81000000006</v>
      </c>
      <c r="E34" s="75">
        <v>335398.88</v>
      </c>
      <c r="F34" s="18"/>
    </row>
    <row r="35" spans="1:6" ht="13" x14ac:dyDescent="0.15">
      <c r="A35" s="44" t="s">
        <v>97</v>
      </c>
      <c r="B35" s="45" t="s">
        <v>98</v>
      </c>
      <c r="C35" s="145"/>
      <c r="D35" s="43">
        <v>33158.19</v>
      </c>
      <c r="E35" s="46"/>
      <c r="F35" s="18"/>
    </row>
    <row r="36" spans="1:6" ht="13" x14ac:dyDescent="0.15">
      <c r="A36" s="44" t="s">
        <v>99</v>
      </c>
      <c r="B36" s="45" t="s">
        <v>46</v>
      </c>
      <c r="C36" s="40">
        <v>429980</v>
      </c>
      <c r="D36" s="43">
        <v>212182</v>
      </c>
      <c r="E36" s="43">
        <v>188272</v>
      </c>
      <c r="F36" s="18"/>
    </row>
    <row r="37" spans="1:6" ht="13" x14ac:dyDescent="0.15">
      <c r="A37" s="80"/>
      <c r="B37" s="45" t="s">
        <v>81</v>
      </c>
      <c r="C37" s="147">
        <v>244299.97</v>
      </c>
      <c r="D37" s="111" t="s">
        <v>100</v>
      </c>
      <c r="E37" s="111" t="s">
        <v>101</v>
      </c>
      <c r="F37" s="18"/>
    </row>
    <row r="38" spans="1:6" ht="13" x14ac:dyDescent="0.15">
      <c r="A38" s="19">
        <v>751</v>
      </c>
      <c r="B38" s="37" t="s">
        <v>63</v>
      </c>
      <c r="C38" s="16"/>
      <c r="D38" s="18"/>
      <c r="E38" s="18"/>
      <c r="F38" s="18"/>
    </row>
    <row r="39" spans="1:6" ht="13" x14ac:dyDescent="0.15">
      <c r="A39" s="3"/>
      <c r="B39" s="37" t="s">
        <v>82</v>
      </c>
      <c r="C39" s="56">
        <v>1867734.36</v>
      </c>
      <c r="D39" s="57">
        <v>1356931.44</v>
      </c>
      <c r="E39" s="57">
        <v>1184034.93</v>
      </c>
      <c r="F39" s="18"/>
    </row>
    <row r="40" spans="1:6" ht="13" x14ac:dyDescent="0.15">
      <c r="A40" s="3"/>
      <c r="B40" s="103" t="s">
        <v>83</v>
      </c>
      <c r="C40" s="104"/>
      <c r="D40" s="105"/>
      <c r="E40" s="105"/>
      <c r="F40" s="105"/>
    </row>
    <row r="41" spans="1:6" ht="13" x14ac:dyDescent="0.15">
      <c r="A41" s="3"/>
      <c r="B41" s="42" t="s">
        <v>84</v>
      </c>
      <c r="C41" s="66"/>
      <c r="D41" s="48"/>
      <c r="E41" s="48"/>
      <c r="F41" s="48"/>
    </row>
    <row r="42" spans="1:6" ht="13" x14ac:dyDescent="0.15">
      <c r="A42" s="3"/>
      <c r="B42" s="42" t="s">
        <v>49</v>
      </c>
      <c r="C42" s="66"/>
      <c r="D42" s="48"/>
      <c r="E42" s="48"/>
      <c r="F42" s="48"/>
    </row>
    <row r="43" spans="1:6" ht="13" x14ac:dyDescent="0.15">
      <c r="A43" s="3"/>
      <c r="B43" s="42" t="s">
        <v>51</v>
      </c>
      <c r="C43" s="66"/>
      <c r="D43" s="48"/>
      <c r="E43" s="48"/>
      <c r="F43" s="48"/>
    </row>
    <row r="44" spans="1:6" ht="13" x14ac:dyDescent="0.15">
      <c r="A44" s="3"/>
      <c r="B44" s="42" t="s">
        <v>86</v>
      </c>
      <c r="C44" s="66"/>
      <c r="D44" s="48"/>
      <c r="E44" s="48"/>
      <c r="F44" s="48"/>
    </row>
    <row r="45" spans="1:6" ht="13" x14ac:dyDescent="0.15">
      <c r="A45" s="3"/>
      <c r="B45" s="134"/>
      <c r="C45" s="104"/>
      <c r="D45" s="105"/>
      <c r="E45" s="105"/>
      <c r="F45" s="105"/>
    </row>
    <row r="46" spans="1:6" ht="19.5" customHeight="1" x14ac:dyDescent="0.15">
      <c r="B46" s="140"/>
      <c r="C46" s="140"/>
      <c r="D46" s="141"/>
      <c r="E46" s="140"/>
      <c r="F46" s="140"/>
    </row>
    <row r="47" spans="1:6" ht="19.5" customHeight="1" x14ac:dyDescent="0.15">
      <c r="B47" s="148" t="s">
        <v>96</v>
      </c>
      <c r="C47" s="1"/>
      <c r="D47" s="150"/>
      <c r="E47" s="1"/>
    </row>
    <row r="48" spans="1:6" ht="19.5" customHeight="1" x14ac:dyDescent="0.15">
      <c r="A48" s="3"/>
      <c r="B48" s="151" t="s">
        <v>106</v>
      </c>
      <c r="C48" s="159">
        <v>1007783.73</v>
      </c>
      <c r="D48" s="159">
        <v>839139.92</v>
      </c>
      <c r="E48" s="159">
        <v>730786.05</v>
      </c>
      <c r="F48" s="8"/>
    </row>
    <row r="49" spans="1:6" ht="24" customHeight="1" x14ac:dyDescent="0.15">
      <c r="A49" s="3"/>
      <c r="B49" s="153" t="s">
        <v>143</v>
      </c>
      <c r="C49" s="159">
        <v>113987.89</v>
      </c>
      <c r="D49" s="159">
        <v>89347.99</v>
      </c>
      <c r="E49" s="159">
        <v>73007.8</v>
      </c>
      <c r="F49" s="8"/>
    </row>
    <row r="50" spans="1:6" ht="24" customHeight="1" x14ac:dyDescent="0.15">
      <c r="A50" s="3"/>
      <c r="B50" s="153" t="s">
        <v>147</v>
      </c>
      <c r="C50" s="159">
        <v>164713.20000000001</v>
      </c>
      <c r="D50" s="159">
        <v>136450.49</v>
      </c>
      <c r="E50" s="159">
        <v>116817.74</v>
      </c>
      <c r="F50" s="8"/>
    </row>
    <row r="51" spans="1:6" ht="24" customHeight="1" x14ac:dyDescent="0.15">
      <c r="A51" s="3"/>
      <c r="B51" s="166" t="s">
        <v>148</v>
      </c>
      <c r="C51" s="159">
        <v>484538.57</v>
      </c>
      <c r="D51" s="159">
        <v>413201.21</v>
      </c>
      <c r="E51" s="76"/>
      <c r="F51" s="8"/>
    </row>
    <row r="52" spans="1:6" ht="24" customHeight="1" x14ac:dyDescent="0.15">
      <c r="A52" s="3"/>
      <c r="B52" s="166" t="s">
        <v>149</v>
      </c>
      <c r="C52" s="167"/>
      <c r="D52" s="167"/>
      <c r="E52" s="159">
        <v>191837.86</v>
      </c>
      <c r="F52" s="8"/>
    </row>
    <row r="53" spans="1:6" ht="31.5" customHeight="1" x14ac:dyDescent="0.15">
      <c r="A53" s="3"/>
      <c r="B53" s="153" t="s">
        <v>150</v>
      </c>
      <c r="C53" s="167"/>
      <c r="D53" s="167"/>
      <c r="E53" s="159">
        <v>94186.79</v>
      </c>
      <c r="F53" s="8"/>
    </row>
    <row r="54" spans="1:6" ht="31.5" customHeight="1" x14ac:dyDescent="0.15">
      <c r="A54" s="3"/>
      <c r="B54" s="153" t="s">
        <v>151</v>
      </c>
      <c r="C54" s="167"/>
      <c r="D54" s="167"/>
      <c r="E54" s="159">
        <v>183069.62</v>
      </c>
      <c r="F54" s="8"/>
    </row>
    <row r="55" spans="1:6" ht="31.5" customHeight="1" x14ac:dyDescent="0.15">
      <c r="A55" s="3"/>
      <c r="B55" s="153" t="s">
        <v>152</v>
      </c>
      <c r="C55" s="159">
        <v>132840.09</v>
      </c>
      <c r="D55" s="159">
        <v>94681.919999999998</v>
      </c>
      <c r="E55" s="167"/>
      <c r="F55" s="8"/>
    </row>
    <row r="56" spans="1:6" ht="24" customHeight="1" x14ac:dyDescent="0.15">
      <c r="A56" s="3"/>
      <c r="B56" s="166" t="s">
        <v>153</v>
      </c>
      <c r="C56" s="159">
        <v>38807.370000000003</v>
      </c>
      <c r="D56" s="159">
        <v>26347.31</v>
      </c>
      <c r="E56" s="159">
        <v>21767.72</v>
      </c>
      <c r="F56" s="8"/>
    </row>
    <row r="57" spans="1:6" ht="24" customHeight="1" x14ac:dyDescent="0.15">
      <c r="A57" s="3"/>
      <c r="B57" s="166" t="s">
        <v>136</v>
      </c>
      <c r="C57" s="159">
        <v>63154.5</v>
      </c>
      <c r="D57" s="159">
        <v>28166.94</v>
      </c>
      <c r="E57" s="167"/>
      <c r="F57" s="8"/>
    </row>
    <row r="58" spans="1:6" ht="24" customHeight="1" x14ac:dyDescent="0.15">
      <c r="A58" s="3"/>
      <c r="B58" s="153" t="s">
        <v>121</v>
      </c>
      <c r="C58" s="159">
        <v>9742.11</v>
      </c>
      <c r="D58" s="159">
        <v>38712.6</v>
      </c>
      <c r="E58" s="159">
        <v>38545.629999999997</v>
      </c>
      <c r="F58" s="8"/>
    </row>
    <row r="59" spans="1:6" ht="24" customHeight="1" x14ac:dyDescent="0.15">
      <c r="A59" s="3"/>
      <c r="B59" s="153" t="s">
        <v>154</v>
      </c>
      <c r="C59" s="167"/>
      <c r="D59" s="159">
        <v>12231.46</v>
      </c>
      <c r="E59" s="159">
        <v>11552.89</v>
      </c>
      <c r="F59" s="8"/>
    </row>
    <row r="60" spans="1:6" ht="24" customHeight="1" x14ac:dyDescent="0.15">
      <c r="A60" s="3"/>
      <c r="B60" s="173"/>
      <c r="C60" s="167"/>
      <c r="D60" s="167"/>
      <c r="E60" s="167"/>
      <c r="F60" s="8"/>
    </row>
    <row r="61" spans="1:6" ht="24" customHeight="1" x14ac:dyDescent="0.15">
      <c r="A61" s="3"/>
      <c r="B61" s="174" t="s">
        <v>155</v>
      </c>
      <c r="C61" s="159">
        <v>856485.79</v>
      </c>
      <c r="D61" s="159">
        <v>511430.7</v>
      </c>
      <c r="E61" s="159">
        <v>439611.57</v>
      </c>
      <c r="F61" s="8"/>
    </row>
    <row r="62" spans="1:6" ht="19.5" customHeight="1" x14ac:dyDescent="0.15">
      <c r="A62" s="3"/>
      <c r="B62" s="169"/>
      <c r="C62" s="167"/>
      <c r="D62" s="167"/>
      <c r="E62" s="167"/>
      <c r="F62" s="8"/>
    </row>
    <row r="63" spans="1:6" ht="19.5" customHeight="1" x14ac:dyDescent="0.15">
      <c r="A63" s="3"/>
      <c r="B63" s="151" t="s">
        <v>142</v>
      </c>
      <c r="C63" s="175">
        <f t="shared" ref="C63:D63" si="2">C61+C48</f>
        <v>1864269.52</v>
      </c>
      <c r="D63" s="175">
        <f t="shared" si="2"/>
        <v>1350570.62</v>
      </c>
      <c r="E63" s="167">
        <f>E48+E61</f>
        <v>1170397.6200000001</v>
      </c>
      <c r="F63" s="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.15"/>
  <cols>
    <col min="1" max="35" width="17.33203125" customWidth="1"/>
  </cols>
  <sheetData>
    <row r="1" spans="1:35" ht="65" x14ac:dyDescent="0.15">
      <c r="A1" s="2"/>
      <c r="B1" s="5" t="s">
        <v>0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31"/>
      <c r="T1" s="32" t="s">
        <v>39</v>
      </c>
      <c r="U1" s="6" t="s">
        <v>40</v>
      </c>
      <c r="V1" s="6" t="s">
        <v>41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15</v>
      </c>
      <c r="AC1" s="6" t="s">
        <v>47</v>
      </c>
      <c r="AD1" s="31"/>
      <c r="AE1" s="6" t="s">
        <v>48</v>
      </c>
      <c r="AF1" s="6" t="s">
        <v>49</v>
      </c>
      <c r="AG1" s="6" t="s">
        <v>50</v>
      </c>
      <c r="AH1" s="6" t="s">
        <v>51</v>
      </c>
      <c r="AI1" s="6" t="s">
        <v>52</v>
      </c>
    </row>
    <row r="2" spans="1:35" ht="13" x14ac:dyDescent="0.15">
      <c r="A2" s="33" t="s">
        <v>53</v>
      </c>
      <c r="B2" s="59">
        <v>423037</v>
      </c>
      <c r="C2" s="59">
        <v>288293</v>
      </c>
      <c r="D2" s="59">
        <v>74681</v>
      </c>
      <c r="E2" s="59">
        <v>4930</v>
      </c>
      <c r="F2" s="81"/>
      <c r="G2" s="81"/>
      <c r="H2" s="59">
        <v>1868</v>
      </c>
      <c r="I2" s="59">
        <v>330</v>
      </c>
      <c r="J2" s="59">
        <v>275663</v>
      </c>
      <c r="K2" s="59">
        <v>195180</v>
      </c>
      <c r="L2" s="59">
        <v>23849</v>
      </c>
      <c r="M2" s="59">
        <v>5720</v>
      </c>
      <c r="N2" s="59">
        <v>376719</v>
      </c>
      <c r="O2" s="81"/>
      <c r="P2" s="59">
        <v>76008</v>
      </c>
      <c r="Q2" s="59">
        <v>15334</v>
      </c>
      <c r="R2" s="59">
        <v>1167091</v>
      </c>
      <c r="S2" s="81"/>
      <c r="T2" s="59">
        <v>350034</v>
      </c>
      <c r="U2" s="59">
        <v>137166</v>
      </c>
      <c r="V2" s="59">
        <v>111508</v>
      </c>
      <c r="W2" s="59">
        <v>52187</v>
      </c>
      <c r="X2" s="81"/>
      <c r="Y2" s="59">
        <v>783588</v>
      </c>
      <c r="Z2" s="59">
        <v>2656</v>
      </c>
      <c r="AA2" s="59">
        <v>770932</v>
      </c>
      <c r="AB2" s="81"/>
      <c r="AC2" s="59">
        <v>1209869</v>
      </c>
      <c r="AD2" s="81"/>
      <c r="AE2" s="81"/>
      <c r="AF2" s="81"/>
      <c r="AG2" s="81"/>
      <c r="AH2" s="81"/>
      <c r="AI2" s="81"/>
    </row>
    <row r="3" spans="1:35" ht="13" x14ac:dyDescent="0.15">
      <c r="A3" s="33" t="s">
        <v>65</v>
      </c>
      <c r="B3" s="59">
        <v>4383813</v>
      </c>
      <c r="C3" s="59">
        <v>2744788</v>
      </c>
      <c r="D3" s="59">
        <v>826066</v>
      </c>
      <c r="E3" s="59">
        <v>86786</v>
      </c>
      <c r="F3" s="59">
        <v>103783</v>
      </c>
      <c r="G3" s="81"/>
      <c r="H3" s="59">
        <v>206323</v>
      </c>
      <c r="I3" s="59">
        <v>78447</v>
      </c>
      <c r="J3" s="59">
        <v>3831247</v>
      </c>
      <c r="K3" s="59">
        <v>1219306</v>
      </c>
      <c r="L3" s="59">
        <v>166966</v>
      </c>
      <c r="M3" s="59">
        <v>209690</v>
      </c>
      <c r="N3" s="59">
        <v>18076495</v>
      </c>
      <c r="O3" s="81"/>
      <c r="P3" s="59">
        <v>189819</v>
      </c>
      <c r="Q3" s="59">
        <v>193879</v>
      </c>
      <c r="R3" s="59">
        <v>26753699</v>
      </c>
      <c r="S3" s="81"/>
      <c r="T3" s="59">
        <v>12432473</v>
      </c>
      <c r="U3" s="59">
        <v>5551372</v>
      </c>
      <c r="V3" s="59">
        <v>390761</v>
      </c>
      <c r="W3" s="59">
        <v>103885</v>
      </c>
      <c r="X3" s="59">
        <v>12000</v>
      </c>
      <c r="Y3" s="81"/>
      <c r="Z3" s="81"/>
      <c r="AA3" s="81"/>
      <c r="AB3" s="59">
        <v>300000</v>
      </c>
      <c r="AC3" s="59">
        <v>26953682</v>
      </c>
      <c r="AD3" s="81"/>
      <c r="AE3" s="81"/>
      <c r="AF3" s="81"/>
      <c r="AG3" s="81"/>
      <c r="AH3" s="81"/>
      <c r="AI3" s="81"/>
    </row>
    <row r="4" spans="1:35" ht="13" x14ac:dyDescent="0.15">
      <c r="A4" s="33" t="s">
        <v>70</v>
      </c>
      <c r="B4" s="59">
        <v>2534447</v>
      </c>
      <c r="C4" s="59">
        <v>1706678</v>
      </c>
      <c r="D4" s="59">
        <v>538379</v>
      </c>
      <c r="E4" s="59">
        <v>32286</v>
      </c>
      <c r="F4" s="59">
        <v>18959</v>
      </c>
      <c r="G4" s="59">
        <v>16182</v>
      </c>
      <c r="H4" s="59">
        <v>20493</v>
      </c>
      <c r="I4" s="59">
        <v>30250</v>
      </c>
      <c r="J4" s="59">
        <v>805001</v>
      </c>
      <c r="K4" s="59">
        <v>321599</v>
      </c>
      <c r="L4" s="59">
        <v>62522</v>
      </c>
      <c r="M4" s="59">
        <v>107746</v>
      </c>
      <c r="N4" s="59">
        <v>1741431</v>
      </c>
      <c r="O4" s="81"/>
      <c r="P4" s="59">
        <v>1031991</v>
      </c>
      <c r="Q4" s="59">
        <v>232542</v>
      </c>
      <c r="R4" s="59">
        <v>6375661</v>
      </c>
      <c r="S4" s="81"/>
      <c r="T4" s="59">
        <v>1968018</v>
      </c>
      <c r="U4" s="59">
        <v>970994</v>
      </c>
      <c r="V4" s="59">
        <v>168295</v>
      </c>
      <c r="W4" s="59">
        <v>128431</v>
      </c>
      <c r="X4" s="59">
        <v>35460</v>
      </c>
      <c r="Y4" s="59">
        <v>3873520</v>
      </c>
      <c r="Z4" s="59">
        <v>747783</v>
      </c>
      <c r="AA4" s="59">
        <v>3051914</v>
      </c>
      <c r="AB4" s="59">
        <v>471541</v>
      </c>
      <c r="AC4" s="59">
        <v>6404390</v>
      </c>
      <c r="AD4" s="81"/>
      <c r="AE4" s="81"/>
      <c r="AF4" s="81"/>
      <c r="AG4" s="81"/>
      <c r="AH4" s="81"/>
      <c r="AI4" s="81"/>
    </row>
    <row r="5" spans="1:35" ht="13" x14ac:dyDescent="0.15">
      <c r="A5" s="33" t="s">
        <v>71</v>
      </c>
      <c r="B5" s="59">
        <v>2752291</v>
      </c>
      <c r="C5" s="59">
        <v>1830328</v>
      </c>
      <c r="D5" s="59">
        <v>643533</v>
      </c>
      <c r="E5" s="59">
        <v>35763</v>
      </c>
      <c r="F5" s="81"/>
      <c r="G5" s="59">
        <v>36646</v>
      </c>
      <c r="H5" s="81"/>
      <c r="I5" s="59">
        <v>432607</v>
      </c>
      <c r="J5" s="59">
        <v>1716194</v>
      </c>
      <c r="K5" s="59">
        <v>1513860</v>
      </c>
      <c r="L5" s="59">
        <v>129705</v>
      </c>
      <c r="M5" s="59">
        <v>72630</v>
      </c>
      <c r="N5" s="59">
        <v>5899343</v>
      </c>
      <c r="O5" s="81"/>
      <c r="P5" s="59">
        <v>2312709</v>
      </c>
      <c r="Q5" s="59">
        <v>158835</v>
      </c>
      <c r="R5" s="59">
        <v>13271979</v>
      </c>
      <c r="S5" s="81"/>
      <c r="T5" s="59">
        <v>3825819</v>
      </c>
      <c r="U5" s="59">
        <v>1580859</v>
      </c>
      <c r="V5" s="59">
        <v>114117</v>
      </c>
      <c r="W5" s="59">
        <v>110345</v>
      </c>
      <c r="X5" s="59">
        <v>7016</v>
      </c>
      <c r="Y5" s="59">
        <v>6503283</v>
      </c>
      <c r="Z5" s="81"/>
      <c r="AA5" s="59">
        <v>3294333</v>
      </c>
      <c r="AB5" s="59">
        <v>2915117</v>
      </c>
      <c r="AC5" s="59">
        <v>13282277</v>
      </c>
      <c r="AD5" s="81"/>
      <c r="AE5" s="81"/>
      <c r="AF5" s="81"/>
      <c r="AG5" s="81"/>
      <c r="AH5" s="81"/>
      <c r="AI5" s="81"/>
    </row>
    <row r="6" spans="1:35" ht="13" x14ac:dyDescent="0.15">
      <c r="A6" s="33" t="s">
        <v>72</v>
      </c>
      <c r="B6" s="59">
        <v>6414493</v>
      </c>
      <c r="C6" s="59">
        <v>4532278</v>
      </c>
      <c r="D6" s="59">
        <v>1299239</v>
      </c>
      <c r="E6" s="59">
        <v>40730</v>
      </c>
      <c r="F6" s="59">
        <v>65086</v>
      </c>
      <c r="G6" s="59">
        <v>57699</v>
      </c>
      <c r="H6" s="81"/>
      <c r="I6" s="81"/>
      <c r="J6" s="59">
        <v>2887744</v>
      </c>
      <c r="K6" s="59">
        <v>2806107</v>
      </c>
      <c r="L6" s="59">
        <v>25077</v>
      </c>
      <c r="M6" s="59">
        <v>56560</v>
      </c>
      <c r="N6" s="59">
        <v>14701915</v>
      </c>
      <c r="O6" s="81"/>
      <c r="P6" s="59">
        <v>20437724</v>
      </c>
      <c r="Q6" s="59">
        <v>217378</v>
      </c>
      <c r="R6" s="59">
        <v>44659254</v>
      </c>
      <c r="S6" s="81"/>
      <c r="T6" s="59">
        <v>37554773</v>
      </c>
      <c r="U6" s="59">
        <v>8351017</v>
      </c>
      <c r="V6" s="59">
        <v>844689</v>
      </c>
      <c r="W6" s="59">
        <v>70296</v>
      </c>
      <c r="X6" s="59">
        <v>1858552</v>
      </c>
      <c r="Y6" s="81"/>
      <c r="Z6" s="81"/>
      <c r="AA6" s="81"/>
      <c r="AB6" s="59">
        <v>5142253</v>
      </c>
      <c r="AC6" s="59">
        <v>44677444</v>
      </c>
      <c r="AD6" s="81"/>
      <c r="AE6" s="81"/>
      <c r="AF6" s="81"/>
      <c r="AG6" s="81"/>
      <c r="AH6" s="81"/>
      <c r="AI6" s="81"/>
    </row>
    <row r="7" spans="1:35" ht="13" x14ac:dyDescent="0.15">
      <c r="A7" s="33" t="s">
        <v>73</v>
      </c>
      <c r="B7" s="59">
        <v>2856894</v>
      </c>
      <c r="C7" s="59">
        <v>1376814</v>
      </c>
      <c r="D7" s="59">
        <v>651503</v>
      </c>
      <c r="E7" s="59">
        <v>459082</v>
      </c>
      <c r="F7" s="59">
        <v>43822</v>
      </c>
      <c r="G7" s="59">
        <v>23809</v>
      </c>
      <c r="H7" s="59">
        <v>66655</v>
      </c>
      <c r="I7" s="81"/>
      <c r="J7" s="59">
        <v>416875</v>
      </c>
      <c r="K7" s="59">
        <v>165769</v>
      </c>
      <c r="L7" s="59">
        <v>19436</v>
      </c>
      <c r="M7" s="59">
        <v>54482</v>
      </c>
      <c r="N7" s="59">
        <v>150605</v>
      </c>
      <c r="O7" s="59">
        <v>472500</v>
      </c>
      <c r="P7" s="59">
        <v>1294757</v>
      </c>
      <c r="Q7" s="59">
        <v>0</v>
      </c>
      <c r="R7" s="59">
        <v>5191631</v>
      </c>
      <c r="S7" s="81"/>
      <c r="T7" s="59">
        <v>2120906</v>
      </c>
      <c r="U7" s="59">
        <v>920884</v>
      </c>
      <c r="V7" s="59">
        <v>215555</v>
      </c>
      <c r="W7" s="59">
        <v>9205</v>
      </c>
      <c r="X7" s="59">
        <v>22047</v>
      </c>
      <c r="Y7" s="59">
        <v>1593646</v>
      </c>
      <c r="Z7" s="59">
        <v>396600</v>
      </c>
      <c r="AA7" s="59">
        <v>1163493</v>
      </c>
      <c r="AB7" s="59">
        <v>609000</v>
      </c>
      <c r="AC7" s="59">
        <v>5225012</v>
      </c>
      <c r="AD7" s="81"/>
      <c r="AE7" s="81"/>
      <c r="AF7" s="81"/>
      <c r="AG7" s="81"/>
      <c r="AH7" s="81"/>
      <c r="AI7" s="81"/>
    </row>
    <row r="8" spans="1:35" ht="13" x14ac:dyDescent="0.15">
      <c r="A8" s="33" t="s">
        <v>74</v>
      </c>
      <c r="B8" s="59">
        <v>1990620</v>
      </c>
      <c r="C8" s="59">
        <v>1188278</v>
      </c>
      <c r="D8" s="122">
        <v>443637</v>
      </c>
      <c r="E8" s="59">
        <v>30070</v>
      </c>
      <c r="F8" s="59">
        <v>7501</v>
      </c>
      <c r="G8" s="59">
        <v>6003</v>
      </c>
      <c r="H8" s="59">
        <v>70945</v>
      </c>
      <c r="I8" s="59">
        <v>13320</v>
      </c>
      <c r="J8" s="59">
        <v>1344122</v>
      </c>
      <c r="K8" s="59">
        <v>682135</v>
      </c>
      <c r="L8" s="59">
        <v>147438</v>
      </c>
      <c r="M8" s="59">
        <v>135678</v>
      </c>
      <c r="N8" s="59">
        <v>805141</v>
      </c>
      <c r="O8" s="81"/>
      <c r="P8" s="59">
        <v>84593</v>
      </c>
      <c r="Q8" s="59">
        <v>3183</v>
      </c>
      <c r="R8" s="59">
        <v>4240979</v>
      </c>
      <c r="S8" s="81"/>
      <c r="T8" s="59">
        <v>1823999</v>
      </c>
      <c r="U8" s="59">
        <v>741086</v>
      </c>
      <c r="V8" s="59">
        <v>118959</v>
      </c>
      <c r="W8" s="59">
        <v>62296</v>
      </c>
      <c r="X8" s="59">
        <v>186346</v>
      </c>
      <c r="Y8" s="59">
        <v>1424074</v>
      </c>
      <c r="Z8" s="59">
        <v>100000</v>
      </c>
      <c r="AA8" s="59">
        <v>1324074</v>
      </c>
      <c r="AB8" s="81"/>
      <c r="AC8" s="59">
        <v>4938834</v>
      </c>
      <c r="AD8" s="81"/>
      <c r="AE8" s="81"/>
      <c r="AF8" s="81"/>
      <c r="AG8" s="81"/>
      <c r="AH8" s="81"/>
      <c r="AI8" s="81"/>
    </row>
    <row r="9" spans="1:35" ht="13" x14ac:dyDescent="0.15">
      <c r="A9" s="33" t="s">
        <v>75</v>
      </c>
      <c r="B9" s="59">
        <v>6419943</v>
      </c>
      <c r="C9" s="59">
        <v>2750573</v>
      </c>
      <c r="D9" s="59">
        <v>1304631</v>
      </c>
      <c r="E9" s="59">
        <v>2054879</v>
      </c>
      <c r="F9" s="81"/>
      <c r="G9" s="81"/>
      <c r="H9" s="81"/>
      <c r="I9" s="123"/>
      <c r="J9" s="59">
        <v>1202499</v>
      </c>
      <c r="K9" s="59">
        <v>586463</v>
      </c>
      <c r="L9" s="59">
        <v>264362</v>
      </c>
      <c r="M9" s="59">
        <v>196503</v>
      </c>
      <c r="N9" s="59">
        <v>1652085</v>
      </c>
      <c r="O9" s="81"/>
      <c r="P9" s="127">
        <v>764052</v>
      </c>
      <c r="Q9" s="127">
        <v>188320</v>
      </c>
      <c r="R9" s="59">
        <v>10226899</v>
      </c>
      <c r="S9" s="81"/>
      <c r="T9" s="127">
        <v>10357467</v>
      </c>
      <c r="U9" s="127">
        <v>5509374</v>
      </c>
      <c r="V9" s="127">
        <v>437578</v>
      </c>
      <c r="W9" s="81"/>
      <c r="X9" s="81"/>
      <c r="Y9" s="127">
        <v>86857</v>
      </c>
      <c r="Z9" s="81"/>
      <c r="AA9" s="123"/>
      <c r="AB9" s="81"/>
      <c r="AC9" s="59">
        <v>10444324</v>
      </c>
      <c r="AD9" s="81"/>
      <c r="AE9" s="81"/>
      <c r="AF9" s="81"/>
      <c r="AG9" s="81"/>
      <c r="AH9" s="81"/>
      <c r="AI9" s="81"/>
    </row>
    <row r="10" spans="1:35" ht="13" x14ac:dyDescent="0.15">
      <c r="A10" s="33" t="s">
        <v>77</v>
      </c>
      <c r="B10" s="127">
        <v>1577285</v>
      </c>
      <c r="C10" s="59">
        <v>1126512</v>
      </c>
      <c r="D10" s="127">
        <v>268888</v>
      </c>
      <c r="E10" s="127">
        <v>25884</v>
      </c>
      <c r="F10" s="127">
        <v>82169</v>
      </c>
      <c r="G10" s="59">
        <v>11931</v>
      </c>
      <c r="H10" s="59">
        <v>0</v>
      </c>
      <c r="I10" s="127">
        <v>0</v>
      </c>
      <c r="J10" s="127">
        <v>369491</v>
      </c>
      <c r="K10" s="127">
        <v>306305</v>
      </c>
      <c r="L10" s="59">
        <v>8669</v>
      </c>
      <c r="M10" s="59">
        <v>54517</v>
      </c>
      <c r="N10" s="127">
        <v>753313</v>
      </c>
      <c r="O10" s="127">
        <v>0</v>
      </c>
      <c r="P10" s="127">
        <v>1285317</v>
      </c>
      <c r="Q10" s="127">
        <v>0</v>
      </c>
      <c r="R10" s="59">
        <v>3985405</v>
      </c>
      <c r="S10" s="81"/>
      <c r="T10" s="127">
        <v>2308424</v>
      </c>
      <c r="U10" s="127">
        <v>912010</v>
      </c>
      <c r="V10" s="59">
        <v>18981</v>
      </c>
      <c r="W10" s="59">
        <v>54567</v>
      </c>
      <c r="X10" s="59">
        <v>0</v>
      </c>
      <c r="Y10" s="127">
        <v>674557</v>
      </c>
      <c r="Z10" s="81"/>
      <c r="AA10" s="59">
        <v>674557</v>
      </c>
      <c r="AB10" s="59">
        <v>995000</v>
      </c>
      <c r="AC10" s="59">
        <v>3987738</v>
      </c>
      <c r="AD10" s="81"/>
      <c r="AE10" s="81"/>
      <c r="AF10" s="81"/>
      <c r="AG10" s="81"/>
      <c r="AH10" s="81"/>
      <c r="AI10" s="81"/>
    </row>
    <row r="11" spans="1:35" ht="13" x14ac:dyDescent="0.15">
      <c r="A11" s="33" t="s">
        <v>78</v>
      </c>
      <c r="B11" s="59">
        <v>3754123</v>
      </c>
      <c r="C11" s="59">
        <v>2309639</v>
      </c>
      <c r="D11" s="59">
        <v>660041</v>
      </c>
      <c r="E11" s="59">
        <v>39598</v>
      </c>
      <c r="F11" s="59">
        <v>13547</v>
      </c>
      <c r="G11" s="59">
        <v>37648</v>
      </c>
      <c r="H11" s="59">
        <v>28000</v>
      </c>
      <c r="I11" s="127">
        <v>10211</v>
      </c>
      <c r="J11" s="127">
        <v>1430780</v>
      </c>
      <c r="K11" s="59">
        <v>754935</v>
      </c>
      <c r="L11" s="59">
        <v>134719</v>
      </c>
      <c r="M11" s="59">
        <v>92068</v>
      </c>
      <c r="N11" s="127">
        <v>329761</v>
      </c>
      <c r="O11" s="127">
        <v>15000</v>
      </c>
      <c r="P11" s="127">
        <v>660939</v>
      </c>
      <c r="Q11" s="59">
        <v>200983</v>
      </c>
      <c r="R11" s="59">
        <v>6401797</v>
      </c>
      <c r="S11" s="81"/>
      <c r="T11" s="127">
        <v>5474426</v>
      </c>
      <c r="U11" s="127">
        <v>3303201</v>
      </c>
      <c r="V11" s="127">
        <v>495473</v>
      </c>
      <c r="W11" s="59">
        <v>89183</v>
      </c>
      <c r="X11" s="59">
        <v>134239</v>
      </c>
      <c r="Y11" s="81"/>
      <c r="Z11" s="81"/>
      <c r="AA11" s="81"/>
      <c r="AB11" s="123"/>
      <c r="AC11" s="59">
        <v>6436576</v>
      </c>
      <c r="AD11" s="81"/>
      <c r="AE11" s="81"/>
      <c r="AF11" s="81"/>
      <c r="AG11" s="81"/>
      <c r="AH11" s="81"/>
      <c r="AI11" s="81"/>
    </row>
    <row r="12" spans="1:35" ht="13" x14ac:dyDescent="0.15">
      <c r="A12" s="33" t="s">
        <v>79</v>
      </c>
      <c r="B12" s="127">
        <v>1192545</v>
      </c>
      <c r="C12" s="59">
        <v>666553</v>
      </c>
      <c r="D12" s="127">
        <v>255916</v>
      </c>
      <c r="E12" s="127">
        <v>25299</v>
      </c>
      <c r="F12" s="81"/>
      <c r="G12" s="81"/>
      <c r="H12" s="81"/>
      <c r="I12" s="127">
        <v>5206</v>
      </c>
      <c r="J12" s="127">
        <v>169180</v>
      </c>
      <c r="K12" s="127">
        <v>56946</v>
      </c>
      <c r="L12" s="127">
        <v>49450</v>
      </c>
      <c r="M12" s="59">
        <v>62784</v>
      </c>
      <c r="N12" s="127">
        <v>784041</v>
      </c>
      <c r="O12" s="81"/>
      <c r="P12" s="127">
        <v>89031</v>
      </c>
      <c r="Q12" s="127">
        <v>52703</v>
      </c>
      <c r="R12" s="59">
        <v>2292706</v>
      </c>
      <c r="S12" s="81"/>
      <c r="T12" s="127">
        <v>750530</v>
      </c>
      <c r="U12" s="127">
        <v>279410</v>
      </c>
      <c r="V12" s="127">
        <v>130501</v>
      </c>
      <c r="W12" s="59">
        <v>31820</v>
      </c>
      <c r="X12" s="59">
        <v>11115</v>
      </c>
      <c r="Y12" s="127">
        <v>1403926</v>
      </c>
      <c r="Z12" s="59">
        <v>184184</v>
      </c>
      <c r="AA12" s="59">
        <v>1165742</v>
      </c>
      <c r="AB12" s="81"/>
      <c r="AC12" s="59">
        <v>2304956</v>
      </c>
      <c r="AD12" s="81"/>
      <c r="AE12" s="81"/>
      <c r="AF12" s="81"/>
      <c r="AG12" s="81"/>
      <c r="AH12" s="81"/>
      <c r="AI12" s="81"/>
    </row>
    <row r="13" spans="1:35" ht="13" x14ac:dyDescent="0.15">
      <c r="A13" s="33" t="s">
        <v>80</v>
      </c>
      <c r="B13" s="127">
        <v>7131490</v>
      </c>
      <c r="C13" s="59">
        <v>2444872</v>
      </c>
      <c r="D13" s="127">
        <v>2732875</v>
      </c>
      <c r="E13" s="127">
        <v>994684</v>
      </c>
      <c r="F13" s="127">
        <v>174773</v>
      </c>
      <c r="G13" s="59">
        <v>126500</v>
      </c>
      <c r="H13" s="59">
        <v>98640</v>
      </c>
      <c r="I13" s="127">
        <v>0</v>
      </c>
      <c r="J13" s="127">
        <v>2014238</v>
      </c>
      <c r="K13" s="127">
        <v>601661</v>
      </c>
      <c r="L13" s="127">
        <v>126655</v>
      </c>
      <c r="M13" s="127">
        <v>171657</v>
      </c>
      <c r="N13" s="127">
        <v>1353994</v>
      </c>
      <c r="O13" s="81"/>
      <c r="P13" s="127">
        <v>4670762</v>
      </c>
      <c r="Q13" s="127">
        <v>1374542</v>
      </c>
      <c r="R13" s="127">
        <v>16545026</v>
      </c>
      <c r="S13" s="81"/>
      <c r="T13" s="127">
        <v>9882753</v>
      </c>
      <c r="U13" s="127">
        <v>6325598</v>
      </c>
      <c r="V13" s="127">
        <v>390925</v>
      </c>
      <c r="W13" s="59">
        <v>360175</v>
      </c>
      <c r="X13" s="59">
        <v>46685</v>
      </c>
      <c r="Y13" s="127">
        <v>2394311</v>
      </c>
      <c r="Z13" s="81"/>
      <c r="AA13" s="59">
        <v>1865396</v>
      </c>
      <c r="AB13" s="59">
        <v>4141400</v>
      </c>
      <c r="AC13" s="59">
        <v>16629391</v>
      </c>
      <c r="AD13" s="81"/>
      <c r="AE13" s="81"/>
      <c r="AF13" s="81"/>
      <c r="AG13" s="81"/>
      <c r="AH13" s="81"/>
      <c r="AI13" s="81"/>
    </row>
    <row r="14" spans="1:35" ht="13" x14ac:dyDescent="0.15">
      <c r="A14" s="33" t="s">
        <v>85</v>
      </c>
      <c r="B14" s="127">
        <v>1133216</v>
      </c>
      <c r="C14" s="59">
        <v>757948</v>
      </c>
      <c r="D14" s="127">
        <v>195055</v>
      </c>
      <c r="E14" s="127">
        <v>17143</v>
      </c>
      <c r="F14" s="127">
        <v>2500</v>
      </c>
      <c r="G14" s="81"/>
      <c r="H14" s="59">
        <v>10024</v>
      </c>
      <c r="I14" s="123"/>
      <c r="J14" s="59">
        <v>477831</v>
      </c>
      <c r="K14" s="59">
        <v>353943</v>
      </c>
      <c r="L14" s="59">
        <v>37088</v>
      </c>
      <c r="M14" s="59">
        <v>86700</v>
      </c>
      <c r="N14" s="127">
        <v>936496</v>
      </c>
      <c r="O14" s="81"/>
      <c r="P14" s="59">
        <v>228286</v>
      </c>
      <c r="Q14" s="59">
        <v>40681</v>
      </c>
      <c r="R14" s="59">
        <v>2816510</v>
      </c>
      <c r="S14" s="81"/>
      <c r="T14" s="127">
        <v>1053137</v>
      </c>
      <c r="U14" s="127">
        <v>356375</v>
      </c>
      <c r="V14" s="127">
        <v>366439</v>
      </c>
      <c r="W14" s="59">
        <v>59713</v>
      </c>
      <c r="X14" s="81"/>
      <c r="Y14" s="127">
        <v>1616527</v>
      </c>
      <c r="Z14" s="81"/>
      <c r="AA14" s="59">
        <v>1486473</v>
      </c>
      <c r="AB14" s="127">
        <v>219513</v>
      </c>
      <c r="AC14" s="59">
        <v>2889178</v>
      </c>
      <c r="AD14" s="81"/>
      <c r="AE14" s="81"/>
      <c r="AF14" s="81"/>
      <c r="AG14" s="81"/>
      <c r="AH14" s="81"/>
      <c r="AI14" s="81"/>
    </row>
    <row r="15" spans="1:35" ht="13" x14ac:dyDescent="0.15">
      <c r="A15" s="33" t="s">
        <v>87</v>
      </c>
      <c r="B15" s="59">
        <v>4917819</v>
      </c>
      <c r="C15" s="59">
        <v>2466955</v>
      </c>
      <c r="D15" s="127">
        <v>801711</v>
      </c>
      <c r="E15" s="127">
        <v>328695</v>
      </c>
      <c r="F15" s="127">
        <v>102885</v>
      </c>
      <c r="G15" s="59">
        <v>41751</v>
      </c>
      <c r="H15" s="59">
        <v>711355</v>
      </c>
      <c r="I15" s="127">
        <v>20055</v>
      </c>
      <c r="J15" s="127">
        <v>736959</v>
      </c>
      <c r="K15" s="127">
        <v>60500</v>
      </c>
      <c r="L15" s="59">
        <v>108809</v>
      </c>
      <c r="M15" s="59">
        <v>547501</v>
      </c>
      <c r="N15" s="127">
        <v>4353075</v>
      </c>
      <c r="O15" s="127">
        <v>4200</v>
      </c>
      <c r="P15" s="127">
        <v>444443</v>
      </c>
      <c r="Q15" s="59">
        <v>68759</v>
      </c>
      <c r="R15" s="59">
        <v>10545310</v>
      </c>
      <c r="S15" s="81"/>
      <c r="T15" s="127">
        <v>6190051</v>
      </c>
      <c r="U15" s="127">
        <v>1943215</v>
      </c>
      <c r="V15" s="127">
        <v>92649</v>
      </c>
      <c r="W15" s="59">
        <v>371090</v>
      </c>
      <c r="X15" s="81"/>
      <c r="Y15" s="127">
        <v>1864588</v>
      </c>
      <c r="Z15" s="81"/>
      <c r="AA15" s="59">
        <v>882253</v>
      </c>
      <c r="AB15" s="127">
        <v>2299760</v>
      </c>
      <c r="AC15" s="59">
        <v>10589671</v>
      </c>
      <c r="AD15" s="81"/>
      <c r="AE15" s="81"/>
      <c r="AF15" s="81"/>
      <c r="AG15" s="81"/>
      <c r="AH15" s="81"/>
      <c r="AI15" s="81"/>
    </row>
    <row r="16" spans="1:35" ht="13" x14ac:dyDescent="0.15">
      <c r="A16" s="33" t="s">
        <v>88</v>
      </c>
      <c r="B16" s="127">
        <v>815210</v>
      </c>
      <c r="C16" s="59">
        <v>387319</v>
      </c>
      <c r="D16" s="127">
        <v>259163</v>
      </c>
      <c r="E16" s="127">
        <v>68033</v>
      </c>
      <c r="F16" s="81"/>
      <c r="G16" s="81"/>
      <c r="H16" s="81"/>
      <c r="I16" s="123"/>
      <c r="J16" s="59">
        <v>376870</v>
      </c>
      <c r="K16" s="59">
        <v>95258</v>
      </c>
      <c r="L16" s="59">
        <v>49984</v>
      </c>
      <c r="M16" s="59">
        <v>59350</v>
      </c>
      <c r="N16" s="127">
        <v>2101763</v>
      </c>
      <c r="O16" s="127">
        <v>122000</v>
      </c>
      <c r="P16" s="127">
        <v>22857</v>
      </c>
      <c r="Q16" s="127">
        <v>65567</v>
      </c>
      <c r="R16" s="59">
        <v>3504267</v>
      </c>
      <c r="S16" s="81"/>
      <c r="T16" s="127">
        <v>1847270</v>
      </c>
      <c r="U16" s="127">
        <v>874990</v>
      </c>
      <c r="V16" s="127">
        <v>28749</v>
      </c>
      <c r="W16" s="59">
        <v>243881</v>
      </c>
      <c r="X16" s="81"/>
      <c r="Y16" s="127">
        <v>346091</v>
      </c>
      <c r="Z16" s="81"/>
      <c r="AA16" s="59">
        <v>309091</v>
      </c>
      <c r="AB16" s="127">
        <v>1000</v>
      </c>
      <c r="AC16" s="59">
        <v>4436328</v>
      </c>
      <c r="AD16" s="81"/>
      <c r="AE16" s="81"/>
      <c r="AF16" s="81"/>
      <c r="AG16" s="81"/>
      <c r="AH16" s="81"/>
      <c r="AI16" s="81"/>
    </row>
    <row r="17" spans="1:35" ht="13" x14ac:dyDescent="0.15">
      <c r="A17" s="33" t="s">
        <v>89</v>
      </c>
      <c r="B17" s="127">
        <v>19364180</v>
      </c>
      <c r="C17" s="59">
        <v>9402898</v>
      </c>
      <c r="D17" s="127">
        <v>7277579</v>
      </c>
      <c r="E17" s="127">
        <v>363136</v>
      </c>
      <c r="F17" s="127">
        <v>336563</v>
      </c>
      <c r="G17" s="59">
        <v>375583</v>
      </c>
      <c r="H17" s="81"/>
      <c r="I17" s="123"/>
      <c r="J17" s="127">
        <v>9866969</v>
      </c>
      <c r="K17" s="127">
        <v>147543</v>
      </c>
      <c r="L17" s="127">
        <v>457341</v>
      </c>
      <c r="M17" s="59">
        <v>1441200</v>
      </c>
      <c r="N17" s="127">
        <v>53807214</v>
      </c>
      <c r="O17" s="123"/>
      <c r="P17" s="127">
        <v>1662588</v>
      </c>
      <c r="Q17" s="127">
        <v>642930</v>
      </c>
      <c r="R17" s="59">
        <v>85343881</v>
      </c>
      <c r="S17" s="81"/>
      <c r="T17" s="127">
        <v>52744241</v>
      </c>
      <c r="U17" s="127">
        <v>21052206</v>
      </c>
      <c r="V17" s="127">
        <v>1703138</v>
      </c>
      <c r="W17" s="59">
        <v>685229</v>
      </c>
      <c r="X17" s="59">
        <v>20008605</v>
      </c>
      <c r="Y17" s="127">
        <v>347952</v>
      </c>
      <c r="Z17" s="127">
        <v>347952</v>
      </c>
      <c r="AA17" s="81"/>
      <c r="AB17" s="123"/>
      <c r="AC17" s="59">
        <v>91283164</v>
      </c>
      <c r="AD17" s="81"/>
      <c r="AE17" s="81"/>
      <c r="AF17" s="81"/>
      <c r="AG17" s="81"/>
      <c r="AH17" s="81"/>
      <c r="AI17" s="81"/>
    </row>
    <row r="18" spans="1:35" ht="13" x14ac:dyDescent="0.15">
      <c r="A18" s="33" t="s">
        <v>90</v>
      </c>
      <c r="B18" s="127">
        <v>1420423</v>
      </c>
      <c r="C18" s="59">
        <v>946162</v>
      </c>
      <c r="D18" s="127">
        <v>282214</v>
      </c>
      <c r="E18" s="127">
        <v>58722</v>
      </c>
      <c r="F18" s="127">
        <v>33056</v>
      </c>
      <c r="G18" s="81"/>
      <c r="H18" s="81"/>
      <c r="I18" s="123"/>
      <c r="J18" s="127">
        <v>842245</v>
      </c>
      <c r="K18" s="127">
        <v>713085</v>
      </c>
      <c r="L18" s="127">
        <v>59379</v>
      </c>
      <c r="M18" s="59">
        <v>63941</v>
      </c>
      <c r="N18" s="127">
        <v>1221381</v>
      </c>
      <c r="O18" s="81"/>
      <c r="P18" s="127">
        <v>313898</v>
      </c>
      <c r="Q18" s="127">
        <v>103619</v>
      </c>
      <c r="R18" s="59">
        <v>3901565</v>
      </c>
      <c r="S18" s="81"/>
      <c r="T18" s="127">
        <v>1842894</v>
      </c>
      <c r="U18" s="127">
        <v>487636</v>
      </c>
      <c r="V18" s="59">
        <v>197253</v>
      </c>
      <c r="W18" s="59">
        <v>163828</v>
      </c>
      <c r="X18" s="127">
        <v>38847</v>
      </c>
      <c r="Y18" s="127">
        <v>1910664</v>
      </c>
      <c r="Z18" s="81"/>
      <c r="AA18" s="59">
        <v>1729664</v>
      </c>
      <c r="AB18" s="59">
        <v>148865</v>
      </c>
      <c r="AC18" s="59">
        <v>3942291</v>
      </c>
      <c r="AD18" s="81"/>
      <c r="AE18" s="81"/>
      <c r="AF18" s="81"/>
      <c r="AG18" s="81"/>
      <c r="AH18" s="81"/>
      <c r="AI18" s="81"/>
    </row>
    <row r="19" spans="1:35" ht="13" x14ac:dyDescent="0.15">
      <c r="A19" s="33" t="s">
        <v>92</v>
      </c>
      <c r="B19" s="127">
        <v>604492</v>
      </c>
      <c r="C19" s="59">
        <v>342212</v>
      </c>
      <c r="D19" s="127">
        <v>97613</v>
      </c>
      <c r="E19" s="127">
        <v>83259</v>
      </c>
      <c r="F19" s="81"/>
      <c r="G19" s="81"/>
      <c r="H19" s="81"/>
      <c r="I19" s="123"/>
      <c r="J19" s="127">
        <v>130027</v>
      </c>
      <c r="K19" s="127">
        <v>19867</v>
      </c>
      <c r="L19" s="127">
        <v>3472</v>
      </c>
      <c r="M19" s="59">
        <v>45241</v>
      </c>
      <c r="N19" s="127">
        <v>178339</v>
      </c>
      <c r="O19" s="81"/>
      <c r="P19" s="127">
        <v>45052</v>
      </c>
      <c r="Q19" s="127">
        <v>0</v>
      </c>
      <c r="R19" s="127">
        <v>957911</v>
      </c>
      <c r="S19" s="81"/>
      <c r="T19" s="127">
        <v>124854</v>
      </c>
      <c r="U19" s="127">
        <v>74952</v>
      </c>
      <c r="V19" s="127">
        <v>7388</v>
      </c>
      <c r="W19" s="127">
        <v>3928</v>
      </c>
      <c r="X19" s="59">
        <v>641</v>
      </c>
      <c r="Y19" s="59">
        <v>797166</v>
      </c>
      <c r="Z19" s="81"/>
      <c r="AA19" s="59">
        <v>696266</v>
      </c>
      <c r="AB19" s="123"/>
      <c r="AC19" s="59">
        <v>1107456</v>
      </c>
      <c r="AD19" s="81"/>
      <c r="AE19" s="81"/>
      <c r="AF19" s="81"/>
      <c r="AG19" s="81"/>
      <c r="AH19" s="81"/>
      <c r="AI19" s="81"/>
    </row>
    <row r="20" spans="1:35" ht="13" x14ac:dyDescent="0.15">
      <c r="A20" s="33" t="s">
        <v>93</v>
      </c>
      <c r="B20" s="127">
        <v>2181685</v>
      </c>
      <c r="C20" s="59">
        <v>1024988</v>
      </c>
      <c r="D20" s="127">
        <v>816712</v>
      </c>
      <c r="E20" s="59">
        <v>49612</v>
      </c>
      <c r="F20" s="81"/>
      <c r="G20" s="81"/>
      <c r="H20" s="81"/>
      <c r="I20" s="81"/>
      <c r="J20" s="127">
        <v>1147790</v>
      </c>
      <c r="K20" s="127">
        <v>182789</v>
      </c>
      <c r="L20" s="127">
        <v>63313</v>
      </c>
      <c r="M20" s="127">
        <v>75087</v>
      </c>
      <c r="N20" s="127">
        <v>2357762</v>
      </c>
      <c r="O20" s="81"/>
      <c r="P20" s="127">
        <v>133782</v>
      </c>
      <c r="Q20" s="127">
        <v>98598</v>
      </c>
      <c r="R20" s="127">
        <v>5919617</v>
      </c>
      <c r="S20" s="81"/>
      <c r="T20" s="127">
        <v>7622275</v>
      </c>
      <c r="U20" s="127">
        <v>2735887</v>
      </c>
      <c r="V20" s="127">
        <v>315838</v>
      </c>
      <c r="W20" s="127">
        <v>38893</v>
      </c>
      <c r="X20" s="59">
        <v>24700</v>
      </c>
      <c r="Y20" s="123"/>
      <c r="Z20" s="81"/>
      <c r="AA20" s="81"/>
      <c r="AB20" s="81"/>
      <c r="AC20" s="59">
        <v>8794187</v>
      </c>
      <c r="AD20" s="81"/>
      <c r="AE20" s="81"/>
      <c r="AF20" s="81"/>
      <c r="AG20" s="81"/>
      <c r="AH20" s="81"/>
      <c r="AI20" s="81"/>
    </row>
    <row r="21" spans="1:35" ht="13" x14ac:dyDescent="0.15">
      <c r="A21" s="33" t="s">
        <v>94</v>
      </c>
      <c r="B21" s="127">
        <v>2640688</v>
      </c>
      <c r="C21" s="59">
        <v>1758469</v>
      </c>
      <c r="D21" s="127">
        <v>468938</v>
      </c>
      <c r="E21" s="59">
        <v>113187</v>
      </c>
      <c r="F21" s="127">
        <v>3021</v>
      </c>
      <c r="G21" s="81"/>
      <c r="H21" s="127">
        <v>460</v>
      </c>
      <c r="I21" s="59">
        <v>2200</v>
      </c>
      <c r="J21" s="59">
        <v>585116</v>
      </c>
      <c r="K21" s="59">
        <v>85327</v>
      </c>
      <c r="L21" s="59">
        <v>14243</v>
      </c>
      <c r="M21" s="59">
        <v>67590</v>
      </c>
      <c r="N21" s="127">
        <v>304032</v>
      </c>
      <c r="O21" s="81"/>
      <c r="P21" s="127">
        <v>1016842</v>
      </c>
      <c r="Q21" s="81"/>
      <c r="R21" s="127">
        <v>4630399</v>
      </c>
      <c r="S21" s="81"/>
      <c r="T21" s="127">
        <v>3259668</v>
      </c>
      <c r="U21" s="127">
        <v>1842118</v>
      </c>
      <c r="V21" s="127">
        <v>354500</v>
      </c>
      <c r="W21" s="127">
        <v>17070</v>
      </c>
      <c r="X21" s="81"/>
      <c r="Y21" s="127">
        <v>819807</v>
      </c>
      <c r="Z21" s="81"/>
      <c r="AA21" s="59">
        <v>720659</v>
      </c>
      <c r="AB21" s="59">
        <v>206479</v>
      </c>
      <c r="AC21" s="59">
        <v>4636356</v>
      </c>
      <c r="AD21" s="81"/>
      <c r="AE21" s="81"/>
      <c r="AF21" s="81"/>
      <c r="AG21" s="81"/>
      <c r="AH21" s="81"/>
      <c r="AI21" s="81"/>
    </row>
    <row r="22" spans="1:35" ht="13" x14ac:dyDescent="0.15">
      <c r="A22" s="33" t="s">
        <v>95</v>
      </c>
      <c r="B22" s="59">
        <v>847454</v>
      </c>
      <c r="C22" s="59">
        <v>534610</v>
      </c>
      <c r="D22" s="59">
        <v>180127</v>
      </c>
      <c r="E22" s="59">
        <v>7922</v>
      </c>
      <c r="F22" s="81"/>
      <c r="G22" s="59">
        <v>1300</v>
      </c>
      <c r="H22" s="123"/>
      <c r="I22" s="59">
        <v>347</v>
      </c>
      <c r="J22" s="59">
        <v>159983</v>
      </c>
      <c r="K22" s="59">
        <v>100000</v>
      </c>
      <c r="L22" s="59">
        <v>27425</v>
      </c>
      <c r="M22" s="59">
        <v>17058</v>
      </c>
      <c r="N22" s="127">
        <v>672736</v>
      </c>
      <c r="O22" s="81"/>
      <c r="P22" s="127">
        <v>183750</v>
      </c>
      <c r="Q22" s="81"/>
      <c r="R22" s="127">
        <v>1864270</v>
      </c>
      <c r="S22" s="81"/>
      <c r="T22" s="127">
        <v>694254</v>
      </c>
      <c r="U22" s="127">
        <v>296995</v>
      </c>
      <c r="V22" s="127">
        <v>52190</v>
      </c>
      <c r="W22" s="127">
        <v>96470</v>
      </c>
      <c r="X22" s="59">
        <v>313486</v>
      </c>
      <c r="Y22" s="59">
        <v>674280</v>
      </c>
      <c r="Z22" s="81"/>
      <c r="AA22" s="59">
        <v>429980</v>
      </c>
      <c r="AB22" s="81"/>
      <c r="AC22" s="59">
        <v>1867734</v>
      </c>
      <c r="AD22" s="81"/>
      <c r="AE22" s="81"/>
      <c r="AF22" s="81"/>
      <c r="AG22" s="81"/>
      <c r="AH22" s="81"/>
      <c r="AI22" s="81"/>
    </row>
    <row r="23" spans="1:35" ht="13" hidden="1" x14ac:dyDescent="0.15">
      <c r="A23" s="135"/>
      <c r="B23" s="123"/>
      <c r="C23" s="81"/>
      <c r="D23" s="123"/>
      <c r="E23" s="81"/>
      <c r="F23" s="81"/>
      <c r="G23" s="81"/>
      <c r="H23" s="123"/>
      <c r="I23" s="81"/>
      <c r="J23" s="123"/>
      <c r="K23" s="81"/>
      <c r="L23" s="81"/>
      <c r="M23" s="81"/>
      <c r="N23" s="123"/>
      <c r="O23" s="81"/>
      <c r="P23" s="81"/>
      <c r="Q23" s="81"/>
      <c r="R23" s="81"/>
      <c r="S23" s="81"/>
      <c r="T23" s="123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</row>
    <row r="24" spans="1:35" ht="13" hidden="1" x14ac:dyDescent="0.15">
      <c r="A24" s="135"/>
      <c r="B24" s="81"/>
      <c r="C24" s="81"/>
      <c r="D24" s="81"/>
      <c r="E24" s="81"/>
      <c r="F24" s="81"/>
      <c r="G24" s="81"/>
      <c r="H24" s="123"/>
      <c r="I24" s="81"/>
      <c r="J24" s="123"/>
      <c r="K24" s="81"/>
      <c r="L24" s="81"/>
      <c r="M24" s="81"/>
      <c r="N24" s="123"/>
      <c r="O24" s="81"/>
      <c r="P24" s="81"/>
      <c r="Q24" s="81"/>
      <c r="R24" s="81"/>
      <c r="S24" s="81"/>
      <c r="T24" s="123"/>
      <c r="U24" s="81"/>
      <c r="V24" s="81"/>
      <c r="W24" s="81"/>
      <c r="X24" s="81"/>
      <c r="Y24" s="123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1:35" ht="13" hidden="1" x14ac:dyDescent="0.15">
      <c r="A25" s="135"/>
      <c r="B25" s="81"/>
      <c r="C25" s="81"/>
      <c r="D25" s="123"/>
      <c r="E25" s="81"/>
      <c r="F25" s="81"/>
      <c r="G25" s="81"/>
      <c r="H25" s="123"/>
      <c r="I25" s="81"/>
      <c r="J25" s="123"/>
      <c r="K25" s="81"/>
      <c r="L25" s="81"/>
      <c r="M25" s="81"/>
      <c r="N25" s="123"/>
      <c r="O25" s="81"/>
      <c r="P25" s="81"/>
      <c r="Q25" s="81"/>
      <c r="R25" s="81"/>
      <c r="S25" s="81"/>
      <c r="T25" s="123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1:35" ht="13" hidden="1" x14ac:dyDescent="0.15">
      <c r="A26" s="135"/>
      <c r="B26" s="81"/>
      <c r="C26" s="81"/>
      <c r="D26" s="123"/>
      <c r="E26" s="81"/>
      <c r="F26" s="81"/>
      <c r="G26" s="81"/>
      <c r="H26" s="123"/>
      <c r="I26" s="81"/>
      <c r="J26" s="123"/>
      <c r="K26" s="81"/>
      <c r="L26" s="81"/>
      <c r="M26" s="81"/>
      <c r="N26" s="123"/>
      <c r="O26" s="81"/>
      <c r="P26" s="81"/>
      <c r="Q26" s="81"/>
      <c r="R26" s="81"/>
      <c r="S26" s="81"/>
      <c r="T26" s="123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7" width="11.832031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3"/>
      <c r="B2" s="4" t="s">
        <v>1</v>
      </c>
      <c r="C2" s="4">
        <v>2009</v>
      </c>
      <c r="D2" s="7">
        <v>2010</v>
      </c>
      <c r="E2" s="7">
        <v>2011</v>
      </c>
      <c r="F2" s="10"/>
      <c r="G2" s="8"/>
    </row>
    <row r="3" spans="1:7" ht="13" x14ac:dyDescent="0.15">
      <c r="A3" s="3"/>
      <c r="B3" s="9" t="s">
        <v>22</v>
      </c>
      <c r="C3" s="11"/>
      <c r="D3" s="12"/>
      <c r="E3" s="13"/>
      <c r="F3" s="14"/>
      <c r="G3" s="8"/>
    </row>
    <row r="4" spans="1:7" ht="13" x14ac:dyDescent="0.15">
      <c r="A4" s="3"/>
      <c r="B4" s="15"/>
      <c r="C4" s="16"/>
      <c r="D4" s="18"/>
      <c r="E4" s="18"/>
      <c r="F4" s="18"/>
      <c r="G4" s="8"/>
    </row>
    <row r="5" spans="1:7" ht="13" x14ac:dyDescent="0.15">
      <c r="A5" s="19">
        <v>41</v>
      </c>
      <c r="B5" s="20" t="s">
        <v>0</v>
      </c>
      <c r="C5" s="24">
        <f t="shared" ref="C5:E5" si="0">SUM(C6:C13)</f>
        <v>423037.45000000007</v>
      </c>
      <c r="D5" s="30">
        <f t="shared" si="0"/>
        <v>364865.63000000006</v>
      </c>
      <c r="E5" s="30">
        <f t="shared" si="0"/>
        <v>441438.80000000005</v>
      </c>
      <c r="F5" s="18"/>
      <c r="G5" s="8"/>
    </row>
    <row r="6" spans="1:7" ht="13" x14ac:dyDescent="0.15">
      <c r="A6" s="19">
        <v>411</v>
      </c>
      <c r="B6" s="37" t="s">
        <v>38</v>
      </c>
      <c r="C6" s="56">
        <v>288292.86</v>
      </c>
      <c r="D6" s="57">
        <v>251790.44</v>
      </c>
      <c r="E6" s="57">
        <v>326973.78000000003</v>
      </c>
      <c r="F6" s="41"/>
      <c r="G6" s="8"/>
    </row>
    <row r="7" spans="1:7" ht="13" x14ac:dyDescent="0.15">
      <c r="A7" s="19">
        <v>412</v>
      </c>
      <c r="B7" s="58" t="s">
        <v>54</v>
      </c>
      <c r="C7" s="56">
        <v>49882.9</v>
      </c>
      <c r="D7" s="57">
        <v>55639.71</v>
      </c>
      <c r="E7" s="57">
        <v>41323.769999999997</v>
      </c>
      <c r="F7" s="41"/>
      <c r="G7" s="8"/>
    </row>
    <row r="8" spans="1:7" ht="13" x14ac:dyDescent="0.15">
      <c r="A8" s="19">
        <v>413</v>
      </c>
      <c r="B8" s="58" t="s">
        <v>3</v>
      </c>
      <c r="C8" s="56">
        <v>74681.33</v>
      </c>
      <c r="D8" s="57">
        <v>51611.7</v>
      </c>
      <c r="E8" s="57">
        <v>66123.95</v>
      </c>
      <c r="F8" s="41"/>
      <c r="G8" s="8"/>
    </row>
    <row r="9" spans="1:7" ht="13" x14ac:dyDescent="0.15">
      <c r="A9" s="44">
        <v>414</v>
      </c>
      <c r="B9" s="37" t="s">
        <v>5</v>
      </c>
      <c r="C9" s="56">
        <v>4929.83</v>
      </c>
      <c r="D9" s="57">
        <v>1981.95</v>
      </c>
      <c r="E9" s="57">
        <v>2737.67</v>
      </c>
      <c r="F9" s="41"/>
      <c r="G9" s="8"/>
    </row>
    <row r="10" spans="1:7" ht="13" x14ac:dyDescent="0.15">
      <c r="A10" s="19">
        <v>415</v>
      </c>
      <c r="B10" s="60" t="s">
        <v>6</v>
      </c>
      <c r="C10" s="16"/>
      <c r="D10" s="18"/>
      <c r="E10" s="18"/>
      <c r="F10" s="41"/>
      <c r="G10" s="8"/>
    </row>
    <row r="11" spans="1:7" ht="13" x14ac:dyDescent="0.15">
      <c r="A11" s="19">
        <v>416</v>
      </c>
      <c r="B11" s="37" t="s">
        <v>7</v>
      </c>
      <c r="C11" s="16"/>
      <c r="D11" s="18"/>
      <c r="E11" s="18"/>
      <c r="F11" s="41"/>
      <c r="G11" s="8"/>
    </row>
    <row r="12" spans="1:7" ht="13" x14ac:dyDescent="0.15">
      <c r="A12" s="19">
        <v>417</v>
      </c>
      <c r="B12" s="37" t="s">
        <v>8</v>
      </c>
      <c r="C12" s="56">
        <v>1868</v>
      </c>
      <c r="D12" s="57">
        <v>738</v>
      </c>
      <c r="E12" s="57">
        <v>1127</v>
      </c>
      <c r="F12" s="41"/>
      <c r="G12" s="8"/>
    </row>
    <row r="13" spans="1:7" ht="13" x14ac:dyDescent="0.15">
      <c r="A13" s="19">
        <v>418</v>
      </c>
      <c r="B13" s="37" t="s">
        <v>55</v>
      </c>
      <c r="C13" s="56">
        <v>3382.53</v>
      </c>
      <c r="D13" s="57">
        <v>3103.83</v>
      </c>
      <c r="E13" s="57">
        <v>3152.63</v>
      </c>
      <c r="F13" s="41"/>
      <c r="G13" s="8"/>
    </row>
    <row r="14" spans="1:7" ht="13" x14ac:dyDescent="0.15">
      <c r="A14" s="19">
        <v>42</v>
      </c>
      <c r="B14" s="47" t="s">
        <v>9</v>
      </c>
      <c r="C14" s="56">
        <v>330</v>
      </c>
      <c r="D14" s="57">
        <v>0</v>
      </c>
      <c r="E14" s="57">
        <v>440</v>
      </c>
      <c r="F14" s="41"/>
      <c r="G14" s="8"/>
    </row>
    <row r="15" spans="1:7" ht="16.5" customHeight="1" x14ac:dyDescent="0.15">
      <c r="A15" s="49">
        <v>43</v>
      </c>
      <c r="B15" s="60" t="s">
        <v>10</v>
      </c>
      <c r="C15" s="71">
        <v>275663.06</v>
      </c>
      <c r="D15" s="75">
        <v>219238.79</v>
      </c>
      <c r="E15" s="71">
        <v>295670.27</v>
      </c>
      <c r="F15" s="18"/>
      <c r="G15" s="128"/>
    </row>
    <row r="16" spans="1:7" ht="13" x14ac:dyDescent="0.15">
      <c r="A16" s="44" t="s">
        <v>58</v>
      </c>
      <c r="B16" s="45" t="s">
        <v>11</v>
      </c>
      <c r="C16" s="67">
        <f>110500+60000+6000+6380+3000+2100+2000+3200+2000</f>
        <v>195180</v>
      </c>
      <c r="D16" s="46">
        <f>98360+50900+3000+2400+1000+1000+800+1850</f>
        <v>159310</v>
      </c>
      <c r="E16" s="67">
        <f>123100+51500+5000+6000+2500+2000+1000+4800+2000</f>
        <v>197900</v>
      </c>
      <c r="F16" s="18"/>
      <c r="G16" s="8"/>
    </row>
    <row r="17" spans="1:7" ht="31.5" customHeight="1" x14ac:dyDescent="0.15">
      <c r="A17" s="44" t="s">
        <v>59</v>
      </c>
      <c r="B17" s="45" t="s">
        <v>12</v>
      </c>
      <c r="C17" s="67">
        <f>9150+5215+1000+8484.46</f>
        <v>23849.46</v>
      </c>
      <c r="D17" s="46">
        <f>2171.15+2000+880+6747.64</f>
        <v>11798.79</v>
      </c>
      <c r="E17" s="67">
        <f>8500+5000+1000+8300.27</f>
        <v>22800.27</v>
      </c>
      <c r="F17" s="18"/>
      <c r="G17" s="8"/>
    </row>
    <row r="18" spans="1:7" ht="13" x14ac:dyDescent="0.15">
      <c r="A18" s="44" t="s">
        <v>60</v>
      </c>
      <c r="B18" s="74" t="s">
        <v>13</v>
      </c>
      <c r="C18" s="43">
        <v>5720</v>
      </c>
      <c r="D18" s="40">
        <v>3630</v>
      </c>
      <c r="E18" s="39">
        <v>2970</v>
      </c>
      <c r="F18" s="88"/>
    </row>
    <row r="19" spans="1:7" ht="13" x14ac:dyDescent="0.15">
      <c r="A19" s="44" t="s">
        <v>61</v>
      </c>
      <c r="B19" s="74" t="s">
        <v>62</v>
      </c>
      <c r="C19" s="46">
        <f>3000+47913.6</f>
        <v>50913.599999999999</v>
      </c>
      <c r="D19" s="40">
        <v>44500</v>
      </c>
      <c r="E19" s="48">
        <f>2000+70000</f>
        <v>72000</v>
      </c>
      <c r="F19" s="95"/>
    </row>
    <row r="20" spans="1:7" ht="13" x14ac:dyDescent="0.15">
      <c r="A20" s="19">
        <v>44</v>
      </c>
      <c r="B20" s="37" t="s">
        <v>14</v>
      </c>
      <c r="C20" s="56">
        <v>376718.56</v>
      </c>
      <c r="D20" s="57">
        <v>119391.87</v>
      </c>
      <c r="E20" s="57">
        <v>164331.72</v>
      </c>
      <c r="F20" s="18"/>
      <c r="G20" s="8"/>
    </row>
    <row r="21" spans="1:7" ht="13" x14ac:dyDescent="0.15">
      <c r="A21" s="19">
        <v>45</v>
      </c>
      <c r="B21" s="47" t="s">
        <v>63</v>
      </c>
      <c r="C21" s="16"/>
      <c r="D21" s="18"/>
      <c r="E21" s="57">
        <v>20000</v>
      </c>
      <c r="F21" s="18"/>
      <c r="G21" s="8"/>
    </row>
    <row r="22" spans="1:7" ht="13" x14ac:dyDescent="0.15">
      <c r="A22" s="19">
        <v>46</v>
      </c>
      <c r="B22" s="20" t="s">
        <v>16</v>
      </c>
      <c r="C22" s="16">
        <f>62201+13806.67</f>
        <v>76007.67</v>
      </c>
      <c r="D22" s="18">
        <f>62201+4034.41</f>
        <v>66235.41</v>
      </c>
      <c r="E22" s="18">
        <f>62201+57726.16</f>
        <v>119927.16</v>
      </c>
      <c r="F22" s="18"/>
      <c r="G22" s="8"/>
    </row>
    <row r="23" spans="1:7" ht="13" x14ac:dyDescent="0.15">
      <c r="A23" s="19">
        <v>47</v>
      </c>
      <c r="B23" s="20" t="s">
        <v>17</v>
      </c>
      <c r="C23" s="56">
        <v>15334.21</v>
      </c>
      <c r="D23" s="57">
        <v>9590</v>
      </c>
      <c r="E23" s="18">
        <f>38475.81+8343.7</f>
        <v>46819.509999999995</v>
      </c>
      <c r="F23" s="18"/>
      <c r="G23" s="8"/>
    </row>
    <row r="24" spans="1:7" ht="13" x14ac:dyDescent="0.15">
      <c r="A24" s="3"/>
      <c r="B24" s="20" t="s">
        <v>18</v>
      </c>
      <c r="C24" s="180">
        <v>1167090.95</v>
      </c>
      <c r="D24" s="181">
        <v>779321.7</v>
      </c>
      <c r="E24" s="181">
        <v>1088627.46</v>
      </c>
      <c r="F24" s="18"/>
      <c r="G24" s="8"/>
    </row>
    <row r="25" spans="1:7" ht="13" x14ac:dyDescent="0.15">
      <c r="A25" s="3"/>
      <c r="B25" s="103" t="s">
        <v>64</v>
      </c>
      <c r="C25" s="104"/>
      <c r="D25" s="105"/>
      <c r="E25" s="105"/>
      <c r="F25" s="105"/>
      <c r="G25" s="8"/>
    </row>
    <row r="26" spans="1:7" ht="13" x14ac:dyDescent="0.15">
      <c r="A26" s="19">
        <v>71</v>
      </c>
      <c r="B26" s="20" t="s">
        <v>39</v>
      </c>
      <c r="C26" s="107">
        <f t="shared" ref="C26:E26" si="1">SUM(C27:C31)</f>
        <v>350034.44000000006</v>
      </c>
      <c r="D26" s="107">
        <f t="shared" si="1"/>
        <v>208749.97</v>
      </c>
      <c r="E26" s="107">
        <f t="shared" si="1"/>
        <v>263434.81</v>
      </c>
      <c r="F26" s="15"/>
      <c r="G26" s="8"/>
    </row>
    <row r="27" spans="1:7" ht="13" x14ac:dyDescent="0.15">
      <c r="A27" s="44">
        <v>711</v>
      </c>
      <c r="B27" s="45" t="s">
        <v>40</v>
      </c>
      <c r="C27" s="39">
        <v>137165.69</v>
      </c>
      <c r="D27" s="39">
        <v>115399.85</v>
      </c>
      <c r="E27" s="39">
        <v>103590.68</v>
      </c>
      <c r="F27" s="41"/>
      <c r="G27" s="8"/>
    </row>
    <row r="28" spans="1:7" ht="13" x14ac:dyDescent="0.15">
      <c r="A28" s="44">
        <v>713</v>
      </c>
      <c r="B28" s="45" t="s">
        <v>41</v>
      </c>
      <c r="C28" s="39">
        <v>111507.53</v>
      </c>
      <c r="D28" s="39">
        <v>26272.67</v>
      </c>
      <c r="E28" s="39">
        <v>22779.81</v>
      </c>
      <c r="F28" s="41"/>
      <c r="G28" s="8"/>
    </row>
    <row r="29" spans="1:7" ht="13" x14ac:dyDescent="0.15">
      <c r="A29" s="44">
        <v>714</v>
      </c>
      <c r="B29" s="45" t="s">
        <v>42</v>
      </c>
      <c r="C29" s="48">
        <f>1574.15+50613.28</f>
        <v>52187.43</v>
      </c>
      <c r="D29" s="48">
        <f>728.47+18051.56</f>
        <v>18780.030000000002</v>
      </c>
      <c r="E29" s="48">
        <f>1941.19+106623.39</f>
        <v>108564.58</v>
      </c>
      <c r="F29" s="41"/>
      <c r="G29" s="8"/>
    </row>
    <row r="30" spans="1:7" ht="13" x14ac:dyDescent="0.15">
      <c r="A30" s="80"/>
      <c r="B30" s="45" t="s">
        <v>66</v>
      </c>
      <c r="C30" s="48">
        <f>12364.63+2962.6+13369.1+6325.75</f>
        <v>35022.080000000002</v>
      </c>
      <c r="D30" s="48">
        <f>3312.25+9963+6360.52</f>
        <v>19635.77</v>
      </c>
      <c r="E30" s="48">
        <f>3321+2700.17+2611.54+6697.75</f>
        <v>15330.46</v>
      </c>
      <c r="F30" s="41"/>
      <c r="G30" s="8"/>
    </row>
    <row r="31" spans="1:7" ht="13" x14ac:dyDescent="0.15">
      <c r="A31" s="44">
        <v>715</v>
      </c>
      <c r="B31" s="45" t="s">
        <v>67</v>
      </c>
      <c r="C31" s="56">
        <v>14151.71</v>
      </c>
      <c r="D31" s="57">
        <v>28661.65</v>
      </c>
      <c r="E31" s="57">
        <v>13169.28</v>
      </c>
      <c r="F31" s="41"/>
      <c r="G31" s="8"/>
    </row>
    <row r="32" spans="1:7" ht="13" x14ac:dyDescent="0.15">
      <c r="A32" s="19">
        <v>72</v>
      </c>
      <c r="B32" s="174" t="s">
        <v>43</v>
      </c>
      <c r="C32" s="16"/>
      <c r="D32" s="48"/>
      <c r="E32" s="39">
        <v>0</v>
      </c>
      <c r="F32" s="48"/>
      <c r="G32" s="8"/>
    </row>
    <row r="33" spans="1:7" ht="18" customHeight="1" x14ac:dyDescent="0.15">
      <c r="A33" s="115">
        <v>73</v>
      </c>
      <c r="B33" s="47" t="s">
        <v>68</v>
      </c>
      <c r="C33" s="131">
        <v>76246.53</v>
      </c>
      <c r="D33" s="131">
        <v>42777.77</v>
      </c>
      <c r="E33" s="131">
        <v>38690.83</v>
      </c>
      <c r="F33" s="117"/>
      <c r="G33" s="8"/>
    </row>
    <row r="34" spans="1:7" ht="13" x14ac:dyDescent="0.15">
      <c r="A34" s="19">
        <v>74</v>
      </c>
      <c r="B34" s="60" t="s">
        <v>44</v>
      </c>
      <c r="C34" s="108">
        <f>10000+773587.75</f>
        <v>783587.75</v>
      </c>
      <c r="D34" s="109">
        <f>82370+484322</f>
        <v>566692</v>
      </c>
      <c r="E34" s="109">
        <f>518315.53+1159662.06</f>
        <v>1677977.59</v>
      </c>
      <c r="F34" s="18"/>
      <c r="G34" s="8"/>
    </row>
    <row r="35" spans="1:7" ht="13" x14ac:dyDescent="0.15">
      <c r="A35" s="44" t="s">
        <v>97</v>
      </c>
      <c r="B35" s="45" t="s">
        <v>45</v>
      </c>
      <c r="C35" s="40">
        <v>2655.75</v>
      </c>
      <c r="D35" s="43">
        <v>155790</v>
      </c>
      <c r="E35" s="43">
        <v>151852.06</v>
      </c>
      <c r="F35" s="18"/>
      <c r="G35" s="8"/>
    </row>
    <row r="36" spans="1:7" ht="13" x14ac:dyDescent="0.15">
      <c r="A36" s="44" t="s">
        <v>99</v>
      </c>
      <c r="B36" s="45" t="s">
        <v>46</v>
      </c>
      <c r="C36" s="40">
        <v>770932</v>
      </c>
      <c r="D36" s="43">
        <v>328532</v>
      </c>
      <c r="E36" s="43">
        <v>1007810</v>
      </c>
      <c r="F36" s="18"/>
      <c r="G36" s="8"/>
    </row>
    <row r="37" spans="1:7" ht="13" x14ac:dyDescent="0.15">
      <c r="A37" s="80"/>
      <c r="B37" s="45" t="s">
        <v>81</v>
      </c>
      <c r="C37" s="111" t="s">
        <v>172</v>
      </c>
      <c r="D37" s="111" t="s">
        <v>174</v>
      </c>
      <c r="E37" s="111" t="s">
        <v>175</v>
      </c>
      <c r="F37" s="18"/>
      <c r="G37" s="8"/>
    </row>
    <row r="38" spans="1:7" ht="13" x14ac:dyDescent="0.15">
      <c r="A38" s="19">
        <v>751</v>
      </c>
      <c r="B38" s="37" t="s">
        <v>63</v>
      </c>
      <c r="C38" s="16"/>
      <c r="D38" s="18"/>
      <c r="E38" s="18"/>
      <c r="F38" s="18"/>
      <c r="G38" s="8"/>
    </row>
    <row r="39" spans="1:7" ht="13" x14ac:dyDescent="0.15">
      <c r="A39" s="3"/>
      <c r="B39" s="37" t="s">
        <v>82</v>
      </c>
      <c r="C39" s="56">
        <v>1209868.72</v>
      </c>
      <c r="D39" s="57">
        <v>818219.74</v>
      </c>
      <c r="E39" s="18">
        <f>E27+E28+E29+E30+E31+E33+E34</f>
        <v>1980103.23</v>
      </c>
      <c r="F39" s="18"/>
      <c r="G39" s="8"/>
    </row>
    <row r="40" spans="1:7" ht="13" x14ac:dyDescent="0.15">
      <c r="A40" s="3"/>
      <c r="B40" s="103" t="s">
        <v>83</v>
      </c>
      <c r="C40" s="104"/>
      <c r="D40" s="105"/>
      <c r="E40" s="105"/>
      <c r="F40" s="105"/>
      <c r="G40" s="8"/>
    </row>
    <row r="41" spans="1:7" ht="13" x14ac:dyDescent="0.15">
      <c r="A41" s="3"/>
      <c r="B41" s="42" t="s">
        <v>84</v>
      </c>
      <c r="C41" s="66"/>
      <c r="D41" s="48"/>
      <c r="E41" s="48"/>
      <c r="F41" s="48"/>
      <c r="G41" s="8"/>
    </row>
    <row r="42" spans="1:7" ht="13" x14ac:dyDescent="0.15">
      <c r="A42" s="3"/>
      <c r="B42" s="42" t="s">
        <v>178</v>
      </c>
      <c r="C42" s="66"/>
      <c r="D42" s="48"/>
      <c r="E42" s="48"/>
      <c r="F42" s="48"/>
      <c r="G42" s="8"/>
    </row>
    <row r="43" spans="1:7" ht="13" x14ac:dyDescent="0.15">
      <c r="A43" s="3"/>
      <c r="B43" s="42" t="s">
        <v>51</v>
      </c>
      <c r="C43" s="66"/>
      <c r="D43" s="48"/>
      <c r="E43" s="48"/>
      <c r="F43" s="48"/>
      <c r="G43" s="8"/>
    </row>
    <row r="44" spans="1:7" ht="13" x14ac:dyDescent="0.15">
      <c r="A44" s="3"/>
      <c r="B44" s="42" t="s">
        <v>86</v>
      </c>
      <c r="C44" s="66"/>
      <c r="D44" s="48"/>
      <c r="E44" s="48"/>
      <c r="F44" s="48"/>
      <c r="G44" s="8"/>
    </row>
    <row r="45" spans="1:7" ht="13" x14ac:dyDescent="0.15">
      <c r="A45" s="3"/>
      <c r="B45" s="134"/>
      <c r="C45" s="104"/>
      <c r="D45" s="105"/>
      <c r="E45" s="105"/>
      <c r="F45" s="105"/>
      <c r="G45" s="8"/>
    </row>
    <row r="46" spans="1:7" ht="19.5" customHeight="1" x14ac:dyDescent="0.15">
      <c r="B46" s="140"/>
      <c r="C46" s="140"/>
      <c r="D46" s="141"/>
      <c r="E46" s="140"/>
      <c r="F46" s="140"/>
    </row>
    <row r="47" spans="1:7" ht="19.5" customHeight="1" x14ac:dyDescent="0.15">
      <c r="B47" s="148" t="s">
        <v>96</v>
      </c>
      <c r="C47" s="1"/>
      <c r="D47" s="150"/>
      <c r="E47" s="1"/>
    </row>
    <row r="48" spans="1:7" ht="19.5" customHeight="1" x14ac:dyDescent="0.15">
      <c r="A48" s="3"/>
      <c r="B48" s="188" t="s">
        <v>106</v>
      </c>
      <c r="C48" s="190">
        <f t="shared" ref="C48:E48" si="2">C71-C69</f>
        <v>790372.3899999999</v>
      </c>
      <c r="D48" s="190">
        <f t="shared" si="2"/>
        <v>659929.82999999996</v>
      </c>
      <c r="E48" s="190">
        <f t="shared" si="2"/>
        <v>904295.74</v>
      </c>
      <c r="F48" s="8"/>
    </row>
    <row r="49" spans="1:6" ht="24" customHeight="1" x14ac:dyDescent="0.15">
      <c r="A49" s="3"/>
      <c r="B49" s="153" t="s">
        <v>113</v>
      </c>
      <c r="C49" s="159">
        <v>36504.33</v>
      </c>
      <c r="D49" s="159">
        <v>31154.98</v>
      </c>
      <c r="E49" s="159">
        <v>34372.18</v>
      </c>
      <c r="F49" s="8"/>
    </row>
    <row r="50" spans="1:6" ht="24" customHeight="1" x14ac:dyDescent="0.15">
      <c r="A50" s="3"/>
      <c r="B50" s="153" t="s">
        <v>179</v>
      </c>
      <c r="C50" s="159">
        <v>67546.62</v>
      </c>
      <c r="D50" s="159">
        <v>55130.82</v>
      </c>
      <c r="E50" s="159">
        <v>56111.97</v>
      </c>
      <c r="F50" s="8"/>
    </row>
    <row r="51" spans="1:6" ht="24" customHeight="1" x14ac:dyDescent="0.15">
      <c r="A51" s="3"/>
      <c r="B51" s="166" t="s">
        <v>180</v>
      </c>
      <c r="C51" s="159">
        <v>35989.22</v>
      </c>
      <c r="D51" s="159">
        <v>32043.15</v>
      </c>
      <c r="E51" s="159">
        <v>34569.01</v>
      </c>
      <c r="F51" s="8"/>
    </row>
    <row r="52" spans="1:6" ht="24" customHeight="1" x14ac:dyDescent="0.15">
      <c r="A52" s="3"/>
      <c r="B52" s="166" t="s">
        <v>181</v>
      </c>
      <c r="C52" s="159">
        <v>67644.91</v>
      </c>
      <c r="D52" s="159">
        <v>62997.87</v>
      </c>
      <c r="E52" s="159">
        <v>70745.75</v>
      </c>
      <c r="F52" s="8"/>
    </row>
    <row r="53" spans="1:6" ht="24" customHeight="1" x14ac:dyDescent="0.15">
      <c r="A53" s="3"/>
      <c r="B53" s="166" t="s">
        <v>182</v>
      </c>
      <c r="C53" s="159">
        <v>339603.64</v>
      </c>
      <c r="D53" s="159">
        <v>294274.21999999997</v>
      </c>
      <c r="E53" s="159">
        <v>414755.68</v>
      </c>
      <c r="F53" s="8"/>
    </row>
    <row r="54" spans="1:6" ht="24" customHeight="1" x14ac:dyDescent="0.15">
      <c r="A54" s="3"/>
      <c r="B54" s="166" t="s">
        <v>183</v>
      </c>
      <c r="C54" s="167"/>
      <c r="D54" s="167"/>
      <c r="E54" s="159">
        <v>21251.37</v>
      </c>
      <c r="F54" s="8"/>
    </row>
    <row r="55" spans="1:6" ht="24" customHeight="1" x14ac:dyDescent="0.15">
      <c r="A55" s="3"/>
      <c r="B55" s="166" t="s">
        <v>184</v>
      </c>
      <c r="C55" s="159">
        <v>2000</v>
      </c>
      <c r="D55" s="192">
        <v>0</v>
      </c>
      <c r="E55" s="159">
        <v>2000</v>
      </c>
      <c r="F55" s="8"/>
    </row>
    <row r="56" spans="1:6" ht="24" customHeight="1" x14ac:dyDescent="0.15">
      <c r="A56" s="3"/>
      <c r="B56" s="153" t="s">
        <v>185</v>
      </c>
      <c r="C56" s="159">
        <v>3200</v>
      </c>
      <c r="D56" s="159">
        <v>1850</v>
      </c>
      <c r="E56" s="159">
        <v>4800</v>
      </c>
      <c r="F56" s="8"/>
    </row>
    <row r="57" spans="1:6" ht="24" customHeight="1" x14ac:dyDescent="0.15">
      <c r="A57" s="3"/>
      <c r="B57" s="166" t="s">
        <v>186</v>
      </c>
      <c r="C57" s="159">
        <v>109500</v>
      </c>
      <c r="D57" s="159">
        <v>98360</v>
      </c>
      <c r="E57" s="159">
        <v>123100</v>
      </c>
      <c r="F57" s="8"/>
    </row>
    <row r="58" spans="1:6" ht="24" customHeight="1" x14ac:dyDescent="0.15">
      <c r="A58" s="3"/>
      <c r="B58" s="166" t="s">
        <v>187</v>
      </c>
      <c r="C58" s="159">
        <v>1000</v>
      </c>
      <c r="D58" s="167"/>
      <c r="E58" s="167"/>
      <c r="F58" s="8"/>
    </row>
    <row r="59" spans="1:6" ht="24" customHeight="1" x14ac:dyDescent="0.15">
      <c r="A59" s="3"/>
      <c r="B59" s="166" t="s">
        <v>188</v>
      </c>
      <c r="C59" s="159">
        <v>19480</v>
      </c>
      <c r="D59" s="159">
        <v>8200</v>
      </c>
      <c r="E59" s="159">
        <v>16500</v>
      </c>
      <c r="F59" s="8"/>
    </row>
    <row r="60" spans="1:6" ht="24" customHeight="1" x14ac:dyDescent="0.15">
      <c r="A60" s="3"/>
      <c r="B60" s="166" t="s">
        <v>189</v>
      </c>
      <c r="C60" s="159">
        <v>5720</v>
      </c>
      <c r="D60" s="159">
        <v>3630</v>
      </c>
      <c r="E60" s="159">
        <v>2970</v>
      </c>
      <c r="F60" s="8"/>
    </row>
    <row r="61" spans="1:6" ht="24" customHeight="1" x14ac:dyDescent="0.15">
      <c r="A61" s="3"/>
      <c r="B61" s="166" t="s">
        <v>190</v>
      </c>
      <c r="C61" s="159">
        <v>3000</v>
      </c>
      <c r="D61" s="159">
        <v>0</v>
      </c>
      <c r="E61" s="159">
        <v>2000</v>
      </c>
      <c r="F61" s="8"/>
    </row>
    <row r="62" spans="1:6" ht="24" customHeight="1" x14ac:dyDescent="0.15">
      <c r="A62" s="3"/>
      <c r="B62" s="166" t="s">
        <v>191</v>
      </c>
      <c r="C62" s="159">
        <v>1000</v>
      </c>
      <c r="D62" s="159">
        <v>880</v>
      </c>
      <c r="E62" s="159">
        <v>1000</v>
      </c>
      <c r="F62" s="8"/>
    </row>
    <row r="63" spans="1:6" ht="24" customHeight="1" x14ac:dyDescent="0.15">
      <c r="A63" s="3"/>
      <c r="B63" s="166" t="s">
        <v>192</v>
      </c>
      <c r="C63" s="159">
        <v>5215</v>
      </c>
      <c r="D63" s="159">
        <v>2000</v>
      </c>
      <c r="E63" s="159">
        <v>5000</v>
      </c>
      <c r="F63" s="8"/>
    </row>
    <row r="64" spans="1:6" ht="24" customHeight="1" x14ac:dyDescent="0.15">
      <c r="A64" s="3"/>
      <c r="B64" s="166" t="s">
        <v>193</v>
      </c>
      <c r="C64" s="159">
        <v>60000</v>
      </c>
      <c r="D64" s="159">
        <v>50900</v>
      </c>
      <c r="E64" s="159">
        <v>51500</v>
      </c>
      <c r="F64" s="8"/>
    </row>
    <row r="65" spans="1:6" ht="24" customHeight="1" x14ac:dyDescent="0.15">
      <c r="A65" s="3"/>
      <c r="B65" s="166" t="s">
        <v>194</v>
      </c>
      <c r="C65" s="159">
        <v>9150</v>
      </c>
      <c r="D65" s="159">
        <v>2171.15</v>
      </c>
      <c r="E65" s="159">
        <v>8500</v>
      </c>
      <c r="F65" s="8"/>
    </row>
    <row r="66" spans="1:6" ht="24" customHeight="1" x14ac:dyDescent="0.15">
      <c r="A66" s="3"/>
      <c r="B66" s="166" t="s">
        <v>195</v>
      </c>
      <c r="C66" s="159">
        <v>8484.4599999999991</v>
      </c>
      <c r="D66" s="159">
        <v>6747.64</v>
      </c>
      <c r="E66" s="159">
        <v>8300.27</v>
      </c>
      <c r="F66" s="8"/>
    </row>
    <row r="67" spans="1:6" ht="24" customHeight="1" x14ac:dyDescent="0.15">
      <c r="A67" s="3"/>
      <c r="B67" s="166" t="s">
        <v>196</v>
      </c>
      <c r="C67" s="159">
        <v>15334.21</v>
      </c>
      <c r="D67" s="159">
        <v>9590</v>
      </c>
      <c r="E67" s="159">
        <v>46819.51</v>
      </c>
      <c r="F67" s="8"/>
    </row>
    <row r="68" spans="1:6" ht="24" customHeight="1" x14ac:dyDescent="0.15">
      <c r="A68" s="3"/>
      <c r="B68" s="173"/>
      <c r="C68" s="167"/>
      <c r="D68" s="167"/>
      <c r="E68" s="167"/>
      <c r="F68" s="8"/>
    </row>
    <row r="69" spans="1:6" ht="24" customHeight="1" x14ac:dyDescent="0.15">
      <c r="A69" s="3"/>
      <c r="B69" s="195" t="s">
        <v>155</v>
      </c>
      <c r="C69" s="196">
        <v>376718.56</v>
      </c>
      <c r="D69" s="196">
        <v>119391.87</v>
      </c>
      <c r="E69" s="196">
        <v>184331.72</v>
      </c>
      <c r="F69" s="8"/>
    </row>
    <row r="70" spans="1:6" ht="19.5" customHeight="1" x14ac:dyDescent="0.15">
      <c r="A70" s="3"/>
      <c r="B70" s="169"/>
      <c r="C70" s="167"/>
      <c r="D70" s="167"/>
      <c r="E70" s="167"/>
      <c r="F70" s="8"/>
    </row>
    <row r="71" spans="1:6" ht="19.5" customHeight="1" x14ac:dyDescent="0.15">
      <c r="A71" s="3"/>
      <c r="B71" s="227" t="s">
        <v>142</v>
      </c>
      <c r="C71" s="228">
        <v>1167090.95</v>
      </c>
      <c r="D71" s="228">
        <v>779321.7</v>
      </c>
      <c r="E71" s="228">
        <v>1088627.46</v>
      </c>
      <c r="F71" s="8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8" width="11.83203125" customWidth="1"/>
  </cols>
  <sheetData>
    <row r="1" spans="1:8" ht="27.75" customHeight="1" x14ac:dyDescent="0.15">
      <c r="B1" s="1"/>
      <c r="C1" s="1"/>
      <c r="D1" s="1"/>
      <c r="E1" s="1"/>
      <c r="F1" s="1"/>
    </row>
    <row r="2" spans="1:8" ht="13" x14ac:dyDescent="0.15">
      <c r="A2" s="3"/>
      <c r="B2" s="4" t="s">
        <v>37</v>
      </c>
      <c r="C2" s="21">
        <v>2009</v>
      </c>
      <c r="D2" s="22">
        <v>2010</v>
      </c>
      <c r="E2" s="22">
        <v>2011</v>
      </c>
      <c r="F2" s="10"/>
      <c r="G2" s="8"/>
    </row>
    <row r="3" spans="1:8" ht="13" x14ac:dyDescent="0.15">
      <c r="A3" s="3"/>
      <c r="B3" s="9" t="s">
        <v>22</v>
      </c>
      <c r="C3" s="23"/>
      <c r="D3" s="92"/>
      <c r="E3" s="92"/>
      <c r="F3" s="14"/>
      <c r="G3" s="8"/>
    </row>
    <row r="4" spans="1:8" ht="13" x14ac:dyDescent="0.15">
      <c r="A4" s="3"/>
      <c r="B4" s="15"/>
      <c r="C4" s="83"/>
      <c r="D4" s="89"/>
      <c r="E4" s="89"/>
      <c r="F4" s="18"/>
      <c r="G4" s="8"/>
    </row>
    <row r="5" spans="1:8" ht="13" x14ac:dyDescent="0.15">
      <c r="A5" s="19">
        <v>41</v>
      </c>
      <c r="B5" s="20" t="s">
        <v>0</v>
      </c>
      <c r="C5" s="94">
        <f t="shared" ref="C5:E5" si="0">SUM(C6:C13)</f>
        <v>4383813.3100000005</v>
      </c>
      <c r="D5" s="96">
        <f t="shared" si="0"/>
        <v>3915818.7800000003</v>
      </c>
      <c r="E5" s="96">
        <f t="shared" si="0"/>
        <v>3287702.5100000002</v>
      </c>
      <c r="F5" s="18"/>
      <c r="G5" s="8"/>
    </row>
    <row r="6" spans="1:8" ht="13" x14ac:dyDescent="0.15">
      <c r="A6" s="19">
        <v>411</v>
      </c>
      <c r="B6" s="37" t="s">
        <v>38</v>
      </c>
      <c r="C6" s="62">
        <v>2744788.05</v>
      </c>
      <c r="D6" s="61">
        <v>2633650.9500000002</v>
      </c>
      <c r="E6" s="61">
        <v>1933414.32</v>
      </c>
      <c r="F6" s="41"/>
      <c r="G6" s="8"/>
    </row>
    <row r="7" spans="1:8" ht="13" x14ac:dyDescent="0.15">
      <c r="A7" s="19">
        <v>412</v>
      </c>
      <c r="B7" s="58" t="s">
        <v>54</v>
      </c>
      <c r="C7" s="62">
        <v>405250.85</v>
      </c>
      <c r="D7" s="61">
        <v>374836.46</v>
      </c>
      <c r="E7" s="61">
        <v>188023.72</v>
      </c>
      <c r="F7" s="41"/>
      <c r="G7" s="8"/>
    </row>
    <row r="8" spans="1:8" ht="13" x14ac:dyDescent="0.15">
      <c r="A8" s="19">
        <v>413</v>
      </c>
      <c r="B8" s="58" t="s">
        <v>3</v>
      </c>
      <c r="C8" s="55">
        <v>826066.43</v>
      </c>
      <c r="D8" s="55">
        <v>642643.52</v>
      </c>
      <c r="E8" s="61">
        <v>810720.67</v>
      </c>
      <c r="F8" s="41"/>
      <c r="G8" s="8"/>
    </row>
    <row r="9" spans="1:8" ht="13" x14ac:dyDescent="0.15">
      <c r="A9" s="44">
        <v>414</v>
      </c>
      <c r="B9" s="37" t="s">
        <v>5</v>
      </c>
      <c r="C9" s="62">
        <v>86786.48</v>
      </c>
      <c r="D9" s="61">
        <v>50868.959999999999</v>
      </c>
      <c r="E9" s="61">
        <v>70237.25</v>
      </c>
      <c r="F9" s="41"/>
      <c r="G9" s="8"/>
    </row>
    <row r="10" spans="1:8" ht="13" x14ac:dyDescent="0.15">
      <c r="A10" s="19">
        <v>415</v>
      </c>
      <c r="B10" s="60" t="s">
        <v>6</v>
      </c>
      <c r="C10" s="55">
        <v>103783.18</v>
      </c>
      <c r="D10" s="55">
        <v>103315.87</v>
      </c>
      <c r="E10" s="149">
        <v>154881.88</v>
      </c>
      <c r="F10" s="41"/>
      <c r="G10" s="8"/>
    </row>
    <row r="11" spans="1:8" ht="13" x14ac:dyDescent="0.15">
      <c r="A11" s="19">
        <v>416</v>
      </c>
      <c r="B11" s="37" t="s">
        <v>7</v>
      </c>
      <c r="C11" s="102"/>
      <c r="D11" s="84"/>
      <c r="E11" s="61">
        <v>5855.93</v>
      </c>
      <c r="F11" s="41"/>
      <c r="G11" s="8"/>
    </row>
    <row r="12" spans="1:8" ht="13" x14ac:dyDescent="0.15">
      <c r="A12" s="19">
        <v>417</v>
      </c>
      <c r="B12" s="37" t="s">
        <v>8</v>
      </c>
      <c r="C12" s="62">
        <v>206323.32</v>
      </c>
      <c r="D12" s="61">
        <v>54646.720000000001</v>
      </c>
      <c r="E12" s="61">
        <v>74568.740000000005</v>
      </c>
      <c r="F12" s="41"/>
      <c r="G12" s="8"/>
    </row>
    <row r="13" spans="1:8" ht="13" x14ac:dyDescent="0.15">
      <c r="A13" s="19">
        <v>418</v>
      </c>
      <c r="B13" s="37" t="s">
        <v>55</v>
      </c>
      <c r="C13" s="62">
        <v>10815</v>
      </c>
      <c r="D13" s="160">
        <v>55856.3</v>
      </c>
      <c r="E13" s="160">
        <v>50000</v>
      </c>
      <c r="F13" s="41"/>
      <c r="G13" s="8"/>
    </row>
    <row r="14" spans="1:8" ht="13" x14ac:dyDescent="0.15">
      <c r="A14" s="19">
        <v>42</v>
      </c>
      <c r="B14" s="47" t="s">
        <v>9</v>
      </c>
      <c r="C14" s="93">
        <v>78446.7</v>
      </c>
      <c r="D14" s="97">
        <v>54060.4</v>
      </c>
      <c r="E14" s="97">
        <v>38313.5</v>
      </c>
      <c r="F14" s="41"/>
      <c r="G14" s="8"/>
      <c r="H14" s="132"/>
    </row>
    <row r="15" spans="1:8" ht="16.5" customHeight="1" x14ac:dyDescent="0.15">
      <c r="A15" s="49">
        <v>43</v>
      </c>
      <c r="B15" s="60" t="s">
        <v>10</v>
      </c>
      <c r="C15" s="137">
        <v>3831246.65</v>
      </c>
      <c r="D15" s="137">
        <v>3315214.61</v>
      </c>
      <c r="E15" s="137">
        <v>2929988.24</v>
      </c>
      <c r="F15" s="18"/>
      <c r="G15" s="8"/>
    </row>
    <row r="16" spans="1:8" ht="13" x14ac:dyDescent="0.15">
      <c r="A16" s="44" t="s">
        <v>58</v>
      </c>
      <c r="B16" s="45" t="s">
        <v>11</v>
      </c>
      <c r="C16" s="62">
        <v>1219306.3</v>
      </c>
      <c r="D16" s="61">
        <v>819863.11</v>
      </c>
      <c r="E16" s="61">
        <v>815158.24</v>
      </c>
      <c r="F16" s="18"/>
      <c r="G16" s="8"/>
    </row>
    <row r="17" spans="1:8" ht="31.5" customHeight="1" x14ac:dyDescent="0.15">
      <c r="A17" s="44" t="s">
        <v>59</v>
      </c>
      <c r="B17" s="45" t="s">
        <v>12</v>
      </c>
      <c r="C17" s="111">
        <v>166965.5</v>
      </c>
      <c r="D17" s="152">
        <v>107212.5</v>
      </c>
      <c r="E17" s="111">
        <v>119034</v>
      </c>
      <c r="F17" s="18"/>
      <c r="G17" s="8"/>
    </row>
    <row r="18" spans="1:8" ht="13" x14ac:dyDescent="0.15">
      <c r="A18" s="44" t="s">
        <v>60</v>
      </c>
      <c r="B18" s="74" t="s">
        <v>13</v>
      </c>
      <c r="C18" s="62">
        <v>209690</v>
      </c>
      <c r="D18" s="61">
        <v>156475</v>
      </c>
      <c r="E18" s="61">
        <v>125820</v>
      </c>
      <c r="F18" s="178"/>
      <c r="G18" s="8"/>
    </row>
    <row r="19" spans="1:8" ht="13" x14ac:dyDescent="0.15">
      <c r="A19" s="44" t="s">
        <v>61</v>
      </c>
      <c r="B19" s="74" t="s">
        <v>62</v>
      </c>
      <c r="C19" s="62">
        <v>2235284.85</v>
      </c>
      <c r="D19" s="61">
        <v>2231664</v>
      </c>
      <c r="E19" s="61">
        <v>1869976</v>
      </c>
      <c r="F19" s="178"/>
      <c r="G19" s="8"/>
    </row>
    <row r="20" spans="1:8" ht="13" x14ac:dyDescent="0.15">
      <c r="A20" s="19">
        <v>44</v>
      </c>
      <c r="B20" s="242" t="s">
        <v>14</v>
      </c>
      <c r="C20" s="119">
        <v>18076494.890000001</v>
      </c>
      <c r="D20" s="160">
        <v>7733632.0599999996</v>
      </c>
      <c r="E20" s="160">
        <v>5595432.6900000004</v>
      </c>
      <c r="F20" s="18"/>
      <c r="G20" s="8"/>
    </row>
    <row r="21" spans="1:8" ht="13" x14ac:dyDescent="0.15">
      <c r="A21" s="19">
        <v>45</v>
      </c>
      <c r="B21" s="47" t="s">
        <v>63</v>
      </c>
      <c r="C21" s="83"/>
      <c r="D21" s="89"/>
      <c r="E21" s="89"/>
      <c r="F21" s="18"/>
      <c r="G21" s="8"/>
    </row>
    <row r="22" spans="1:8" ht="13" x14ac:dyDescent="0.15">
      <c r="A22" s="19">
        <v>46</v>
      </c>
      <c r="B22" s="20" t="s">
        <v>16</v>
      </c>
      <c r="C22" s="119">
        <v>189818.87</v>
      </c>
      <c r="D22" s="119">
        <v>282297.82</v>
      </c>
      <c r="E22" s="119">
        <v>1770310.59</v>
      </c>
      <c r="F22" s="18"/>
      <c r="G22" s="8"/>
    </row>
    <row r="23" spans="1:8" ht="13" x14ac:dyDescent="0.15">
      <c r="A23" s="19">
        <v>47</v>
      </c>
      <c r="B23" s="20" t="s">
        <v>17</v>
      </c>
      <c r="C23" s="93">
        <v>193878.66</v>
      </c>
      <c r="D23" s="93">
        <v>185229.07</v>
      </c>
      <c r="E23" s="93">
        <v>104783.21</v>
      </c>
      <c r="F23" s="18"/>
      <c r="G23" s="8"/>
      <c r="H23" s="63"/>
    </row>
    <row r="24" spans="1:8" ht="13" x14ac:dyDescent="0.15">
      <c r="A24" s="3"/>
      <c r="B24" s="20" t="s">
        <v>18</v>
      </c>
      <c r="C24" s="119">
        <v>26753699.079999998</v>
      </c>
      <c r="D24" s="160">
        <v>15486252.74</v>
      </c>
      <c r="E24" s="160">
        <v>13726530.74</v>
      </c>
      <c r="F24" s="18"/>
      <c r="G24" s="8"/>
    </row>
    <row r="25" spans="1:8" ht="13" x14ac:dyDescent="0.15">
      <c r="A25" s="3"/>
      <c r="B25" s="103" t="s">
        <v>64</v>
      </c>
      <c r="C25" s="23"/>
      <c r="D25" s="157"/>
      <c r="E25" s="157"/>
      <c r="F25" s="105"/>
      <c r="G25" s="8"/>
    </row>
    <row r="26" spans="1:8" ht="13" x14ac:dyDescent="0.15">
      <c r="A26" s="19">
        <v>71</v>
      </c>
      <c r="B26" s="20" t="s">
        <v>39</v>
      </c>
      <c r="C26" s="89">
        <f t="shared" ref="C26:E26" si="1">SUM(C27:C31)</f>
        <v>12432472.699999999</v>
      </c>
      <c r="D26" s="89">
        <f t="shared" si="1"/>
        <v>11524456.609999999</v>
      </c>
      <c r="E26" s="89">
        <f t="shared" si="1"/>
        <v>11457250.85</v>
      </c>
      <c r="F26" s="15"/>
      <c r="G26" s="8"/>
    </row>
    <row r="27" spans="1:8" ht="13" x14ac:dyDescent="0.15">
      <c r="A27" s="44">
        <v>711</v>
      </c>
      <c r="B27" s="45" t="s">
        <v>40</v>
      </c>
      <c r="C27" s="62">
        <v>5551372.1399999997</v>
      </c>
      <c r="D27" s="61">
        <v>6143122.5800000001</v>
      </c>
      <c r="E27" s="61">
        <v>6788410.0599999996</v>
      </c>
      <c r="F27" s="41"/>
      <c r="G27" s="8"/>
    </row>
    <row r="28" spans="1:8" ht="13" x14ac:dyDescent="0.15">
      <c r="A28" s="44">
        <v>713</v>
      </c>
      <c r="B28" s="45" t="s">
        <v>41</v>
      </c>
      <c r="C28" s="62">
        <v>390760.78</v>
      </c>
      <c r="D28" s="61">
        <v>354001.04</v>
      </c>
      <c r="E28" s="61">
        <v>334788.93</v>
      </c>
      <c r="F28" s="41"/>
      <c r="G28" s="8"/>
    </row>
    <row r="29" spans="1:8" ht="13" x14ac:dyDescent="0.15">
      <c r="A29" s="44">
        <v>714</v>
      </c>
      <c r="B29" s="45" t="s">
        <v>42</v>
      </c>
      <c r="C29" s="84">
        <f>30590.64+73294.1</f>
        <v>103884.74</v>
      </c>
      <c r="D29" s="84">
        <f>27581.75+114856.64</f>
        <v>142438.39000000001</v>
      </c>
      <c r="E29" s="84">
        <f>59983.29+110213.72</f>
        <v>170197.01</v>
      </c>
      <c r="F29" s="41"/>
      <c r="G29" s="8"/>
    </row>
    <row r="30" spans="1:8" ht="13" x14ac:dyDescent="0.15">
      <c r="A30" s="80"/>
      <c r="B30" s="45" t="s">
        <v>66</v>
      </c>
      <c r="C30" s="149">
        <v>4786710.0999999996</v>
      </c>
      <c r="D30" s="149">
        <v>4435244.5</v>
      </c>
      <c r="E30" s="149">
        <v>3896971.97</v>
      </c>
      <c r="F30" s="41"/>
      <c r="G30" s="8"/>
    </row>
    <row r="31" spans="1:8" ht="13" x14ac:dyDescent="0.15">
      <c r="A31" s="44">
        <v>715</v>
      </c>
      <c r="B31" s="45" t="s">
        <v>67</v>
      </c>
      <c r="C31" s="55">
        <v>1599744.94</v>
      </c>
      <c r="D31" s="149">
        <v>449650.1</v>
      </c>
      <c r="E31" s="149">
        <v>266882.88</v>
      </c>
      <c r="F31" s="41"/>
      <c r="G31" s="8"/>
    </row>
    <row r="32" spans="1:8" ht="13" x14ac:dyDescent="0.15">
      <c r="A32" s="19">
        <v>72</v>
      </c>
      <c r="B32" s="113" t="s">
        <v>43</v>
      </c>
      <c r="C32" s="119">
        <v>12000</v>
      </c>
      <c r="D32" s="160">
        <v>224102.28</v>
      </c>
      <c r="E32" s="246">
        <v>1356358.51</v>
      </c>
      <c r="F32" s="48"/>
      <c r="G32" s="8"/>
    </row>
    <row r="33" spans="1:7" ht="18" customHeight="1" x14ac:dyDescent="0.15">
      <c r="A33" s="115">
        <v>73</v>
      </c>
      <c r="B33" s="47" t="s">
        <v>68</v>
      </c>
      <c r="C33" s="256"/>
      <c r="D33" s="223"/>
      <c r="E33" s="137">
        <v>112289</v>
      </c>
      <c r="F33" s="117"/>
      <c r="G33" s="8"/>
    </row>
    <row r="34" spans="1:7" ht="13" x14ac:dyDescent="0.15">
      <c r="A34" s="19">
        <v>74</v>
      </c>
      <c r="B34" s="60" t="s">
        <v>44</v>
      </c>
      <c r="C34" s="110"/>
      <c r="D34" s="138"/>
      <c r="E34" s="138"/>
      <c r="F34" s="18"/>
      <c r="G34" s="8"/>
    </row>
    <row r="35" spans="1:7" ht="13" x14ac:dyDescent="0.15">
      <c r="A35" s="44">
        <v>741</v>
      </c>
      <c r="B35" s="45" t="s">
        <v>45</v>
      </c>
      <c r="C35" s="110"/>
      <c r="D35" s="138"/>
      <c r="E35" s="138"/>
      <c r="F35" s="18"/>
      <c r="G35" s="8"/>
    </row>
    <row r="36" spans="1:7" ht="13" x14ac:dyDescent="0.15">
      <c r="A36" s="44">
        <v>742</v>
      </c>
      <c r="B36" s="45" t="s">
        <v>46</v>
      </c>
      <c r="C36" s="110"/>
      <c r="D36" s="138"/>
      <c r="E36" s="138"/>
      <c r="F36" s="18"/>
      <c r="G36" s="8"/>
    </row>
    <row r="37" spans="1:7" ht="13" x14ac:dyDescent="0.15">
      <c r="A37" s="80"/>
      <c r="B37" s="45" t="s">
        <v>81</v>
      </c>
      <c r="C37" s="110"/>
      <c r="D37" s="138"/>
      <c r="E37" s="138"/>
      <c r="F37" s="18"/>
      <c r="G37" s="8"/>
    </row>
    <row r="38" spans="1:7" ht="13" x14ac:dyDescent="0.15">
      <c r="A38" s="19">
        <v>751</v>
      </c>
      <c r="B38" s="37" t="s">
        <v>63</v>
      </c>
      <c r="C38" s="136">
        <v>300000</v>
      </c>
      <c r="D38" s="160">
        <v>700000</v>
      </c>
      <c r="E38" s="160">
        <v>840000</v>
      </c>
      <c r="F38" s="18"/>
      <c r="G38" s="8"/>
    </row>
    <row r="39" spans="1:7" ht="13" x14ac:dyDescent="0.15">
      <c r="A39" s="3"/>
      <c r="B39" s="130" t="s">
        <v>347</v>
      </c>
      <c r="C39" s="257">
        <v>12744472.699999999</v>
      </c>
      <c r="D39" s="259">
        <v>12498558.890000001</v>
      </c>
      <c r="E39" s="259">
        <v>13756898.359999999</v>
      </c>
      <c r="F39" s="18"/>
      <c r="G39" s="8"/>
    </row>
    <row r="40" spans="1:7" ht="13" x14ac:dyDescent="0.15">
      <c r="A40" s="3"/>
      <c r="B40" s="130" t="s">
        <v>348</v>
      </c>
      <c r="C40" s="257">
        <v>14209209.23</v>
      </c>
      <c r="D40" s="259">
        <v>3099982.85</v>
      </c>
      <c r="E40" s="260"/>
      <c r="F40" s="18"/>
      <c r="G40" s="8"/>
    </row>
    <row r="41" spans="1:7" ht="13" x14ac:dyDescent="0.15">
      <c r="A41" s="3"/>
      <c r="B41" s="130" t="s">
        <v>349</v>
      </c>
      <c r="C41" s="119">
        <v>26953681.93</v>
      </c>
      <c r="D41" s="160">
        <v>15598541.74</v>
      </c>
      <c r="E41" s="160">
        <v>13756898.359999999</v>
      </c>
      <c r="F41" s="18"/>
      <c r="G41" s="8"/>
    </row>
    <row r="42" spans="1:7" ht="13" x14ac:dyDescent="0.15">
      <c r="A42" s="3"/>
      <c r="B42" s="103" t="s">
        <v>83</v>
      </c>
      <c r="C42" s="23"/>
      <c r="D42" s="157"/>
      <c r="E42" s="157"/>
      <c r="F42" s="105"/>
      <c r="G42" s="8"/>
    </row>
    <row r="43" spans="1:7" ht="13" x14ac:dyDescent="0.15">
      <c r="A43" s="3"/>
      <c r="B43" s="42" t="s">
        <v>84</v>
      </c>
      <c r="C43" s="102"/>
      <c r="D43" s="84"/>
      <c r="E43" s="84"/>
      <c r="F43" s="48"/>
      <c r="G43" s="8"/>
    </row>
    <row r="44" spans="1:7" ht="13" x14ac:dyDescent="0.15">
      <c r="A44" s="3"/>
      <c r="B44" s="42" t="s">
        <v>49</v>
      </c>
      <c r="C44" s="102"/>
      <c r="D44" s="84"/>
      <c r="E44" s="84"/>
      <c r="F44" s="48"/>
      <c r="G44" s="8"/>
    </row>
    <row r="45" spans="1:7" ht="13" x14ac:dyDescent="0.15">
      <c r="A45" s="3"/>
      <c r="B45" s="42" t="s">
        <v>51</v>
      </c>
      <c r="C45" s="102"/>
      <c r="D45" s="84"/>
      <c r="E45" s="84"/>
      <c r="F45" s="48"/>
      <c r="G45" s="8"/>
    </row>
    <row r="46" spans="1:7" ht="13" x14ac:dyDescent="0.15">
      <c r="A46" s="3"/>
      <c r="B46" s="42" t="s">
        <v>86</v>
      </c>
      <c r="C46" s="102"/>
      <c r="D46" s="84"/>
      <c r="E46" s="84"/>
      <c r="F46" s="48"/>
      <c r="G46" s="8"/>
    </row>
    <row r="47" spans="1:7" ht="13" x14ac:dyDescent="0.15">
      <c r="A47" s="3"/>
      <c r="B47" s="134"/>
      <c r="C47" s="23"/>
      <c r="D47" s="157"/>
      <c r="E47" s="157"/>
      <c r="F47" s="105"/>
      <c r="G47" s="8"/>
    </row>
    <row r="48" spans="1:7" ht="19.5" customHeight="1" x14ac:dyDescent="0.15">
      <c r="B48" s="140"/>
      <c r="C48" s="140"/>
      <c r="D48" s="141"/>
      <c r="E48" s="140"/>
      <c r="F48" s="140"/>
    </row>
    <row r="49" spans="1:6" ht="19.5" customHeight="1" x14ac:dyDescent="0.15">
      <c r="B49" s="148" t="s">
        <v>96</v>
      </c>
      <c r="C49" s="1"/>
      <c r="D49" s="150"/>
      <c r="E49" s="1"/>
    </row>
    <row r="50" spans="1:6" ht="19.5" customHeight="1" x14ac:dyDescent="0.15">
      <c r="A50" s="3"/>
      <c r="B50" s="193" t="s">
        <v>106</v>
      </c>
      <c r="C50" s="192">
        <v>8238995.1299999999</v>
      </c>
      <c r="D50" s="192">
        <v>7352264.9199999999</v>
      </c>
      <c r="E50" s="192">
        <v>6352374.5199999996</v>
      </c>
      <c r="F50" s="8"/>
    </row>
    <row r="51" spans="1:6" ht="24" customHeight="1" x14ac:dyDescent="0.15">
      <c r="A51" s="3"/>
      <c r="B51" s="153" t="s">
        <v>113</v>
      </c>
      <c r="C51" s="159">
        <v>718657.21</v>
      </c>
      <c r="D51" s="159">
        <v>616372.18000000005</v>
      </c>
      <c r="E51" s="159">
        <v>435308.93</v>
      </c>
      <c r="F51" s="8"/>
    </row>
    <row r="52" spans="1:6" ht="24" customHeight="1" x14ac:dyDescent="0.15">
      <c r="A52" s="3"/>
      <c r="B52" s="166" t="s">
        <v>144</v>
      </c>
      <c r="C52" s="159">
        <v>82172.13</v>
      </c>
      <c r="D52" s="159">
        <v>73294.179999999993</v>
      </c>
      <c r="E52" s="159">
        <v>63625.94</v>
      </c>
      <c r="F52" s="8"/>
    </row>
    <row r="53" spans="1:6" ht="24" customHeight="1" x14ac:dyDescent="0.15">
      <c r="A53" s="3"/>
      <c r="B53" s="166" t="s">
        <v>141</v>
      </c>
      <c r="C53" s="159">
        <v>329009.78000000003</v>
      </c>
      <c r="D53" s="159">
        <v>319244.95</v>
      </c>
      <c r="E53" s="159">
        <v>283699.5</v>
      </c>
      <c r="F53" s="8"/>
    </row>
    <row r="54" spans="1:6" ht="24" customHeight="1" x14ac:dyDescent="0.15">
      <c r="A54" s="3"/>
      <c r="B54" s="166" t="s">
        <v>350</v>
      </c>
      <c r="C54" s="159">
        <v>944886.62</v>
      </c>
      <c r="D54" s="159">
        <v>975931.54</v>
      </c>
      <c r="E54" s="159">
        <v>866629.52</v>
      </c>
      <c r="F54" s="8"/>
    </row>
    <row r="55" spans="1:6" ht="24" customHeight="1" x14ac:dyDescent="0.15">
      <c r="A55" s="3"/>
      <c r="B55" s="166" t="s">
        <v>162</v>
      </c>
      <c r="C55" s="159">
        <v>3016444</v>
      </c>
      <c r="D55" s="159">
        <v>2724247.23</v>
      </c>
      <c r="E55" s="159">
        <v>2511516.9300000002</v>
      </c>
      <c r="F55" s="8"/>
    </row>
    <row r="56" spans="1:6" ht="31.5" customHeight="1" x14ac:dyDescent="0.15">
      <c r="A56" s="3"/>
      <c r="B56" s="153" t="s">
        <v>352</v>
      </c>
      <c r="C56" s="224">
        <v>1579778.88</v>
      </c>
      <c r="D56" s="224">
        <v>1312368.95</v>
      </c>
      <c r="E56" s="224">
        <v>948743.16</v>
      </c>
      <c r="F56" s="8"/>
    </row>
    <row r="57" spans="1:6" ht="24" customHeight="1" x14ac:dyDescent="0.15">
      <c r="A57" s="3"/>
      <c r="B57" s="166" t="s">
        <v>316</v>
      </c>
      <c r="C57" s="159">
        <v>505561.33</v>
      </c>
      <c r="D57" s="159">
        <v>424839.69</v>
      </c>
      <c r="E57" s="159">
        <v>316158.12</v>
      </c>
      <c r="F57" s="8"/>
    </row>
    <row r="58" spans="1:6" ht="24" customHeight="1" x14ac:dyDescent="0.15">
      <c r="A58" s="3"/>
      <c r="B58" s="166" t="s">
        <v>121</v>
      </c>
      <c r="C58" s="159">
        <v>529071.65</v>
      </c>
      <c r="D58" s="159">
        <v>471897.67</v>
      </c>
      <c r="E58" s="159">
        <v>319852.84999999998</v>
      </c>
      <c r="F58" s="8"/>
    </row>
    <row r="59" spans="1:6" ht="24" customHeight="1" x14ac:dyDescent="0.15">
      <c r="A59" s="3"/>
      <c r="B59" s="153" t="s">
        <v>353</v>
      </c>
      <c r="C59" s="159">
        <v>533413.53</v>
      </c>
      <c r="D59" s="159">
        <v>434068.53</v>
      </c>
      <c r="E59" s="159">
        <v>606839.56999999995</v>
      </c>
      <c r="F59" s="8"/>
    </row>
    <row r="60" spans="1:6" ht="19.5" customHeight="1" x14ac:dyDescent="0.15">
      <c r="A60" s="3"/>
      <c r="B60" s="262"/>
      <c r="C60" s="167"/>
      <c r="D60" s="167"/>
      <c r="E60" s="167"/>
      <c r="F60" s="8"/>
    </row>
    <row r="61" spans="1:6" ht="19.5" customHeight="1" x14ac:dyDescent="0.15">
      <c r="A61" s="3"/>
      <c r="B61" s="218" t="s">
        <v>355</v>
      </c>
      <c r="C61" s="192">
        <v>18514703.949999999</v>
      </c>
      <c r="D61" s="192">
        <v>8133987.8200000003</v>
      </c>
      <c r="E61" s="192">
        <v>7374156.2199999997</v>
      </c>
      <c r="F61" s="8"/>
    </row>
    <row r="62" spans="1:6" ht="19.5" customHeight="1" x14ac:dyDescent="0.15">
      <c r="A62" s="3"/>
      <c r="B62" s="262"/>
      <c r="C62" s="167"/>
      <c r="D62" s="167"/>
      <c r="E62" s="167"/>
      <c r="F62" s="8"/>
    </row>
    <row r="63" spans="1:6" ht="19.5" customHeight="1" x14ac:dyDescent="0.15">
      <c r="A63" s="3"/>
      <c r="B63" s="218" t="s">
        <v>356</v>
      </c>
      <c r="C63" s="192">
        <v>19048117.48</v>
      </c>
      <c r="D63" s="192">
        <v>8568056.3499999996</v>
      </c>
      <c r="E63" s="192">
        <v>7980995.79</v>
      </c>
      <c r="F63" s="8"/>
    </row>
    <row r="64" spans="1:6" ht="19.5" customHeight="1" x14ac:dyDescent="0.15">
      <c r="A64" s="3"/>
      <c r="B64" s="173"/>
      <c r="C64" s="167"/>
      <c r="D64" s="167"/>
      <c r="E64" s="167"/>
      <c r="F64" s="8"/>
    </row>
    <row r="65" spans="1:6" ht="19.5" customHeight="1" x14ac:dyDescent="0.15">
      <c r="A65" s="3"/>
      <c r="B65" s="193" t="s">
        <v>142</v>
      </c>
      <c r="C65" s="265">
        <v>26753699.079999998</v>
      </c>
      <c r="D65" s="265">
        <v>15486252.74</v>
      </c>
      <c r="E65" s="265">
        <v>13726530.74</v>
      </c>
      <c r="F65" s="8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7" width="11.83203125" customWidth="1"/>
    <col min="8" max="8" width="14.16406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3"/>
      <c r="B2" s="4" t="s">
        <v>57</v>
      </c>
      <c r="C2" s="4">
        <v>2009</v>
      </c>
      <c r="D2" s="7">
        <v>2010</v>
      </c>
      <c r="E2" s="7">
        <v>2011</v>
      </c>
      <c r="F2" s="10"/>
      <c r="G2" s="8"/>
    </row>
    <row r="3" spans="1:7" ht="13" x14ac:dyDescent="0.15">
      <c r="A3" s="3"/>
      <c r="B3" s="9" t="s">
        <v>22</v>
      </c>
      <c r="C3" s="11"/>
      <c r="D3" s="12"/>
      <c r="E3" s="13"/>
      <c r="F3" s="14"/>
      <c r="G3" s="8"/>
    </row>
    <row r="4" spans="1:7" ht="13" x14ac:dyDescent="0.15">
      <c r="A4" s="3"/>
      <c r="B4" s="15"/>
      <c r="C4" s="16"/>
      <c r="D4" s="18"/>
      <c r="E4" s="18"/>
      <c r="F4" s="18"/>
      <c r="G4" s="8"/>
    </row>
    <row r="5" spans="1:7" ht="13" x14ac:dyDescent="0.15">
      <c r="A5" s="19">
        <v>41</v>
      </c>
      <c r="B5" s="20" t="s">
        <v>0</v>
      </c>
      <c r="C5" s="24">
        <f t="shared" ref="C5:E5" si="0">SUM(C6:C13)</f>
        <v>2534446.6800000002</v>
      </c>
      <c r="D5" s="30">
        <f t="shared" si="0"/>
        <v>2194749.52</v>
      </c>
      <c r="E5" s="30">
        <f t="shared" si="0"/>
        <v>2174445.59</v>
      </c>
      <c r="F5" s="18"/>
      <c r="G5" s="8"/>
    </row>
    <row r="6" spans="1:7" ht="13" x14ac:dyDescent="0.15">
      <c r="A6" s="19">
        <v>411</v>
      </c>
      <c r="B6" s="37" t="s">
        <v>38</v>
      </c>
      <c r="C6" s="56">
        <v>1706677.73</v>
      </c>
      <c r="D6" s="57">
        <v>1452421.37</v>
      </c>
      <c r="E6" s="57">
        <v>1469240.28</v>
      </c>
      <c r="F6" s="41"/>
      <c r="G6" s="8"/>
    </row>
    <row r="7" spans="1:7" ht="13" x14ac:dyDescent="0.15">
      <c r="A7" s="19">
        <v>412</v>
      </c>
      <c r="B7" s="58" t="s">
        <v>54</v>
      </c>
      <c r="C7" s="56">
        <v>180217.37</v>
      </c>
      <c r="D7" s="57">
        <v>137173.64000000001</v>
      </c>
      <c r="E7" s="57">
        <v>71044</v>
      </c>
      <c r="F7" s="41"/>
      <c r="G7" s="8"/>
    </row>
    <row r="8" spans="1:7" ht="13" x14ac:dyDescent="0.15">
      <c r="A8" s="19">
        <v>413</v>
      </c>
      <c r="B8" s="58" t="s">
        <v>3</v>
      </c>
      <c r="C8" s="56">
        <v>538378.62</v>
      </c>
      <c r="D8" s="57">
        <v>517348.79</v>
      </c>
      <c r="E8" s="57">
        <v>542218.34</v>
      </c>
      <c r="F8" s="41"/>
      <c r="G8" s="8"/>
    </row>
    <row r="9" spans="1:7" ht="13" x14ac:dyDescent="0.15">
      <c r="A9" s="44">
        <v>414</v>
      </c>
      <c r="B9" s="37" t="s">
        <v>5</v>
      </c>
      <c r="C9" s="56">
        <v>32285.78</v>
      </c>
      <c r="D9" s="57">
        <v>21533.8</v>
      </c>
      <c r="E9" s="57">
        <v>30566.11</v>
      </c>
      <c r="F9" s="41"/>
      <c r="G9" s="8"/>
    </row>
    <row r="10" spans="1:7" ht="13" x14ac:dyDescent="0.15">
      <c r="A10" s="19">
        <v>415</v>
      </c>
      <c r="B10" s="60" t="s">
        <v>6</v>
      </c>
      <c r="C10" s="56">
        <v>18958.990000000002</v>
      </c>
      <c r="D10" s="57">
        <v>12617.86</v>
      </c>
      <c r="E10" s="57">
        <v>14776.82</v>
      </c>
      <c r="F10" s="41"/>
      <c r="G10" s="8"/>
    </row>
    <row r="11" spans="1:7" ht="13" x14ac:dyDescent="0.15">
      <c r="A11" s="19">
        <v>416</v>
      </c>
      <c r="B11" s="37" t="s">
        <v>7</v>
      </c>
      <c r="C11" s="56">
        <v>16181.54</v>
      </c>
      <c r="D11" s="57">
        <v>19900</v>
      </c>
      <c r="E11" s="57">
        <v>10355</v>
      </c>
      <c r="F11" s="41"/>
      <c r="G11" s="8"/>
    </row>
    <row r="12" spans="1:7" ht="13" x14ac:dyDescent="0.15">
      <c r="A12" s="19">
        <v>417</v>
      </c>
      <c r="B12" s="37" t="s">
        <v>8</v>
      </c>
      <c r="C12" s="56">
        <v>20493.12</v>
      </c>
      <c r="D12" s="57">
        <v>23388.11</v>
      </c>
      <c r="E12" s="57">
        <v>15518.99</v>
      </c>
      <c r="F12" s="41"/>
      <c r="G12" s="8"/>
    </row>
    <row r="13" spans="1:7" ht="13" x14ac:dyDescent="0.15">
      <c r="A13" s="19">
        <v>418</v>
      </c>
      <c r="B13" s="37" t="s">
        <v>55</v>
      </c>
      <c r="C13" s="56">
        <v>21253.53</v>
      </c>
      <c r="D13" s="57">
        <v>10365.950000000001</v>
      </c>
      <c r="E13" s="57">
        <v>20726.05</v>
      </c>
      <c r="F13" s="41"/>
      <c r="G13" s="8"/>
    </row>
    <row r="14" spans="1:7" ht="13" x14ac:dyDescent="0.15">
      <c r="A14" s="19">
        <v>42</v>
      </c>
      <c r="B14" s="47" t="s">
        <v>9</v>
      </c>
      <c r="C14" s="56">
        <v>30250</v>
      </c>
      <c r="D14" s="57">
        <v>34375.24</v>
      </c>
      <c r="E14" s="57">
        <v>1081415.44</v>
      </c>
      <c r="F14" s="41"/>
      <c r="G14" s="8"/>
    </row>
    <row r="15" spans="1:7" ht="16.5" customHeight="1" x14ac:dyDescent="0.15">
      <c r="A15" s="49">
        <v>43</v>
      </c>
      <c r="B15" s="60" t="s">
        <v>10</v>
      </c>
      <c r="C15" s="71">
        <v>805000.81</v>
      </c>
      <c r="D15" s="75">
        <v>713732.45</v>
      </c>
      <c r="E15" s="71">
        <v>808107.46</v>
      </c>
      <c r="F15" s="18"/>
      <c r="G15" s="8"/>
    </row>
    <row r="16" spans="1:7" ht="13" x14ac:dyDescent="0.15">
      <c r="A16" s="44" t="s">
        <v>58</v>
      </c>
      <c r="B16" s="45" t="s">
        <v>11</v>
      </c>
      <c r="C16" s="40">
        <v>321598.61</v>
      </c>
      <c r="D16" s="43">
        <v>283119.28999999998</v>
      </c>
      <c r="E16" s="40">
        <v>284353.53999999998</v>
      </c>
      <c r="F16" s="18"/>
      <c r="G16" s="8"/>
    </row>
    <row r="17" spans="1:8" ht="31.5" customHeight="1" x14ac:dyDescent="0.15">
      <c r="A17" s="44" t="s">
        <v>59</v>
      </c>
      <c r="B17" s="45" t="s">
        <v>12</v>
      </c>
      <c r="C17" s="40">
        <v>62521.599999999999</v>
      </c>
      <c r="D17" s="43">
        <v>122272.68</v>
      </c>
      <c r="E17" s="40">
        <v>74287.03</v>
      </c>
      <c r="F17" s="18"/>
      <c r="G17" s="8"/>
    </row>
    <row r="18" spans="1:8" ht="13" x14ac:dyDescent="0.15">
      <c r="A18" s="44" t="s">
        <v>60</v>
      </c>
      <c r="B18" s="74" t="s">
        <v>13</v>
      </c>
      <c r="C18" s="43">
        <v>107746.15</v>
      </c>
      <c r="D18" s="40">
        <v>99144.01</v>
      </c>
      <c r="E18" s="39">
        <v>102961.19</v>
      </c>
      <c r="F18" s="124"/>
      <c r="G18" s="8"/>
    </row>
    <row r="19" spans="1:8" ht="13" x14ac:dyDescent="0.15">
      <c r="A19" s="44" t="s">
        <v>61</v>
      </c>
      <c r="B19" s="74" t="s">
        <v>62</v>
      </c>
      <c r="C19" s="46">
        <f>3000+310134.45</f>
        <v>313134.45</v>
      </c>
      <c r="D19" s="40">
        <v>209196.47</v>
      </c>
      <c r="E19" s="39">
        <v>346505.7</v>
      </c>
      <c r="F19" s="129"/>
      <c r="G19" s="8"/>
    </row>
    <row r="20" spans="1:8" ht="13" x14ac:dyDescent="0.15">
      <c r="A20" s="19">
        <v>44</v>
      </c>
      <c r="B20" s="130" t="s">
        <v>14</v>
      </c>
      <c r="C20" s="119">
        <v>1741430.54</v>
      </c>
      <c r="D20" s="119">
        <v>851870.91</v>
      </c>
      <c r="E20" s="119">
        <v>1878210.76</v>
      </c>
      <c r="F20" s="18"/>
      <c r="G20" s="8"/>
    </row>
    <row r="21" spans="1:8" ht="13" x14ac:dyDescent="0.15">
      <c r="A21" s="19">
        <v>45</v>
      </c>
      <c r="B21" s="47" t="s">
        <v>63</v>
      </c>
      <c r="C21" s="16"/>
      <c r="D21" s="18"/>
      <c r="E21" s="18"/>
      <c r="F21" s="18"/>
      <c r="G21" s="8"/>
    </row>
    <row r="22" spans="1:8" ht="13" x14ac:dyDescent="0.15">
      <c r="A22" s="19">
        <v>46</v>
      </c>
      <c r="B22" s="20" t="s">
        <v>16</v>
      </c>
      <c r="C22" s="16">
        <f>404616.18+627374.74</f>
        <v>1031990.9199999999</v>
      </c>
      <c r="D22" s="57">
        <v>818337.29</v>
      </c>
      <c r="E22" s="57">
        <v>1907226.03</v>
      </c>
      <c r="F22" s="18"/>
      <c r="G22" s="8"/>
      <c r="H22" s="132"/>
    </row>
    <row r="23" spans="1:8" ht="13" x14ac:dyDescent="0.15">
      <c r="A23" s="19">
        <v>47</v>
      </c>
      <c r="B23" s="20" t="s">
        <v>17</v>
      </c>
      <c r="C23" s="56">
        <v>232542.18</v>
      </c>
      <c r="D23" s="57">
        <v>169319.61</v>
      </c>
      <c r="E23" s="57">
        <v>229628.68</v>
      </c>
      <c r="F23" s="18"/>
      <c r="G23" s="8"/>
    </row>
    <row r="24" spans="1:8" ht="13" x14ac:dyDescent="0.15">
      <c r="A24" s="3"/>
      <c r="B24" s="20" t="s">
        <v>18</v>
      </c>
      <c r="C24" s="183">
        <v>6375661.1299999999</v>
      </c>
      <c r="D24" s="183">
        <v>4782385.0199999996</v>
      </c>
      <c r="E24" s="183">
        <v>8079032.96</v>
      </c>
      <c r="F24" s="18"/>
      <c r="G24" s="8"/>
    </row>
    <row r="25" spans="1:8" ht="13" x14ac:dyDescent="0.15">
      <c r="A25" s="3"/>
      <c r="B25" s="103" t="s">
        <v>64</v>
      </c>
      <c r="C25" s="104"/>
      <c r="D25" s="105"/>
      <c r="E25" s="105"/>
      <c r="F25" s="105"/>
      <c r="G25" s="8"/>
    </row>
    <row r="26" spans="1:8" ht="13" x14ac:dyDescent="0.15">
      <c r="A26" s="19">
        <v>71</v>
      </c>
      <c r="B26" s="20" t="s">
        <v>39</v>
      </c>
      <c r="C26" s="107">
        <f t="shared" ref="C26:E26" si="1">SUM(C27:C31)</f>
        <v>1968017.8399999999</v>
      </c>
      <c r="D26" s="107">
        <f t="shared" si="1"/>
        <v>1705925.19</v>
      </c>
      <c r="E26" s="107">
        <f t="shared" si="1"/>
        <v>1707500.54</v>
      </c>
      <c r="F26" s="15"/>
      <c r="G26" s="8"/>
    </row>
    <row r="27" spans="1:8" ht="13" x14ac:dyDescent="0.15">
      <c r="A27" s="44">
        <v>711</v>
      </c>
      <c r="B27" s="45" t="s">
        <v>40</v>
      </c>
      <c r="C27" s="57">
        <v>970994.29</v>
      </c>
      <c r="D27" s="57">
        <v>884202.6</v>
      </c>
      <c r="E27" s="57">
        <v>900658.36</v>
      </c>
      <c r="F27" s="41"/>
      <c r="G27" s="8"/>
    </row>
    <row r="28" spans="1:8" ht="13" x14ac:dyDescent="0.15">
      <c r="A28" s="44">
        <v>713</v>
      </c>
      <c r="B28" s="45" t="s">
        <v>41</v>
      </c>
      <c r="C28" s="39">
        <v>168295.28</v>
      </c>
      <c r="D28" s="39">
        <v>64681.05</v>
      </c>
      <c r="E28" s="39">
        <v>84402.559999999998</v>
      </c>
      <c r="F28" s="41"/>
      <c r="G28" s="8"/>
    </row>
    <row r="29" spans="1:8" ht="13" x14ac:dyDescent="0.15">
      <c r="A29" s="44">
        <v>714</v>
      </c>
      <c r="B29" s="45" t="s">
        <v>42</v>
      </c>
      <c r="C29" s="48">
        <f>685.03+8085.81+3639.41+116020.51</f>
        <v>128430.76</v>
      </c>
      <c r="D29" s="48">
        <f>541.13+3516.35+751.51+104314.07</f>
        <v>109123.06000000001</v>
      </c>
      <c r="E29" s="48">
        <f>1554.36+1750+1555.63+175100.15+197.1</f>
        <v>180157.24</v>
      </c>
      <c r="F29" s="41"/>
      <c r="G29" s="8"/>
    </row>
    <row r="30" spans="1:8" ht="13" x14ac:dyDescent="0.15">
      <c r="A30" s="80"/>
      <c r="B30" s="45" t="s">
        <v>66</v>
      </c>
      <c r="C30" s="48">
        <f>57797.28+113528.77+388665.16+62596.46+6907.92</f>
        <v>629495.59</v>
      </c>
      <c r="D30" s="48">
        <f>75498.45+397644.36+47356.41+55208.21</f>
        <v>575707.42999999993</v>
      </c>
      <c r="E30" s="48">
        <f>13986.57+64039.82+322322.59+52053.95+57518.96</f>
        <v>509921.89000000007</v>
      </c>
      <c r="F30" s="41"/>
      <c r="G30" s="8"/>
    </row>
    <row r="31" spans="1:8" ht="13" x14ac:dyDescent="0.15">
      <c r="A31" s="44">
        <v>715</v>
      </c>
      <c r="B31" s="45" t="s">
        <v>67</v>
      </c>
      <c r="C31" s="38">
        <v>70801.919999999998</v>
      </c>
      <c r="D31" s="39">
        <v>72211.05</v>
      </c>
      <c r="E31" s="39">
        <v>32360.49</v>
      </c>
      <c r="F31" s="41"/>
      <c r="G31" s="8"/>
    </row>
    <row r="32" spans="1:8" ht="13" x14ac:dyDescent="0.15">
      <c r="A32" s="19">
        <v>72</v>
      </c>
      <c r="B32" s="174" t="s">
        <v>43</v>
      </c>
      <c r="C32" s="56">
        <v>35459.58</v>
      </c>
      <c r="D32" s="57">
        <v>40518.019999999997</v>
      </c>
      <c r="E32" s="57">
        <v>209079.5</v>
      </c>
      <c r="F32" s="48"/>
      <c r="G32" s="8"/>
    </row>
    <row r="33" spans="1:8" ht="13" x14ac:dyDescent="0.15">
      <c r="A33" s="115">
        <v>73</v>
      </c>
      <c r="B33" s="47" t="s">
        <v>68</v>
      </c>
      <c r="C33" s="71">
        <v>55851.24</v>
      </c>
      <c r="D33" s="75">
        <v>28728.49</v>
      </c>
      <c r="E33" s="75">
        <v>26195.25</v>
      </c>
      <c r="F33" s="117"/>
      <c r="G33" s="8"/>
    </row>
    <row r="34" spans="1:8" ht="13" x14ac:dyDescent="0.15">
      <c r="A34" s="19">
        <v>74</v>
      </c>
      <c r="B34" s="60" t="s">
        <v>44</v>
      </c>
      <c r="C34" s="71">
        <v>3873519.96</v>
      </c>
      <c r="D34" s="75">
        <v>2723708.57</v>
      </c>
      <c r="E34" s="75">
        <v>4084296.73</v>
      </c>
      <c r="F34" s="18"/>
      <c r="G34" s="8"/>
      <c r="H34" s="189"/>
    </row>
    <row r="35" spans="1:8" ht="13" x14ac:dyDescent="0.15">
      <c r="A35" s="44">
        <v>741</v>
      </c>
      <c r="B35" s="45" t="s">
        <v>45</v>
      </c>
      <c r="C35" s="40">
        <v>747782.52</v>
      </c>
      <c r="D35" s="43">
        <v>240798.62</v>
      </c>
      <c r="E35" s="43">
        <v>150633.5</v>
      </c>
      <c r="F35" s="18"/>
      <c r="G35" s="8"/>
    </row>
    <row r="36" spans="1:8" ht="13" x14ac:dyDescent="0.15">
      <c r="A36" s="44">
        <v>742</v>
      </c>
      <c r="B36" s="45" t="s">
        <v>46</v>
      </c>
      <c r="C36" s="40">
        <v>3051914</v>
      </c>
      <c r="D36" s="43">
        <v>2476696</v>
      </c>
      <c r="E36" s="43">
        <v>3843496</v>
      </c>
      <c r="F36" s="18"/>
      <c r="G36" s="8"/>
    </row>
    <row r="37" spans="1:8" ht="13" x14ac:dyDescent="0.15">
      <c r="A37" s="80"/>
      <c r="B37" s="45" t="s">
        <v>81</v>
      </c>
      <c r="C37" s="67">
        <f t="shared" ref="C37:E37" si="2">C34-C35-C36</f>
        <v>73823.439999999944</v>
      </c>
      <c r="D37" s="46">
        <f t="shared" si="2"/>
        <v>6213.9499999997206</v>
      </c>
      <c r="E37" s="46">
        <f t="shared" si="2"/>
        <v>90167.229999999981</v>
      </c>
      <c r="F37" s="18"/>
      <c r="G37" s="8"/>
    </row>
    <row r="38" spans="1:8" ht="13" x14ac:dyDescent="0.15">
      <c r="A38" s="19">
        <v>751</v>
      </c>
      <c r="B38" s="37" t="s">
        <v>63</v>
      </c>
      <c r="C38" s="56">
        <v>471541</v>
      </c>
      <c r="D38" s="57">
        <v>309700</v>
      </c>
      <c r="E38" s="57">
        <v>2139100</v>
      </c>
      <c r="F38" s="18"/>
      <c r="G38" s="8"/>
    </row>
    <row r="39" spans="1:8" ht="13" x14ac:dyDescent="0.15">
      <c r="A39" s="3"/>
      <c r="B39" s="37" t="s">
        <v>82</v>
      </c>
      <c r="C39" s="56">
        <v>6404389.6200000001</v>
      </c>
      <c r="D39" s="57">
        <v>4808580.2699999996</v>
      </c>
      <c r="E39" s="57">
        <v>8166172.0199999996</v>
      </c>
      <c r="F39" s="18"/>
      <c r="G39" s="8"/>
    </row>
    <row r="40" spans="1:8" ht="13" x14ac:dyDescent="0.15">
      <c r="A40" s="3"/>
      <c r="B40" s="103" t="s">
        <v>83</v>
      </c>
      <c r="C40" s="104"/>
      <c r="D40" s="105"/>
      <c r="E40" s="105"/>
      <c r="F40" s="105"/>
      <c r="G40" s="8"/>
    </row>
    <row r="41" spans="1:8" ht="13" x14ac:dyDescent="0.15">
      <c r="A41" s="3"/>
      <c r="B41" s="42" t="s">
        <v>84</v>
      </c>
      <c r="C41" s="66"/>
      <c r="D41" s="48"/>
      <c r="E41" s="48"/>
      <c r="F41" s="48"/>
      <c r="G41" s="8"/>
    </row>
    <row r="42" spans="1:8" ht="13" x14ac:dyDescent="0.15">
      <c r="A42" s="3"/>
      <c r="B42" s="42" t="s">
        <v>49</v>
      </c>
      <c r="C42" s="66"/>
      <c r="D42" s="48"/>
      <c r="E42" s="48"/>
      <c r="F42" s="48"/>
      <c r="G42" s="8"/>
    </row>
    <row r="43" spans="1:8" ht="13" x14ac:dyDescent="0.15">
      <c r="A43" s="3"/>
      <c r="B43" s="42" t="s">
        <v>51</v>
      </c>
      <c r="C43" s="66"/>
      <c r="D43" s="48"/>
      <c r="E43" s="48"/>
      <c r="F43" s="48"/>
      <c r="G43" s="8"/>
    </row>
    <row r="44" spans="1:8" ht="13" x14ac:dyDescent="0.15">
      <c r="A44" s="3"/>
      <c r="B44" s="42" t="s">
        <v>86</v>
      </c>
      <c r="C44" s="66"/>
      <c r="D44" s="48"/>
      <c r="E44" s="48"/>
      <c r="F44" s="48"/>
      <c r="G44" s="8"/>
    </row>
    <row r="45" spans="1:8" ht="13" x14ac:dyDescent="0.15">
      <c r="A45" s="3"/>
      <c r="B45" s="134"/>
      <c r="C45" s="104"/>
      <c r="D45" s="105"/>
      <c r="E45" s="105"/>
      <c r="F45" s="105"/>
      <c r="G45" s="8"/>
    </row>
    <row r="46" spans="1:8" ht="19.5" customHeight="1" x14ac:dyDescent="0.15">
      <c r="B46" s="140"/>
      <c r="C46" s="140"/>
      <c r="D46" s="141"/>
      <c r="E46" s="140"/>
      <c r="F46" s="140"/>
    </row>
    <row r="47" spans="1:8" ht="19.5" customHeight="1" x14ac:dyDescent="0.15">
      <c r="B47" s="148" t="s">
        <v>96</v>
      </c>
      <c r="C47" s="1"/>
      <c r="D47" s="150"/>
      <c r="E47" s="1"/>
    </row>
    <row r="48" spans="1:8" ht="19.5" customHeight="1" x14ac:dyDescent="0.15">
      <c r="A48" s="3"/>
      <c r="B48" s="193" t="s">
        <v>106</v>
      </c>
      <c r="C48" s="194">
        <v>4634230.59</v>
      </c>
      <c r="D48" s="194">
        <v>3930514.11</v>
      </c>
      <c r="E48" s="229">
        <v>6200822.2000000002</v>
      </c>
      <c r="F48" s="8"/>
    </row>
    <row r="49" spans="1:6" ht="19.5" customHeight="1" x14ac:dyDescent="0.15">
      <c r="A49" s="3"/>
      <c r="B49" s="153" t="s">
        <v>296</v>
      </c>
      <c r="C49" s="159">
        <v>256774.49</v>
      </c>
      <c r="D49" s="159">
        <v>211028.81</v>
      </c>
      <c r="E49" s="159">
        <v>201075.29</v>
      </c>
      <c r="F49" s="8"/>
    </row>
    <row r="50" spans="1:6" ht="19.5" customHeight="1" x14ac:dyDescent="0.15">
      <c r="A50" s="3"/>
      <c r="B50" s="153" t="s">
        <v>141</v>
      </c>
      <c r="C50" s="159">
        <v>133423.15</v>
      </c>
      <c r="D50" s="159">
        <v>169519.35999999999</v>
      </c>
      <c r="E50" s="159">
        <v>126211.95</v>
      </c>
      <c r="F50" s="8"/>
    </row>
    <row r="51" spans="1:6" ht="19.5" customHeight="1" x14ac:dyDescent="0.15">
      <c r="A51" s="3"/>
      <c r="B51" s="166" t="s">
        <v>115</v>
      </c>
      <c r="C51" s="159">
        <v>40994.51</v>
      </c>
      <c r="D51" s="159">
        <v>32843.85</v>
      </c>
      <c r="E51" s="159">
        <v>28833.57</v>
      </c>
      <c r="F51" s="8"/>
    </row>
    <row r="52" spans="1:6" ht="19.5" customHeight="1" x14ac:dyDescent="0.15">
      <c r="A52" s="3"/>
      <c r="B52" s="166" t="s">
        <v>297</v>
      </c>
      <c r="C52" s="159">
        <v>32332.51</v>
      </c>
      <c r="D52" s="159">
        <v>34882.730000000003</v>
      </c>
      <c r="E52" s="159">
        <v>36079.26</v>
      </c>
      <c r="F52" s="8"/>
    </row>
    <row r="53" spans="1:6" ht="19.5" customHeight="1" x14ac:dyDescent="0.15">
      <c r="A53" s="3"/>
      <c r="B53" s="166" t="s">
        <v>162</v>
      </c>
      <c r="C53" s="159">
        <v>886795.26</v>
      </c>
      <c r="D53" s="159">
        <v>785202.63</v>
      </c>
      <c r="E53" s="159">
        <v>1955323.69</v>
      </c>
      <c r="F53" s="8"/>
    </row>
    <row r="54" spans="1:6" ht="19.5" customHeight="1" x14ac:dyDescent="0.15">
      <c r="A54" s="3"/>
      <c r="B54" s="166" t="s">
        <v>108</v>
      </c>
      <c r="C54" s="159">
        <v>197406.79</v>
      </c>
      <c r="D54" s="159">
        <v>168641.69</v>
      </c>
      <c r="E54" s="159">
        <v>219609.09</v>
      </c>
      <c r="F54" s="8"/>
    </row>
    <row r="55" spans="1:6" ht="19.5" customHeight="1" x14ac:dyDescent="0.15">
      <c r="A55" s="3"/>
      <c r="B55" s="153" t="s">
        <v>298</v>
      </c>
      <c r="C55" s="159">
        <v>124076.53</v>
      </c>
      <c r="D55" s="159">
        <v>114322.75</v>
      </c>
      <c r="E55" s="159">
        <v>171129.59</v>
      </c>
      <c r="F55" s="8"/>
    </row>
    <row r="56" spans="1:6" ht="19.5" customHeight="1" x14ac:dyDescent="0.15">
      <c r="A56" s="3"/>
      <c r="B56" s="166" t="s">
        <v>128</v>
      </c>
      <c r="C56" s="159">
        <v>455844.83</v>
      </c>
      <c r="D56" s="159">
        <v>408535.44</v>
      </c>
      <c r="E56" s="159">
        <v>475151.43</v>
      </c>
      <c r="F56" s="8"/>
    </row>
    <row r="57" spans="1:6" ht="19.5" customHeight="1" x14ac:dyDescent="0.15">
      <c r="A57" s="3"/>
      <c r="B57" s="166" t="s">
        <v>299</v>
      </c>
      <c r="C57" s="159">
        <v>864764.8</v>
      </c>
      <c r="D57" s="159">
        <v>729859.06</v>
      </c>
      <c r="E57" s="159">
        <v>1166429.8899999999</v>
      </c>
      <c r="F57" s="8"/>
    </row>
    <row r="58" spans="1:6" ht="19.5" customHeight="1" x14ac:dyDescent="0.15">
      <c r="A58" s="3"/>
      <c r="B58" s="153" t="s">
        <v>303</v>
      </c>
      <c r="C58" s="224">
        <v>463510.05</v>
      </c>
      <c r="D58" s="224">
        <v>273529.37</v>
      </c>
      <c r="E58" s="224">
        <v>594475.14</v>
      </c>
      <c r="F58" s="8"/>
    </row>
    <row r="59" spans="1:6" ht="19.5" customHeight="1" x14ac:dyDescent="0.15">
      <c r="A59" s="3"/>
      <c r="B59" s="166" t="s">
        <v>210</v>
      </c>
      <c r="C59" s="159">
        <v>55589.97</v>
      </c>
      <c r="D59" s="159">
        <v>43611.5</v>
      </c>
      <c r="E59" s="159">
        <v>50054.41</v>
      </c>
      <c r="F59" s="8"/>
    </row>
    <row r="60" spans="1:6" ht="19.5" customHeight="1" x14ac:dyDescent="0.15">
      <c r="A60" s="3"/>
      <c r="B60" s="166" t="s">
        <v>136</v>
      </c>
      <c r="C60" s="159">
        <v>177641.59</v>
      </c>
      <c r="D60" s="159">
        <v>138142.49</v>
      </c>
      <c r="E60" s="159">
        <v>151836.79</v>
      </c>
      <c r="F60" s="8"/>
    </row>
    <row r="61" spans="1:6" ht="19.5" customHeight="1" x14ac:dyDescent="0.15">
      <c r="A61" s="3"/>
      <c r="B61" s="166" t="s">
        <v>134</v>
      </c>
      <c r="C61" s="159">
        <v>96341.26</v>
      </c>
      <c r="D61" s="159">
        <v>73787.12</v>
      </c>
      <c r="E61" s="159">
        <v>84692.67</v>
      </c>
      <c r="F61" s="8"/>
    </row>
    <row r="62" spans="1:6" ht="19.5" customHeight="1" x14ac:dyDescent="0.15">
      <c r="A62" s="3"/>
      <c r="B62" s="166" t="s">
        <v>121</v>
      </c>
      <c r="C62" s="159">
        <v>240853.28</v>
      </c>
      <c r="D62" s="159">
        <v>184977.35</v>
      </c>
      <c r="E62" s="159">
        <v>245938.52</v>
      </c>
      <c r="F62" s="8"/>
    </row>
    <row r="63" spans="1:6" ht="19.5" customHeight="1" x14ac:dyDescent="0.15">
      <c r="A63" s="3"/>
      <c r="B63" s="166" t="s">
        <v>213</v>
      </c>
      <c r="C63" s="159">
        <v>119490.54</v>
      </c>
      <c r="D63" s="159">
        <v>103369.72</v>
      </c>
      <c r="E63" s="159">
        <v>105389.87</v>
      </c>
      <c r="F63" s="8"/>
    </row>
    <row r="64" spans="1:6" ht="19.5" customHeight="1" x14ac:dyDescent="0.15">
      <c r="A64" s="3"/>
      <c r="B64" s="166" t="s">
        <v>307</v>
      </c>
      <c r="C64" s="159">
        <v>95364.18</v>
      </c>
      <c r="D64" s="159">
        <v>81178.73</v>
      </c>
      <c r="E64" s="159">
        <v>93997.31</v>
      </c>
      <c r="F64" s="8"/>
    </row>
    <row r="65" spans="1:6" ht="19.5" customHeight="1" x14ac:dyDescent="0.15">
      <c r="A65" s="3"/>
      <c r="B65" s="166" t="s">
        <v>247</v>
      </c>
      <c r="C65" s="159">
        <v>18568.71</v>
      </c>
      <c r="D65" s="159">
        <v>25734.63</v>
      </c>
      <c r="E65" s="159">
        <v>25522.89</v>
      </c>
      <c r="F65" s="8"/>
    </row>
    <row r="66" spans="1:6" ht="19.5" customHeight="1" x14ac:dyDescent="0.15">
      <c r="A66" s="3"/>
      <c r="B66" s="166" t="s">
        <v>311</v>
      </c>
      <c r="C66" s="159">
        <v>374458.14</v>
      </c>
      <c r="D66" s="159">
        <v>351346.88</v>
      </c>
      <c r="E66" s="159">
        <v>469070.84</v>
      </c>
      <c r="F66" s="8"/>
    </row>
    <row r="67" spans="1:6" ht="19.5" customHeight="1" x14ac:dyDescent="0.15">
      <c r="A67" s="3"/>
      <c r="B67" s="173"/>
      <c r="C67" s="167"/>
      <c r="D67" s="167"/>
      <c r="E67" s="167"/>
      <c r="F67" s="8"/>
    </row>
    <row r="68" spans="1:6" ht="19.5" customHeight="1" x14ac:dyDescent="0.15">
      <c r="A68" s="3"/>
      <c r="B68" s="233" t="s">
        <v>314</v>
      </c>
      <c r="C68" s="194">
        <v>1741430.54</v>
      </c>
      <c r="D68" s="194">
        <v>851870.91</v>
      </c>
      <c r="E68" s="194">
        <v>1878210.76</v>
      </c>
      <c r="F68" s="8"/>
    </row>
    <row r="69" spans="1:6" ht="19.5" customHeight="1" x14ac:dyDescent="0.15">
      <c r="A69" s="3"/>
      <c r="B69" s="173"/>
      <c r="C69" s="167"/>
      <c r="D69" s="234"/>
      <c r="E69" s="235"/>
      <c r="F69" s="8"/>
    </row>
    <row r="70" spans="1:6" ht="19.5" customHeight="1" x14ac:dyDescent="0.15">
      <c r="A70" s="3"/>
      <c r="B70" s="193" t="s">
        <v>142</v>
      </c>
      <c r="C70" s="245">
        <v>6375661.1299999999</v>
      </c>
      <c r="D70" s="245">
        <v>4782385.0199999996</v>
      </c>
      <c r="E70" s="245">
        <v>8079032.96</v>
      </c>
      <c r="F70" s="8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7" width="11.83203125" customWidth="1"/>
  </cols>
  <sheetData>
    <row r="1" spans="1:7" ht="27.75" customHeight="1" x14ac:dyDescent="0.15">
      <c r="B1" s="1"/>
      <c r="C1" s="1"/>
      <c r="D1" s="1"/>
      <c r="E1" s="1"/>
      <c r="F1" s="1"/>
    </row>
    <row r="2" spans="1:7" ht="13" x14ac:dyDescent="0.15">
      <c r="A2" s="3"/>
      <c r="B2" s="4" t="s">
        <v>56</v>
      </c>
      <c r="C2" s="4">
        <v>2009</v>
      </c>
      <c r="D2" s="7">
        <v>2010</v>
      </c>
      <c r="E2" s="7">
        <v>2011</v>
      </c>
      <c r="F2" s="10"/>
      <c r="G2" s="8"/>
    </row>
    <row r="3" spans="1:7" ht="13" x14ac:dyDescent="0.15">
      <c r="A3" s="3"/>
      <c r="B3" s="9" t="s">
        <v>22</v>
      </c>
      <c r="C3" s="11"/>
      <c r="D3" s="12"/>
      <c r="E3" s="13"/>
      <c r="F3" s="14"/>
      <c r="G3" s="8"/>
    </row>
    <row r="4" spans="1:7" ht="13" x14ac:dyDescent="0.15">
      <c r="A4" s="3"/>
      <c r="B4" s="15"/>
      <c r="C4" s="16"/>
      <c r="D4" s="18"/>
      <c r="E4" s="18"/>
      <c r="F4" s="18"/>
      <c r="G4" s="8"/>
    </row>
    <row r="5" spans="1:7" ht="13" x14ac:dyDescent="0.15">
      <c r="A5" s="19">
        <v>41</v>
      </c>
      <c r="B5" s="20" t="s">
        <v>0</v>
      </c>
      <c r="C5" s="125">
        <v>2752290.72</v>
      </c>
      <c r="D5" s="126">
        <v>1805220.52</v>
      </c>
      <c r="E5" s="126">
        <v>5743123.9500000002</v>
      </c>
      <c r="F5" s="18"/>
      <c r="G5" s="8"/>
    </row>
    <row r="6" spans="1:7" ht="13" x14ac:dyDescent="0.15">
      <c r="A6" s="19">
        <v>411</v>
      </c>
      <c r="B6" s="37" t="s">
        <v>38</v>
      </c>
      <c r="C6" s="56">
        <v>1830328.13</v>
      </c>
      <c r="D6" s="57">
        <v>1019401.22</v>
      </c>
      <c r="E6" s="57">
        <v>1184064.46</v>
      </c>
      <c r="F6" s="41"/>
      <c r="G6" s="8"/>
    </row>
    <row r="7" spans="1:7" ht="13" x14ac:dyDescent="0.15">
      <c r="A7" s="19">
        <v>412</v>
      </c>
      <c r="B7" s="58" t="s">
        <v>54</v>
      </c>
      <c r="C7" s="56">
        <v>189579.55</v>
      </c>
      <c r="D7" s="57">
        <v>179224.87</v>
      </c>
      <c r="E7" s="57">
        <v>100823.02</v>
      </c>
      <c r="F7" s="41"/>
      <c r="G7" s="8"/>
    </row>
    <row r="8" spans="1:7" ht="13" x14ac:dyDescent="0.15">
      <c r="A8" s="19">
        <v>413</v>
      </c>
      <c r="B8" s="58" t="s">
        <v>3</v>
      </c>
      <c r="C8" s="56">
        <v>643533.29</v>
      </c>
      <c r="D8" s="57">
        <v>523346.49</v>
      </c>
      <c r="E8" s="57">
        <v>534330.29</v>
      </c>
      <c r="F8" s="41"/>
      <c r="G8" s="8"/>
    </row>
    <row r="9" spans="1:7" ht="13" x14ac:dyDescent="0.15">
      <c r="A9" s="44">
        <v>414</v>
      </c>
      <c r="B9" s="37" t="s">
        <v>5</v>
      </c>
      <c r="C9" s="56">
        <v>35763.24</v>
      </c>
      <c r="D9" s="57">
        <v>46334.37</v>
      </c>
      <c r="E9" s="57">
        <v>469536.5</v>
      </c>
      <c r="F9" s="41"/>
      <c r="G9" s="8"/>
    </row>
    <row r="10" spans="1:7" ht="13" x14ac:dyDescent="0.15">
      <c r="A10" s="19">
        <v>415</v>
      </c>
      <c r="B10" s="60" t="s">
        <v>6</v>
      </c>
      <c r="C10" s="16"/>
      <c r="D10" s="18"/>
      <c r="E10" s="18"/>
      <c r="F10" s="41"/>
      <c r="G10" s="8"/>
    </row>
    <row r="11" spans="1:7" ht="13" x14ac:dyDescent="0.15">
      <c r="A11" s="19">
        <v>416</v>
      </c>
      <c r="B11" s="37" t="s">
        <v>7</v>
      </c>
      <c r="C11" s="56">
        <v>36645.589999999997</v>
      </c>
      <c r="D11" s="57">
        <v>20578.240000000002</v>
      </c>
      <c r="E11" s="57">
        <v>17926.34</v>
      </c>
      <c r="F11" s="41"/>
      <c r="G11" s="8"/>
    </row>
    <row r="12" spans="1:7" ht="13" x14ac:dyDescent="0.15">
      <c r="A12" s="19">
        <v>417</v>
      </c>
      <c r="B12" s="37" t="s">
        <v>8</v>
      </c>
      <c r="C12" s="178"/>
      <c r="D12" s="48"/>
      <c r="E12" s="18"/>
      <c r="F12" s="41"/>
      <c r="G12" s="8"/>
    </row>
    <row r="13" spans="1:7" ht="13" x14ac:dyDescent="0.15">
      <c r="A13" s="19">
        <v>418</v>
      </c>
      <c r="B13" s="37" t="s">
        <v>55</v>
      </c>
      <c r="C13" s="56">
        <v>16440.919999999998</v>
      </c>
      <c r="D13" s="57">
        <v>16335.33</v>
      </c>
      <c r="E13" s="57">
        <v>27649.19</v>
      </c>
      <c r="F13" s="41"/>
      <c r="G13" s="8"/>
    </row>
    <row r="14" spans="1:7" ht="13" x14ac:dyDescent="0.15">
      <c r="A14" s="19">
        <v>42</v>
      </c>
      <c r="B14" s="47" t="s">
        <v>9</v>
      </c>
      <c r="C14" s="56">
        <v>432606.66</v>
      </c>
      <c r="D14" s="57">
        <v>95924.39</v>
      </c>
      <c r="E14" s="57">
        <v>167141.35999999999</v>
      </c>
      <c r="F14" s="41"/>
      <c r="G14" s="8"/>
    </row>
    <row r="15" spans="1:7" ht="16.5" customHeight="1" x14ac:dyDescent="0.15">
      <c r="A15" s="49">
        <v>43</v>
      </c>
      <c r="B15" s="60" t="s">
        <v>10</v>
      </c>
      <c r="C15" s="71">
        <v>1716194.31</v>
      </c>
      <c r="D15" s="75">
        <v>1679628.86</v>
      </c>
      <c r="E15" s="71">
        <v>1584133.68</v>
      </c>
      <c r="F15" s="18"/>
      <c r="G15" s="8"/>
    </row>
    <row r="16" spans="1:7" ht="13" x14ac:dyDescent="0.15">
      <c r="A16" s="44" t="s">
        <v>58</v>
      </c>
      <c r="B16" s="45" t="s">
        <v>11</v>
      </c>
      <c r="C16" s="67">
        <f>407155.26+889840.72+10750+14000+38228+139192.19+10616.93+4076.5</f>
        <v>1513859.5999999999</v>
      </c>
      <c r="D16" s="46">
        <f>381029.47+730373.41+19286+15700+31321.95+140167.91+5030.76</f>
        <v>1322909.4999999998</v>
      </c>
      <c r="E16" s="67">
        <f>1230+369557.49+656008.17+36890+31155.5+33065.68+139769.7+29983.86+7079</f>
        <v>1304739.4000000001</v>
      </c>
      <c r="F16" s="18"/>
      <c r="G16" s="8"/>
    </row>
    <row r="17" spans="1:7" ht="31.5" customHeight="1" x14ac:dyDescent="0.15">
      <c r="A17" s="44" t="s">
        <v>59</v>
      </c>
      <c r="B17" s="45" t="s">
        <v>12</v>
      </c>
      <c r="C17" s="67">
        <f>15120+17620+29937.5+56327.21+10700</f>
        <v>129704.70999999999</v>
      </c>
      <c r="D17" s="46">
        <f>16501.25+17582.55+43760.2+76422.65+8777+76225.71+4450</f>
        <v>243719.36</v>
      </c>
      <c r="E17" s="67">
        <f>15728.14+14884.11+43055+69107.78+9950</f>
        <v>152725.03</v>
      </c>
      <c r="F17" s="18"/>
      <c r="G17" s="8"/>
    </row>
    <row r="18" spans="1:7" ht="13" x14ac:dyDescent="0.15">
      <c r="A18" s="44" t="s">
        <v>60</v>
      </c>
      <c r="B18" s="74" t="s">
        <v>13</v>
      </c>
      <c r="C18" s="43">
        <v>72630</v>
      </c>
      <c r="D18" s="40">
        <v>113000</v>
      </c>
      <c r="E18" s="39">
        <v>103895</v>
      </c>
      <c r="F18" s="178"/>
      <c r="G18" s="8"/>
    </row>
    <row r="19" spans="1:7" ht="13" x14ac:dyDescent="0.15">
      <c r="A19" s="44" t="s">
        <v>61</v>
      </c>
      <c r="B19" s="74" t="s">
        <v>62</v>
      </c>
      <c r="C19" s="46"/>
      <c r="D19" s="67"/>
      <c r="E19" s="48">
        <f>21610.97+1163.28</f>
        <v>22774.25</v>
      </c>
      <c r="F19" s="178"/>
      <c r="G19" s="8"/>
    </row>
    <row r="20" spans="1:7" ht="13" x14ac:dyDescent="0.15">
      <c r="A20" s="19">
        <v>44</v>
      </c>
      <c r="B20" s="37" t="s">
        <v>14</v>
      </c>
      <c r="C20" s="56">
        <v>5899343.1699999999</v>
      </c>
      <c r="D20" s="57">
        <v>3609133.51</v>
      </c>
      <c r="E20" s="57">
        <v>1710726.9</v>
      </c>
      <c r="F20" s="18"/>
      <c r="G20" s="8"/>
    </row>
    <row r="21" spans="1:7" ht="13" x14ac:dyDescent="0.15">
      <c r="A21" s="19">
        <v>45</v>
      </c>
      <c r="B21" s="47" t="s">
        <v>63</v>
      </c>
      <c r="C21" s="16"/>
      <c r="D21" s="18"/>
      <c r="E21" s="18"/>
      <c r="F21" s="18"/>
      <c r="G21" s="8"/>
    </row>
    <row r="22" spans="1:7" ht="13" x14ac:dyDescent="0.15">
      <c r="A22" s="19">
        <v>46</v>
      </c>
      <c r="B22" s="20" t="s">
        <v>16</v>
      </c>
      <c r="C22" s="56">
        <v>2312709.36</v>
      </c>
      <c r="D22" s="57">
        <v>1564133.69</v>
      </c>
      <c r="E22" s="18">
        <f>835959.31+1529251.58</f>
        <v>2365210.89</v>
      </c>
      <c r="F22" s="18"/>
      <c r="G22" s="8"/>
    </row>
    <row r="23" spans="1:7" ht="13" x14ac:dyDescent="0.15">
      <c r="A23" s="19">
        <v>47</v>
      </c>
      <c r="B23" s="20" t="s">
        <v>17</v>
      </c>
      <c r="C23" s="56">
        <v>158834.85</v>
      </c>
      <c r="D23" s="57">
        <v>164200.9</v>
      </c>
      <c r="E23" s="57">
        <v>128067.53</v>
      </c>
      <c r="F23" s="18"/>
      <c r="G23" s="8"/>
    </row>
    <row r="24" spans="1:7" ht="13" x14ac:dyDescent="0.15">
      <c r="A24" s="3"/>
      <c r="B24" s="20" t="s">
        <v>18</v>
      </c>
      <c r="C24" s="199">
        <v>13271979.07</v>
      </c>
      <c r="D24" s="200">
        <v>8918241.8699999992</v>
      </c>
      <c r="E24" s="200">
        <v>8289810.1600000001</v>
      </c>
      <c r="F24" s="18"/>
      <c r="G24" s="8"/>
    </row>
    <row r="25" spans="1:7" ht="13" x14ac:dyDescent="0.15">
      <c r="A25" s="3"/>
      <c r="B25" s="103" t="s">
        <v>64</v>
      </c>
      <c r="C25" s="104"/>
      <c r="D25" s="105"/>
      <c r="E25" s="105"/>
      <c r="F25" s="105"/>
      <c r="G25" s="8"/>
    </row>
    <row r="26" spans="1:7" ht="13" x14ac:dyDescent="0.15">
      <c r="A26" s="19">
        <v>71</v>
      </c>
      <c r="B26" s="20" t="s">
        <v>39</v>
      </c>
      <c r="C26" s="73">
        <v>3825819.44</v>
      </c>
      <c r="D26" s="73">
        <v>3300594.55</v>
      </c>
      <c r="E26" s="73">
        <v>8702340.5500000007</v>
      </c>
      <c r="F26" s="15"/>
      <c r="G26" s="8"/>
    </row>
    <row r="27" spans="1:7" ht="13" x14ac:dyDescent="0.15">
      <c r="A27" s="44">
        <v>711</v>
      </c>
      <c r="B27" s="45" t="s">
        <v>40</v>
      </c>
      <c r="C27" s="39">
        <v>1580858.75</v>
      </c>
      <c r="D27" s="39">
        <v>1493340.94</v>
      </c>
      <c r="E27" s="39">
        <v>1417145.74</v>
      </c>
      <c r="F27" s="41"/>
      <c r="G27" s="8"/>
    </row>
    <row r="28" spans="1:7" ht="13" x14ac:dyDescent="0.15">
      <c r="A28" s="44">
        <v>713</v>
      </c>
      <c r="B28" s="45" t="s">
        <v>41</v>
      </c>
      <c r="C28" s="39">
        <v>114116.64</v>
      </c>
      <c r="D28" s="39">
        <v>77069.88</v>
      </c>
      <c r="E28" s="39">
        <v>91742.55</v>
      </c>
      <c r="F28" s="41"/>
      <c r="G28" s="8"/>
    </row>
    <row r="29" spans="1:7" ht="13" x14ac:dyDescent="0.15">
      <c r="A29" s="44">
        <v>714</v>
      </c>
      <c r="B29" s="45" t="s">
        <v>42</v>
      </c>
      <c r="C29" s="39">
        <v>110345.12</v>
      </c>
      <c r="D29" s="39">
        <v>143541.04</v>
      </c>
      <c r="E29" s="39">
        <v>214196.42</v>
      </c>
      <c r="F29" s="41"/>
      <c r="G29" s="8"/>
    </row>
    <row r="30" spans="1:7" ht="13" x14ac:dyDescent="0.15">
      <c r="A30" s="80"/>
      <c r="B30" s="45" t="s">
        <v>66</v>
      </c>
      <c r="C30" s="84">
        <f>220504.77+356466.14+505866.3</f>
        <v>1082837.21</v>
      </c>
      <c r="D30" s="48">
        <f>233711.09+305148.1+654219.35</f>
        <v>1193078.54</v>
      </c>
      <c r="E30" s="48">
        <f>341495.82+114074.45+455410.59</f>
        <v>910980.8600000001</v>
      </c>
      <c r="F30" s="41"/>
      <c r="G30" s="128"/>
    </row>
    <row r="31" spans="1:7" ht="13" x14ac:dyDescent="0.15">
      <c r="A31" s="44">
        <v>715</v>
      </c>
      <c r="B31" s="45" t="s">
        <v>67</v>
      </c>
      <c r="C31" s="38">
        <v>937661.72</v>
      </c>
      <c r="D31" s="39">
        <v>393564.15</v>
      </c>
      <c r="E31" s="39">
        <v>395332.98</v>
      </c>
      <c r="F31" s="41"/>
      <c r="G31" s="8"/>
    </row>
    <row r="32" spans="1:7" ht="13" x14ac:dyDescent="0.15">
      <c r="A32" s="19">
        <v>72</v>
      </c>
      <c r="B32" s="113" t="s">
        <v>43</v>
      </c>
      <c r="C32" s="56">
        <v>7016</v>
      </c>
      <c r="D32" s="57">
        <v>3537</v>
      </c>
      <c r="E32" s="57">
        <v>1132106</v>
      </c>
      <c r="F32" s="48"/>
      <c r="G32" s="8"/>
    </row>
    <row r="33" spans="1:7" ht="18" customHeight="1" x14ac:dyDescent="0.15">
      <c r="A33" s="115">
        <v>73</v>
      </c>
      <c r="B33" s="47" t="s">
        <v>68</v>
      </c>
      <c r="C33" s="131">
        <v>31041.47</v>
      </c>
      <c r="D33" s="131">
        <v>10297.629999999999</v>
      </c>
      <c r="E33" s="131">
        <v>392900.58</v>
      </c>
      <c r="F33" s="117"/>
      <c r="G33" s="8"/>
    </row>
    <row r="34" spans="1:7" ht="13" x14ac:dyDescent="0.15">
      <c r="A34" s="19">
        <v>74</v>
      </c>
      <c r="B34" s="60" t="s">
        <v>44</v>
      </c>
      <c r="C34" s="71">
        <v>6503283</v>
      </c>
      <c r="D34" s="75">
        <v>4007454.35</v>
      </c>
      <c r="E34" s="75">
        <v>4540836</v>
      </c>
      <c r="F34" s="18"/>
      <c r="G34" s="8"/>
    </row>
    <row r="35" spans="1:7" ht="13" x14ac:dyDescent="0.15">
      <c r="A35" s="44">
        <v>741</v>
      </c>
      <c r="B35" s="45" t="s">
        <v>45</v>
      </c>
      <c r="C35" s="178"/>
      <c r="D35" s="46"/>
      <c r="E35" s="46"/>
      <c r="F35" s="18"/>
      <c r="G35" s="8"/>
    </row>
    <row r="36" spans="1:7" ht="13" x14ac:dyDescent="0.15">
      <c r="A36" s="44">
        <v>742</v>
      </c>
      <c r="B36" s="45" t="s">
        <v>46</v>
      </c>
      <c r="C36" s="40">
        <v>3294333</v>
      </c>
      <c r="D36" s="43">
        <v>3554513</v>
      </c>
      <c r="E36" s="46"/>
      <c r="F36" s="18"/>
      <c r="G36" s="8"/>
    </row>
    <row r="37" spans="1:7" ht="13" x14ac:dyDescent="0.15">
      <c r="A37" s="80"/>
      <c r="B37" s="45" t="s">
        <v>81</v>
      </c>
      <c r="C37" s="111" t="s">
        <v>204</v>
      </c>
      <c r="D37" s="111" t="s">
        <v>205</v>
      </c>
      <c r="E37" s="111" t="s">
        <v>206</v>
      </c>
      <c r="F37" s="18"/>
      <c r="G37" s="8"/>
    </row>
    <row r="38" spans="1:7" ht="13" x14ac:dyDescent="0.15">
      <c r="A38" s="19">
        <v>751</v>
      </c>
      <c r="B38" s="37" t="s">
        <v>63</v>
      </c>
      <c r="C38" s="56">
        <v>2915116.79</v>
      </c>
      <c r="D38" s="57">
        <v>1989258.92</v>
      </c>
      <c r="E38" s="57">
        <v>522599.15</v>
      </c>
      <c r="F38" s="18"/>
      <c r="G38" s="8"/>
    </row>
    <row r="39" spans="1:7" ht="13" x14ac:dyDescent="0.15">
      <c r="A39" s="3"/>
      <c r="B39" s="37" t="s">
        <v>82</v>
      </c>
      <c r="C39" s="199">
        <v>13282276.699999999</v>
      </c>
      <c r="D39" s="200">
        <v>9311142.4499999993</v>
      </c>
      <c r="E39" s="200">
        <v>9617840.2799999993</v>
      </c>
      <c r="F39" s="18"/>
      <c r="G39" s="8"/>
    </row>
    <row r="40" spans="1:7" ht="13" x14ac:dyDescent="0.15">
      <c r="A40" s="3"/>
      <c r="B40" s="103" t="s">
        <v>83</v>
      </c>
      <c r="C40" s="104"/>
      <c r="D40" s="105"/>
      <c r="E40" s="105"/>
      <c r="F40" s="105"/>
      <c r="G40" s="8"/>
    </row>
    <row r="41" spans="1:7" ht="13" x14ac:dyDescent="0.15">
      <c r="A41" s="3"/>
      <c r="B41" s="42" t="s">
        <v>84</v>
      </c>
      <c r="C41" s="66"/>
      <c r="D41" s="48"/>
      <c r="E41" s="48"/>
      <c r="F41" s="48"/>
      <c r="G41" s="8"/>
    </row>
    <row r="42" spans="1:7" ht="13" x14ac:dyDescent="0.15">
      <c r="A42" s="3"/>
      <c r="B42" s="42" t="s">
        <v>49</v>
      </c>
      <c r="C42" s="66"/>
      <c r="D42" s="48"/>
      <c r="E42" s="48"/>
      <c r="F42" s="48"/>
      <c r="G42" s="8"/>
    </row>
    <row r="43" spans="1:7" ht="13" x14ac:dyDescent="0.15">
      <c r="A43" s="3"/>
      <c r="B43" s="42" t="s">
        <v>51</v>
      </c>
      <c r="C43" s="66"/>
      <c r="D43" s="48"/>
      <c r="E43" s="48"/>
      <c r="F43" s="48"/>
      <c r="G43" s="8"/>
    </row>
    <row r="44" spans="1:7" ht="13" x14ac:dyDescent="0.15">
      <c r="A44" s="3"/>
      <c r="B44" s="42" t="s">
        <v>86</v>
      </c>
      <c r="C44" s="66"/>
      <c r="D44" s="48"/>
      <c r="E44" s="48"/>
      <c r="F44" s="48"/>
      <c r="G44" s="8"/>
    </row>
    <row r="45" spans="1:7" ht="13" x14ac:dyDescent="0.15">
      <c r="A45" s="3"/>
      <c r="B45" s="134"/>
      <c r="C45" s="104"/>
      <c r="D45" s="105"/>
      <c r="E45" s="105"/>
      <c r="F45" s="105"/>
      <c r="G45" s="8"/>
    </row>
    <row r="46" spans="1:7" ht="19.5" customHeight="1" x14ac:dyDescent="0.15">
      <c r="B46" s="140"/>
      <c r="C46" s="140"/>
      <c r="D46" s="141"/>
      <c r="E46" s="140"/>
      <c r="F46" s="140"/>
    </row>
    <row r="47" spans="1:7" ht="19.5" customHeight="1" x14ac:dyDescent="0.15">
      <c r="B47" s="148" t="s">
        <v>96</v>
      </c>
      <c r="C47" s="1"/>
      <c r="D47" s="150"/>
      <c r="E47" s="1"/>
    </row>
    <row r="48" spans="1:7" ht="19.5" customHeight="1" x14ac:dyDescent="0.15">
      <c r="A48" s="3"/>
      <c r="B48" s="151" t="s">
        <v>106</v>
      </c>
      <c r="C48" s="114"/>
      <c r="D48" s="139"/>
      <c r="E48" s="114"/>
      <c r="F48" s="8"/>
    </row>
    <row r="49" spans="1:6" ht="24" customHeight="1" x14ac:dyDescent="0.15">
      <c r="A49" s="3"/>
      <c r="B49" s="153" t="s">
        <v>212</v>
      </c>
      <c r="C49" s="159">
        <v>191527.27</v>
      </c>
      <c r="D49" s="159">
        <v>170229.85</v>
      </c>
      <c r="E49" s="159">
        <v>158139.82</v>
      </c>
      <c r="F49" s="8"/>
    </row>
    <row r="50" spans="1:6" ht="24" customHeight="1" x14ac:dyDescent="0.15">
      <c r="A50" s="3"/>
      <c r="B50" s="153" t="s">
        <v>215</v>
      </c>
      <c r="C50" s="159">
        <v>241921.13</v>
      </c>
      <c r="D50" s="159">
        <v>307776.46000000002</v>
      </c>
      <c r="E50" s="159">
        <v>207080.24</v>
      </c>
      <c r="F50" s="8"/>
    </row>
    <row r="51" spans="1:6" ht="24" customHeight="1" x14ac:dyDescent="0.15">
      <c r="A51" s="3"/>
      <c r="B51" s="166" t="s">
        <v>115</v>
      </c>
      <c r="C51" s="159">
        <v>73817.84</v>
      </c>
      <c r="D51" s="159">
        <v>49703.01</v>
      </c>
      <c r="E51" s="159">
        <v>45866.89</v>
      </c>
      <c r="F51" s="8"/>
    </row>
    <row r="52" spans="1:6" ht="24" customHeight="1" x14ac:dyDescent="0.15">
      <c r="A52" s="3"/>
      <c r="B52" s="166" t="s">
        <v>149</v>
      </c>
      <c r="C52" s="159">
        <v>3105172.02</v>
      </c>
      <c r="D52" s="159">
        <v>2158721.5099999998</v>
      </c>
      <c r="E52" s="167"/>
      <c r="F52" s="8"/>
    </row>
    <row r="53" spans="1:6" ht="24" customHeight="1" x14ac:dyDescent="0.15">
      <c r="A53" s="3"/>
      <c r="B53" s="218" t="s">
        <v>219</v>
      </c>
      <c r="C53" s="167"/>
      <c r="D53" s="167"/>
      <c r="E53" s="192">
        <v>2830416.66</v>
      </c>
      <c r="F53" s="8"/>
    </row>
    <row r="54" spans="1:6" ht="31.5" customHeight="1" x14ac:dyDescent="0.15">
      <c r="A54" s="3"/>
      <c r="B54" s="153" t="s">
        <v>254</v>
      </c>
      <c r="C54" s="159">
        <v>218242.03</v>
      </c>
      <c r="D54" s="159">
        <v>147023.04999999999</v>
      </c>
      <c r="E54" s="167"/>
      <c r="F54" s="8"/>
    </row>
    <row r="55" spans="1:6" ht="24" customHeight="1" x14ac:dyDescent="0.15">
      <c r="A55" s="3"/>
      <c r="B55" s="218" t="s">
        <v>255</v>
      </c>
      <c r="C55" s="167"/>
      <c r="D55" s="167"/>
      <c r="E55" s="192">
        <v>407414.01</v>
      </c>
      <c r="F55" s="8"/>
    </row>
    <row r="56" spans="1:6" ht="24" customHeight="1" x14ac:dyDescent="0.15">
      <c r="A56" s="3"/>
      <c r="B56" s="166" t="s">
        <v>256</v>
      </c>
      <c r="C56" s="159">
        <v>2383142.23</v>
      </c>
      <c r="D56" s="159">
        <v>1791452.31</v>
      </c>
      <c r="E56" s="159">
        <v>1873859.56</v>
      </c>
      <c r="F56" s="8"/>
    </row>
    <row r="57" spans="1:6" ht="24" customHeight="1" x14ac:dyDescent="0.15">
      <c r="A57" s="3"/>
      <c r="B57" s="153" t="s">
        <v>257</v>
      </c>
      <c r="C57" s="159">
        <v>544245.43000000005</v>
      </c>
      <c r="D57" s="159">
        <v>425437.85</v>
      </c>
      <c r="E57" s="159">
        <v>500970.79</v>
      </c>
      <c r="F57" s="8"/>
    </row>
    <row r="58" spans="1:6" ht="24" customHeight="1" x14ac:dyDescent="0.15">
      <c r="A58" s="3"/>
      <c r="B58" s="166" t="s">
        <v>258</v>
      </c>
      <c r="C58" s="159">
        <v>5514210.8300000001</v>
      </c>
      <c r="D58" s="159">
        <v>3224908.13</v>
      </c>
      <c r="E58" s="221">
        <v>1458415.79</v>
      </c>
      <c r="F58" s="8"/>
    </row>
    <row r="59" spans="1:6" ht="24" customHeight="1" x14ac:dyDescent="0.15">
      <c r="A59" s="3"/>
      <c r="B59" s="166" t="s">
        <v>134</v>
      </c>
      <c r="C59" s="159">
        <v>93101.51</v>
      </c>
      <c r="D59" s="159">
        <v>66926.16</v>
      </c>
      <c r="E59" s="167"/>
      <c r="F59" s="8"/>
    </row>
    <row r="60" spans="1:6" ht="24" customHeight="1" x14ac:dyDescent="0.15">
      <c r="A60" s="3"/>
      <c r="B60" s="226" t="s">
        <v>259</v>
      </c>
      <c r="C60" s="167"/>
      <c r="D60" s="167"/>
      <c r="E60" s="192">
        <v>60047.62</v>
      </c>
      <c r="F60" s="8"/>
    </row>
    <row r="61" spans="1:6" ht="24" customHeight="1" x14ac:dyDescent="0.15">
      <c r="A61" s="3"/>
      <c r="B61" s="166" t="s">
        <v>316</v>
      </c>
      <c r="C61" s="159">
        <v>344552.35</v>
      </c>
      <c r="D61" s="159">
        <v>202428.29</v>
      </c>
      <c r="E61" s="167"/>
      <c r="F61" s="8"/>
    </row>
    <row r="62" spans="1:6" ht="24" customHeight="1" x14ac:dyDescent="0.15">
      <c r="A62" s="3"/>
      <c r="B62" s="226" t="s">
        <v>317</v>
      </c>
      <c r="C62" s="167"/>
      <c r="D62" s="167"/>
      <c r="E62" s="192">
        <v>203499.03</v>
      </c>
      <c r="F62" s="8"/>
    </row>
    <row r="63" spans="1:6" ht="24" customHeight="1" x14ac:dyDescent="0.15">
      <c r="A63" s="3"/>
      <c r="B63" s="166" t="s">
        <v>137</v>
      </c>
      <c r="C63" s="159">
        <v>271690.78000000003</v>
      </c>
      <c r="D63" s="159">
        <v>182767.3</v>
      </c>
      <c r="E63" s="167"/>
      <c r="F63" s="8"/>
    </row>
    <row r="64" spans="1:6" ht="24" customHeight="1" x14ac:dyDescent="0.15">
      <c r="A64" s="3"/>
      <c r="B64" s="226" t="s">
        <v>318</v>
      </c>
      <c r="C64" s="167"/>
      <c r="D64" s="167"/>
      <c r="E64" s="192">
        <v>156932.01</v>
      </c>
      <c r="F64" s="8"/>
    </row>
    <row r="65" spans="1:6" ht="24" customHeight="1" x14ac:dyDescent="0.15">
      <c r="A65" s="3"/>
      <c r="B65" s="166" t="s">
        <v>264</v>
      </c>
      <c r="C65" s="159">
        <v>242406.72</v>
      </c>
      <c r="D65" s="159">
        <v>140183.04999999999</v>
      </c>
      <c r="E65" s="159">
        <v>169373.57</v>
      </c>
      <c r="F65" s="8"/>
    </row>
    <row r="66" spans="1:6" ht="24" customHeight="1" x14ac:dyDescent="0.15">
      <c r="A66" s="3"/>
      <c r="B66" s="166" t="s">
        <v>235</v>
      </c>
      <c r="C66" s="159">
        <v>47948.93</v>
      </c>
      <c r="D66" s="159">
        <v>48689.23</v>
      </c>
      <c r="E66" s="159">
        <v>70722.69</v>
      </c>
      <c r="F66" s="8"/>
    </row>
    <row r="67" spans="1:6" ht="24" customHeight="1" x14ac:dyDescent="0.15">
      <c r="A67" s="3"/>
      <c r="B67" s="166" t="s">
        <v>319</v>
      </c>
      <c r="C67" s="167"/>
      <c r="D67" s="167"/>
      <c r="E67" s="159">
        <v>50842.97</v>
      </c>
      <c r="F67" s="8"/>
    </row>
    <row r="68" spans="1:6" ht="24" customHeight="1" x14ac:dyDescent="0.15">
      <c r="A68" s="3"/>
      <c r="B68" s="166" t="s">
        <v>320</v>
      </c>
      <c r="C68" s="167"/>
      <c r="D68" s="167"/>
      <c r="E68" s="159">
        <v>96228.51</v>
      </c>
      <c r="F68" s="8"/>
    </row>
    <row r="69" spans="1:6" ht="24" customHeight="1" x14ac:dyDescent="0.15">
      <c r="A69" s="3"/>
      <c r="B69" s="166" t="s">
        <v>321</v>
      </c>
      <c r="C69" s="167"/>
      <c r="D69" s="159">
        <v>1995.67</v>
      </c>
      <c r="E69" s="167"/>
      <c r="F69" s="8"/>
    </row>
    <row r="70" spans="1:6" ht="19.5" customHeight="1" x14ac:dyDescent="0.15">
      <c r="A70" s="3"/>
      <c r="B70" s="169"/>
      <c r="C70" s="167"/>
      <c r="D70" s="167"/>
      <c r="E70" s="167"/>
      <c r="F70" s="8"/>
    </row>
    <row r="71" spans="1:6" ht="19.5" customHeight="1" x14ac:dyDescent="0.15">
      <c r="A71" s="3"/>
      <c r="B71" s="151" t="s">
        <v>142</v>
      </c>
      <c r="C71" s="206">
        <v>13271979.07</v>
      </c>
      <c r="D71" s="206">
        <v>8918241.8699999992</v>
      </c>
      <c r="E71" s="206">
        <v>8289810.1600000001</v>
      </c>
      <c r="F71" s="8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7" width="14.5" customWidth="1"/>
    <col min="8" max="8" width="16.5" customWidth="1"/>
  </cols>
  <sheetData>
    <row r="1" spans="1:8" ht="27.75" customHeight="1" x14ac:dyDescent="0.15">
      <c r="B1" s="1"/>
      <c r="C1" s="1"/>
      <c r="D1" s="1"/>
      <c r="E1" s="1"/>
      <c r="F1" s="1"/>
    </row>
    <row r="2" spans="1:8" ht="13" x14ac:dyDescent="0.15">
      <c r="A2" s="3"/>
      <c r="B2" s="4" t="s">
        <v>4</v>
      </c>
      <c r="C2" s="4">
        <v>2009</v>
      </c>
      <c r="D2" s="7">
        <v>2010</v>
      </c>
      <c r="E2" s="7">
        <v>2011</v>
      </c>
      <c r="F2" s="10"/>
      <c r="G2" s="8"/>
    </row>
    <row r="3" spans="1:8" ht="13" x14ac:dyDescent="0.15">
      <c r="A3" s="3"/>
      <c r="B3" s="9" t="s">
        <v>22</v>
      </c>
      <c r="C3" s="11"/>
      <c r="D3" s="12"/>
      <c r="E3" s="13"/>
      <c r="F3" s="14"/>
      <c r="G3" s="8"/>
    </row>
    <row r="4" spans="1:8" ht="13" x14ac:dyDescent="0.15">
      <c r="A4" s="3"/>
      <c r="B4" s="15"/>
      <c r="C4" s="16"/>
      <c r="D4" s="18"/>
      <c r="E4" s="18"/>
      <c r="F4" s="18"/>
      <c r="G4" s="8"/>
    </row>
    <row r="5" spans="1:8" ht="13" x14ac:dyDescent="0.15">
      <c r="A5" s="19">
        <v>41</v>
      </c>
      <c r="B5" s="20" t="s">
        <v>0</v>
      </c>
      <c r="C5" s="29">
        <f t="shared" ref="C5:E5" si="0">SUM(C6:C13)</f>
        <v>6414493.459999999</v>
      </c>
      <c r="D5" s="30">
        <f t="shared" si="0"/>
        <v>5029412.91</v>
      </c>
      <c r="E5" s="30">
        <f t="shared" si="0"/>
        <v>5154637.72</v>
      </c>
      <c r="F5" s="18"/>
      <c r="G5" s="8"/>
    </row>
    <row r="6" spans="1:8" ht="13" x14ac:dyDescent="0.15">
      <c r="A6" s="19">
        <v>411</v>
      </c>
      <c r="B6" s="36" t="s">
        <v>38</v>
      </c>
      <c r="C6" s="38">
        <v>4532278.17</v>
      </c>
      <c r="D6" s="39">
        <v>2608595.88</v>
      </c>
      <c r="E6" s="39">
        <v>3439247.06</v>
      </c>
      <c r="F6" s="41"/>
      <c r="G6" s="8"/>
    </row>
    <row r="7" spans="1:8" ht="13" x14ac:dyDescent="0.15">
      <c r="A7" s="19">
        <v>412</v>
      </c>
      <c r="B7" s="42" t="s">
        <v>54</v>
      </c>
      <c r="C7" s="38">
        <v>419460.8</v>
      </c>
      <c r="D7" s="39">
        <v>257923.64</v>
      </c>
      <c r="E7" s="39">
        <v>98989.8</v>
      </c>
      <c r="F7" s="41"/>
      <c r="G7" s="8"/>
    </row>
    <row r="8" spans="1:8" ht="13" x14ac:dyDescent="0.15">
      <c r="A8" s="19">
        <v>413</v>
      </c>
      <c r="B8" s="42" t="s">
        <v>3</v>
      </c>
      <c r="C8" s="38">
        <v>1299239.1399999999</v>
      </c>
      <c r="D8" s="39">
        <v>1920297.49</v>
      </c>
      <c r="E8" s="39">
        <v>1286403.92</v>
      </c>
      <c r="F8" s="41"/>
      <c r="G8" s="8"/>
    </row>
    <row r="9" spans="1:8" ht="13" x14ac:dyDescent="0.15">
      <c r="A9" s="44">
        <v>414</v>
      </c>
      <c r="B9" s="36" t="s">
        <v>5</v>
      </c>
      <c r="C9" s="55">
        <v>40729.56</v>
      </c>
      <c r="D9" s="61">
        <v>125289.58</v>
      </c>
      <c r="E9" s="61">
        <v>56837.66</v>
      </c>
      <c r="F9" s="41"/>
      <c r="G9" s="8"/>
    </row>
    <row r="10" spans="1:8" ht="13" x14ac:dyDescent="0.15">
      <c r="A10" s="19">
        <v>415</v>
      </c>
      <c r="B10" s="45" t="s">
        <v>6</v>
      </c>
      <c r="C10" s="62">
        <v>65086.33</v>
      </c>
      <c r="D10" s="61">
        <v>46000</v>
      </c>
      <c r="E10" s="61">
        <v>215432.95999999999</v>
      </c>
      <c r="F10" s="41"/>
      <c r="G10" s="8"/>
      <c r="H10" s="63"/>
    </row>
    <row r="11" spans="1:8" ht="13" x14ac:dyDescent="0.15">
      <c r="A11" s="19">
        <v>416</v>
      </c>
      <c r="B11" s="36" t="s">
        <v>7</v>
      </c>
      <c r="C11" s="62">
        <v>57699.46</v>
      </c>
      <c r="D11" s="61">
        <v>71306.320000000007</v>
      </c>
      <c r="E11" s="61">
        <v>57726.32</v>
      </c>
      <c r="F11" s="41"/>
      <c r="G11" s="8"/>
      <c r="H11" s="63"/>
    </row>
    <row r="12" spans="1:8" ht="13" x14ac:dyDescent="0.15">
      <c r="A12" s="19">
        <v>417</v>
      </c>
      <c r="B12" s="36" t="s">
        <v>8</v>
      </c>
      <c r="C12" s="102"/>
      <c r="D12" s="84"/>
      <c r="E12" s="84"/>
      <c r="F12" s="41"/>
      <c r="G12" s="118"/>
      <c r="H12" s="63"/>
    </row>
    <row r="13" spans="1:8" ht="13" x14ac:dyDescent="0.15">
      <c r="A13" s="19">
        <v>418</v>
      </c>
      <c r="B13" s="36" t="s">
        <v>55</v>
      </c>
      <c r="C13" s="102"/>
      <c r="D13" s="84"/>
      <c r="E13" s="84"/>
      <c r="F13" s="41"/>
      <c r="G13" s="8"/>
    </row>
    <row r="14" spans="1:8" ht="13" x14ac:dyDescent="0.15">
      <c r="A14" s="19">
        <v>42</v>
      </c>
      <c r="B14" s="47" t="s">
        <v>9</v>
      </c>
      <c r="C14" s="83"/>
      <c r="D14" s="97">
        <v>138962.54999999999</v>
      </c>
      <c r="E14" s="119" t="s">
        <v>69</v>
      </c>
      <c r="F14" s="41"/>
      <c r="G14" s="8"/>
    </row>
    <row r="15" spans="1:8" ht="16.5" customHeight="1" x14ac:dyDescent="0.15">
      <c r="A15" s="49">
        <v>43</v>
      </c>
      <c r="B15" s="60" t="s">
        <v>10</v>
      </c>
      <c r="C15" s="136">
        <v>2887743.64</v>
      </c>
      <c r="D15" s="137">
        <v>3365418.52</v>
      </c>
      <c r="E15" s="136">
        <v>1646095.55</v>
      </c>
      <c r="F15" s="18"/>
      <c r="G15" s="8"/>
    </row>
    <row r="16" spans="1:8" ht="13" x14ac:dyDescent="0.15">
      <c r="A16" s="44" t="s">
        <v>58</v>
      </c>
      <c r="B16" s="45" t="s">
        <v>11</v>
      </c>
      <c r="C16" s="114">
        <f>5047.35+857816.88+1887629.13+11313.55+44300</f>
        <v>2806106.9099999997</v>
      </c>
      <c r="D16" s="139">
        <f>11911.12+1523863.86+1671604.72+8182.75+80933.98</f>
        <v>3296496.43</v>
      </c>
      <c r="E16" s="114">
        <f>22846.83+174784.99+1290495.9+8520+82608.1</f>
        <v>1579255.82</v>
      </c>
      <c r="F16" s="18"/>
      <c r="G16" s="8"/>
    </row>
    <row r="17" spans="1:8" ht="13" x14ac:dyDescent="0.15">
      <c r="A17" s="44" t="s">
        <v>59</v>
      </c>
      <c r="B17" s="45" t="s">
        <v>12</v>
      </c>
      <c r="C17" s="111">
        <v>25076.73</v>
      </c>
      <c r="D17" s="139">
        <f>43090.93+3500</f>
        <v>46590.93</v>
      </c>
      <c r="E17" s="114">
        <f>47411.26+2823.47</f>
        <v>50234.73</v>
      </c>
      <c r="F17" s="18"/>
      <c r="G17" s="8"/>
    </row>
    <row r="18" spans="1:8" ht="13" x14ac:dyDescent="0.15">
      <c r="A18" s="44" t="s">
        <v>60</v>
      </c>
      <c r="B18" s="74" t="s">
        <v>13</v>
      </c>
      <c r="C18" s="152">
        <v>56560</v>
      </c>
      <c r="D18" s="111">
        <v>22331.16</v>
      </c>
      <c r="E18" s="61">
        <v>16605</v>
      </c>
      <c r="F18" s="178"/>
      <c r="G18" s="8"/>
    </row>
    <row r="19" spans="1:8" ht="13" x14ac:dyDescent="0.15">
      <c r="A19" s="44" t="s">
        <v>61</v>
      </c>
      <c r="B19" s="74" t="s">
        <v>62</v>
      </c>
      <c r="C19" s="139"/>
      <c r="D19" s="114"/>
      <c r="E19" s="84"/>
      <c r="F19" s="178"/>
      <c r="G19" s="8"/>
    </row>
    <row r="20" spans="1:8" ht="13" x14ac:dyDescent="0.15">
      <c r="A20" s="19">
        <v>44</v>
      </c>
      <c r="B20" s="37" t="s">
        <v>14</v>
      </c>
      <c r="C20" s="93">
        <v>14701914.960000001</v>
      </c>
      <c r="D20" s="97">
        <v>18097839.579999998</v>
      </c>
      <c r="E20" s="97">
        <v>2262650.1800000002</v>
      </c>
      <c r="F20" s="18"/>
      <c r="G20" s="8"/>
    </row>
    <row r="21" spans="1:8" ht="13" x14ac:dyDescent="0.15">
      <c r="A21" s="19">
        <v>45</v>
      </c>
      <c r="B21" s="47" t="s">
        <v>63</v>
      </c>
      <c r="C21" s="83"/>
      <c r="D21" s="89"/>
      <c r="E21" s="178"/>
      <c r="F21" s="18"/>
      <c r="G21" s="8"/>
    </row>
    <row r="22" spans="1:8" ht="13" x14ac:dyDescent="0.15">
      <c r="A22" s="19">
        <v>46</v>
      </c>
      <c r="B22" s="20" t="s">
        <v>16</v>
      </c>
      <c r="C22" s="83">
        <f>1000000+367895.15+19069828.98</f>
        <v>20437724.129999999</v>
      </c>
      <c r="D22" s="89">
        <f>612468.67+21166053.05</f>
        <v>21778521.720000003</v>
      </c>
      <c r="E22" s="89">
        <f>2197378.01+18830338.72</f>
        <v>21027716.729999997</v>
      </c>
      <c r="F22" s="18"/>
      <c r="G22" s="8"/>
    </row>
    <row r="23" spans="1:8" ht="13" x14ac:dyDescent="0.15">
      <c r="A23" s="19">
        <v>47</v>
      </c>
      <c r="B23" s="20" t="s">
        <v>17</v>
      </c>
      <c r="C23" s="83">
        <f>215977.58+1400</f>
        <v>217377.58</v>
      </c>
      <c r="D23" s="97">
        <v>242163.74</v>
      </c>
      <c r="E23" s="97">
        <v>263529.09000000003</v>
      </c>
      <c r="F23" s="18"/>
      <c r="G23" s="8"/>
    </row>
    <row r="24" spans="1:8" ht="13" x14ac:dyDescent="0.15">
      <c r="A24" s="3"/>
      <c r="B24" s="20" t="s">
        <v>18</v>
      </c>
      <c r="C24" s="93">
        <v>44659253.770000003</v>
      </c>
      <c r="D24" s="97">
        <v>48652319.020000003</v>
      </c>
      <c r="E24" s="97">
        <v>30614824.199999999</v>
      </c>
      <c r="F24" s="18"/>
      <c r="G24" s="8"/>
    </row>
    <row r="25" spans="1:8" ht="13" x14ac:dyDescent="0.15">
      <c r="A25" s="3"/>
      <c r="B25" s="103" t="s">
        <v>64</v>
      </c>
      <c r="C25" s="104"/>
      <c r="D25" s="105"/>
      <c r="E25" s="105"/>
      <c r="F25" s="105"/>
      <c r="G25" s="8"/>
    </row>
    <row r="26" spans="1:8" ht="13" x14ac:dyDescent="0.15">
      <c r="A26" s="19">
        <v>71</v>
      </c>
      <c r="B26" s="20" t="s">
        <v>39</v>
      </c>
      <c r="C26" s="30">
        <f t="shared" ref="C26:E26" si="1">SUM(C27:C31)</f>
        <v>37554772.770000003</v>
      </c>
      <c r="D26" s="30">
        <f t="shared" si="1"/>
        <v>40766732.009999998</v>
      </c>
      <c r="E26" s="30">
        <f t="shared" si="1"/>
        <v>25870246.5</v>
      </c>
      <c r="F26" s="15"/>
      <c r="G26" s="8"/>
    </row>
    <row r="27" spans="1:8" ht="13" x14ac:dyDescent="0.15">
      <c r="A27" s="44">
        <v>711</v>
      </c>
      <c r="B27" s="45" t="s">
        <v>40</v>
      </c>
      <c r="C27" s="39">
        <v>8351016.8200000003</v>
      </c>
      <c r="D27" s="39">
        <v>8477386.9199999999</v>
      </c>
      <c r="E27" s="39">
        <v>9290742.3100000005</v>
      </c>
      <c r="F27" s="41"/>
      <c r="G27" s="8"/>
    </row>
    <row r="28" spans="1:8" ht="13" x14ac:dyDescent="0.15">
      <c r="A28" s="44">
        <v>713</v>
      </c>
      <c r="B28" s="45" t="s">
        <v>41</v>
      </c>
      <c r="C28" s="39">
        <v>844688.66</v>
      </c>
      <c r="D28" s="39">
        <v>1091143.99</v>
      </c>
      <c r="E28" s="39">
        <v>933838.52</v>
      </c>
      <c r="F28" s="41"/>
      <c r="G28" s="8"/>
    </row>
    <row r="29" spans="1:8" ht="13" x14ac:dyDescent="0.15">
      <c r="A29" s="44">
        <v>714</v>
      </c>
      <c r="B29" s="45" t="s">
        <v>42</v>
      </c>
      <c r="C29" s="39">
        <v>70296.160000000003</v>
      </c>
      <c r="D29" s="39">
        <v>31569.29</v>
      </c>
      <c r="E29" s="39">
        <v>57097.95</v>
      </c>
      <c r="F29" s="41"/>
      <c r="G29" s="8"/>
    </row>
    <row r="30" spans="1:8" ht="13" x14ac:dyDescent="0.15">
      <c r="A30" s="80"/>
      <c r="B30" s="45" t="s">
        <v>66</v>
      </c>
      <c r="C30" s="48">
        <f>101629.44+462899.56+50080.99+14574388.3+11184050.6+24137.08+56465.92</f>
        <v>26453651.890000001</v>
      </c>
      <c r="D30" s="48">
        <f>26822.73+31922.18+21444.18+15901046.9+13026057.03+24933.4+56676.24</f>
        <v>29088902.659999996</v>
      </c>
      <c r="E30" s="48">
        <f>37.44+51092.18+8844313.83+4576516.99+24144+60201.56</f>
        <v>13556306</v>
      </c>
      <c r="F30" s="41"/>
      <c r="G30" s="8"/>
    </row>
    <row r="31" spans="1:8" ht="13" x14ac:dyDescent="0.15">
      <c r="A31" s="44">
        <v>715</v>
      </c>
      <c r="B31" s="45" t="s">
        <v>67</v>
      </c>
      <c r="C31" s="38">
        <v>1835119.24</v>
      </c>
      <c r="D31" s="39">
        <v>2077729.15</v>
      </c>
      <c r="E31" s="39">
        <v>2032261.72</v>
      </c>
      <c r="F31" s="41"/>
      <c r="G31" s="8"/>
      <c r="H31" s="63"/>
    </row>
    <row r="32" spans="1:8" ht="13" x14ac:dyDescent="0.15">
      <c r="A32" s="19">
        <v>72</v>
      </c>
      <c r="B32" s="113" t="s">
        <v>43</v>
      </c>
      <c r="C32" s="56">
        <v>1858552.24</v>
      </c>
      <c r="D32" s="57">
        <v>7882055.8899999997</v>
      </c>
      <c r="E32" s="39">
        <v>3619932.96</v>
      </c>
      <c r="F32" s="48"/>
      <c r="G32" s="8"/>
    </row>
    <row r="33" spans="1:8" ht="18" customHeight="1" x14ac:dyDescent="0.15">
      <c r="A33" s="115">
        <v>73</v>
      </c>
      <c r="B33" s="47" t="s">
        <v>68</v>
      </c>
      <c r="C33" s="71">
        <v>121866.24000000001</v>
      </c>
      <c r="D33" s="75">
        <v>18190.32</v>
      </c>
      <c r="E33" s="131">
        <v>14659.21</v>
      </c>
      <c r="F33" s="117"/>
      <c r="G33" s="8"/>
    </row>
    <row r="34" spans="1:8" ht="13" x14ac:dyDescent="0.15">
      <c r="A34" s="19">
        <v>74</v>
      </c>
      <c r="B34" s="60" t="s">
        <v>44</v>
      </c>
      <c r="C34" s="108"/>
      <c r="D34" s="109"/>
      <c r="E34" s="75">
        <v>30000</v>
      </c>
      <c r="F34" s="18"/>
      <c r="G34" s="8"/>
      <c r="H34" s="186"/>
    </row>
    <row r="35" spans="1:8" ht="13" x14ac:dyDescent="0.15">
      <c r="A35" s="44">
        <v>741</v>
      </c>
      <c r="B35" s="45" t="s">
        <v>45</v>
      </c>
      <c r="C35" s="108"/>
      <c r="D35" s="109"/>
      <c r="E35" s="109"/>
      <c r="F35" s="18"/>
      <c r="G35" s="8"/>
    </row>
    <row r="36" spans="1:8" ht="13" x14ac:dyDescent="0.15">
      <c r="A36" s="44">
        <v>742</v>
      </c>
      <c r="B36" s="45" t="s">
        <v>46</v>
      </c>
      <c r="C36" s="108"/>
      <c r="D36" s="109"/>
      <c r="E36" s="109"/>
      <c r="F36" s="18"/>
      <c r="G36" s="8"/>
    </row>
    <row r="37" spans="1:8" ht="13" x14ac:dyDescent="0.15">
      <c r="A37" s="80"/>
      <c r="B37" s="45" t="s">
        <v>81</v>
      </c>
      <c r="C37" s="108"/>
      <c r="D37" s="109"/>
      <c r="E37" s="111" t="s">
        <v>166</v>
      </c>
      <c r="F37" s="18"/>
      <c r="G37" s="8"/>
    </row>
    <row r="38" spans="1:8" ht="13" x14ac:dyDescent="0.15">
      <c r="A38" s="19">
        <v>751</v>
      </c>
      <c r="B38" s="37" t="s">
        <v>63</v>
      </c>
      <c r="C38" s="56">
        <v>5142252.84</v>
      </c>
      <c r="D38" s="18"/>
      <c r="E38" s="57">
        <v>1100000</v>
      </c>
      <c r="F38" s="18"/>
      <c r="G38" s="8"/>
    </row>
    <row r="39" spans="1:8" ht="13" x14ac:dyDescent="0.15">
      <c r="A39" s="3"/>
      <c r="B39" s="37" t="s">
        <v>82</v>
      </c>
      <c r="C39" s="56">
        <v>44677444.090000004</v>
      </c>
      <c r="D39" s="57">
        <v>48666978.219999999</v>
      </c>
      <c r="E39" s="57">
        <v>30634838.670000002</v>
      </c>
      <c r="F39" s="18"/>
      <c r="G39" s="8"/>
    </row>
    <row r="40" spans="1:8" ht="13" x14ac:dyDescent="0.15">
      <c r="A40" s="3"/>
      <c r="B40" s="103" t="s">
        <v>83</v>
      </c>
      <c r="C40" s="104"/>
      <c r="D40" s="105"/>
      <c r="E40" s="105"/>
      <c r="F40" s="105"/>
      <c r="G40" s="8"/>
    </row>
    <row r="41" spans="1:8" ht="13" x14ac:dyDescent="0.15">
      <c r="A41" s="3"/>
      <c r="B41" s="42" t="s">
        <v>84</v>
      </c>
      <c r="C41" s="66"/>
      <c r="D41" s="48"/>
      <c r="E41" s="48"/>
      <c r="F41" s="48"/>
      <c r="G41" s="8"/>
    </row>
    <row r="42" spans="1:8" ht="13" x14ac:dyDescent="0.15">
      <c r="A42" s="3"/>
      <c r="B42" s="42" t="s">
        <v>49</v>
      </c>
      <c r="C42" s="66"/>
      <c r="D42" s="48"/>
      <c r="E42" s="48"/>
      <c r="F42" s="48"/>
      <c r="G42" s="8"/>
    </row>
    <row r="43" spans="1:8" ht="13" x14ac:dyDescent="0.15">
      <c r="A43" s="3"/>
      <c r="B43" s="42" t="s">
        <v>51</v>
      </c>
      <c r="C43" s="66"/>
      <c r="D43" s="48"/>
      <c r="E43" s="48"/>
      <c r="F43" s="48"/>
      <c r="G43" s="8"/>
    </row>
    <row r="44" spans="1:8" ht="13" x14ac:dyDescent="0.15">
      <c r="A44" s="3"/>
      <c r="B44" s="42" t="s">
        <v>86</v>
      </c>
      <c r="C44" s="66"/>
      <c r="D44" s="48"/>
      <c r="E44" s="48"/>
      <c r="F44" s="48"/>
      <c r="G44" s="8"/>
    </row>
    <row r="45" spans="1:8" ht="13" x14ac:dyDescent="0.15">
      <c r="A45" s="3"/>
      <c r="B45" s="134"/>
      <c r="C45" s="104"/>
      <c r="D45" s="105"/>
      <c r="E45" s="105"/>
      <c r="F45" s="105"/>
      <c r="G45" s="8"/>
    </row>
    <row r="46" spans="1:8" ht="19.5" customHeight="1" x14ac:dyDescent="0.15">
      <c r="B46" s="140"/>
      <c r="C46" s="140"/>
      <c r="D46" s="141"/>
      <c r="E46" s="140"/>
      <c r="F46" s="140"/>
    </row>
    <row r="47" spans="1:8" ht="19.5" customHeight="1" x14ac:dyDescent="0.15">
      <c r="B47" s="197" t="s">
        <v>96</v>
      </c>
    </row>
    <row r="48" spans="1:8" ht="19.5" customHeight="1" x14ac:dyDescent="0.15">
      <c r="B48" s="1"/>
      <c r="C48" s="1"/>
      <c r="D48" s="1"/>
      <c r="E48" s="1"/>
    </row>
    <row r="49" spans="1:6" ht="19.5" customHeight="1" x14ac:dyDescent="0.15">
      <c r="A49" s="3"/>
      <c r="B49" s="151" t="s">
        <v>106</v>
      </c>
      <c r="C49" s="114"/>
      <c r="D49" s="139"/>
      <c r="E49" s="114"/>
      <c r="F49" s="8"/>
    </row>
    <row r="50" spans="1:6" ht="19.5" customHeight="1" x14ac:dyDescent="0.15">
      <c r="A50" s="3"/>
      <c r="B50" s="153" t="s">
        <v>112</v>
      </c>
      <c r="C50" s="111">
        <v>639012.22</v>
      </c>
      <c r="D50" s="152">
        <v>487063.26</v>
      </c>
      <c r="E50" s="111">
        <v>436587.69</v>
      </c>
      <c r="F50" s="8"/>
    </row>
    <row r="51" spans="1:6" ht="19.5" customHeight="1" x14ac:dyDescent="0.15">
      <c r="A51" s="3"/>
      <c r="B51" s="153" t="s">
        <v>160</v>
      </c>
      <c r="C51" s="111">
        <v>81303.75</v>
      </c>
      <c r="D51" s="152">
        <v>98784.95</v>
      </c>
      <c r="E51" s="111">
        <v>115219.28</v>
      </c>
      <c r="F51" s="8"/>
    </row>
    <row r="52" spans="1:6" ht="19.5" customHeight="1" x14ac:dyDescent="0.15">
      <c r="A52" s="3"/>
      <c r="B52" s="166" t="s">
        <v>144</v>
      </c>
      <c r="C52" s="111">
        <v>80994.11</v>
      </c>
      <c r="D52" s="152">
        <v>47187.360000000001</v>
      </c>
      <c r="E52" s="111">
        <v>59766.13</v>
      </c>
      <c r="F52" s="8"/>
    </row>
    <row r="53" spans="1:6" ht="19.5" customHeight="1" x14ac:dyDescent="0.15">
      <c r="A53" s="3"/>
      <c r="B53" s="166" t="s">
        <v>197</v>
      </c>
      <c r="C53" s="111">
        <v>121722.3</v>
      </c>
      <c r="D53" s="152">
        <v>90654.22</v>
      </c>
      <c r="E53" s="111">
        <v>108030.67</v>
      </c>
      <c r="F53" s="8"/>
    </row>
    <row r="54" spans="1:6" ht="19.5" customHeight="1" x14ac:dyDescent="0.15">
      <c r="A54" s="3"/>
      <c r="B54" s="166" t="s">
        <v>151</v>
      </c>
      <c r="C54" s="111">
        <v>3818752.19</v>
      </c>
      <c r="D54" s="152">
        <v>4015681.23</v>
      </c>
      <c r="E54" s="111">
        <v>2270121.52</v>
      </c>
      <c r="F54" s="8"/>
    </row>
    <row r="55" spans="1:6" ht="19.5" customHeight="1" x14ac:dyDescent="0.15">
      <c r="A55" s="3"/>
      <c r="B55" s="226" t="s">
        <v>198</v>
      </c>
      <c r="C55" s="147">
        <v>11313.55</v>
      </c>
      <c r="D55" s="147">
        <v>8182.75</v>
      </c>
      <c r="E55" s="114"/>
      <c r="F55" s="8"/>
    </row>
    <row r="56" spans="1:6" ht="19.5" customHeight="1" x14ac:dyDescent="0.15">
      <c r="A56" s="3"/>
      <c r="B56" s="166" t="s">
        <v>232</v>
      </c>
      <c r="C56" s="114"/>
      <c r="D56" s="139"/>
      <c r="E56" s="111">
        <v>23246.73</v>
      </c>
      <c r="F56" s="8"/>
    </row>
    <row r="57" spans="1:6" ht="19.5" customHeight="1" x14ac:dyDescent="0.15">
      <c r="A57" s="3"/>
      <c r="B57" s="166" t="s">
        <v>272</v>
      </c>
      <c r="C57" s="111">
        <v>271813.40999999997</v>
      </c>
      <c r="D57" s="152">
        <v>209485.58</v>
      </c>
      <c r="E57" s="111">
        <v>236613.14</v>
      </c>
      <c r="F57" s="8"/>
    </row>
    <row r="58" spans="1:6" ht="19.5" customHeight="1" x14ac:dyDescent="0.15">
      <c r="A58" s="3"/>
      <c r="B58" s="153" t="s">
        <v>274</v>
      </c>
      <c r="C58" s="111">
        <v>344200.24</v>
      </c>
      <c r="D58" s="152">
        <v>270401.17</v>
      </c>
      <c r="E58" s="111">
        <v>328093.24</v>
      </c>
      <c r="F58" s="8"/>
    </row>
    <row r="59" spans="1:6" ht="19.5" customHeight="1" x14ac:dyDescent="0.15">
      <c r="A59" s="3"/>
      <c r="B59" s="166" t="s">
        <v>276</v>
      </c>
      <c r="C59" s="111">
        <v>999870.97</v>
      </c>
      <c r="D59" s="152">
        <v>1052318.3500000001</v>
      </c>
      <c r="E59" s="111">
        <v>927284.6</v>
      </c>
      <c r="F59" s="8"/>
    </row>
    <row r="60" spans="1:6" ht="19.5" customHeight="1" x14ac:dyDescent="0.15">
      <c r="A60" s="3"/>
      <c r="B60" s="166" t="s">
        <v>277</v>
      </c>
      <c r="C60" s="111">
        <v>137985.24</v>
      </c>
      <c r="D60" s="152">
        <v>100716.41</v>
      </c>
      <c r="E60" s="111">
        <v>133176.20000000001</v>
      </c>
      <c r="F60" s="8"/>
    </row>
    <row r="61" spans="1:6" ht="19.5" customHeight="1" x14ac:dyDescent="0.15">
      <c r="A61" s="3"/>
      <c r="B61" s="166" t="s">
        <v>279</v>
      </c>
      <c r="C61" s="111">
        <v>564782.88</v>
      </c>
      <c r="D61" s="152">
        <v>486959.9</v>
      </c>
      <c r="E61" s="111">
        <v>595242.98</v>
      </c>
      <c r="F61" s="8"/>
    </row>
    <row r="62" spans="1:6" ht="19.5" customHeight="1" x14ac:dyDescent="0.15">
      <c r="A62" s="3"/>
      <c r="B62" s="166" t="s">
        <v>280</v>
      </c>
      <c r="C62" s="111">
        <v>97932.46</v>
      </c>
      <c r="D62" s="152">
        <v>58761.15</v>
      </c>
      <c r="E62" s="111">
        <v>74844.36</v>
      </c>
      <c r="F62" s="8"/>
    </row>
    <row r="63" spans="1:6" ht="19.5" customHeight="1" x14ac:dyDescent="0.15">
      <c r="A63" s="3"/>
      <c r="B63" s="166" t="s">
        <v>281</v>
      </c>
      <c r="C63" s="114"/>
      <c r="D63" s="139"/>
      <c r="E63" s="111">
        <v>22299.81</v>
      </c>
      <c r="F63" s="8"/>
    </row>
    <row r="64" spans="1:6" ht="19.5" customHeight="1" x14ac:dyDescent="0.15">
      <c r="A64" s="3"/>
      <c r="B64" s="166" t="s">
        <v>127</v>
      </c>
      <c r="C64" s="111">
        <v>5194155.08</v>
      </c>
      <c r="D64" s="152">
        <v>9455717.7200000007</v>
      </c>
      <c r="E64" s="111">
        <v>9539346.5800000001</v>
      </c>
      <c r="F64" s="8"/>
    </row>
    <row r="65" spans="1:6" ht="19.5" customHeight="1" x14ac:dyDescent="0.15">
      <c r="A65" s="3"/>
      <c r="B65" s="166" t="s">
        <v>283</v>
      </c>
      <c r="C65" s="111">
        <v>189836.61</v>
      </c>
      <c r="D65" s="152">
        <v>173851.75</v>
      </c>
      <c r="E65" s="111">
        <v>32000</v>
      </c>
      <c r="F65" s="8"/>
    </row>
    <row r="66" spans="1:6" ht="19.5" customHeight="1" x14ac:dyDescent="0.15">
      <c r="A66" s="3"/>
      <c r="B66" s="226" t="s">
        <v>285</v>
      </c>
      <c r="C66" s="147">
        <v>286200</v>
      </c>
      <c r="D66" s="147">
        <v>340933.14</v>
      </c>
      <c r="E66" s="147">
        <v>253440.42</v>
      </c>
      <c r="F66" s="8"/>
    </row>
    <row r="67" spans="1:6" ht="19.5" customHeight="1" x14ac:dyDescent="0.15">
      <c r="A67" s="3"/>
      <c r="B67" s="166" t="s">
        <v>286</v>
      </c>
      <c r="C67" s="111">
        <v>29234063.16</v>
      </c>
      <c r="D67" s="152">
        <v>29206091.649999999</v>
      </c>
      <c r="E67" s="111">
        <v>13091979.91</v>
      </c>
      <c r="F67" s="8"/>
    </row>
    <row r="68" spans="1:6" ht="19.5" customHeight="1" x14ac:dyDescent="0.15">
      <c r="A68" s="3"/>
      <c r="B68" s="166" t="s">
        <v>288</v>
      </c>
      <c r="C68" s="111">
        <v>1130348.32</v>
      </c>
      <c r="D68" s="152">
        <v>1676094.79</v>
      </c>
      <c r="E68" s="111">
        <v>1364288.43</v>
      </c>
      <c r="F68" s="8"/>
    </row>
    <row r="69" spans="1:6" ht="31.5" customHeight="1" x14ac:dyDescent="0.15">
      <c r="A69" s="3"/>
      <c r="B69" s="153" t="s">
        <v>289</v>
      </c>
      <c r="C69" s="114"/>
      <c r="D69" s="139"/>
      <c r="E69" s="111">
        <v>10060.43</v>
      </c>
      <c r="F69" s="8"/>
    </row>
    <row r="70" spans="1:6" ht="19.5" customHeight="1" x14ac:dyDescent="0.15">
      <c r="A70" s="3"/>
      <c r="B70" s="166" t="s">
        <v>290</v>
      </c>
      <c r="C70" s="111">
        <v>147475.10999999999</v>
      </c>
      <c r="D70" s="152">
        <v>127486.91</v>
      </c>
      <c r="E70" s="111">
        <v>99395.27</v>
      </c>
      <c r="F70" s="8"/>
    </row>
    <row r="71" spans="1:6" ht="19.5" customHeight="1" x14ac:dyDescent="0.15">
      <c r="A71" s="3"/>
      <c r="B71" s="166" t="s">
        <v>291</v>
      </c>
      <c r="C71" s="147">
        <v>60588.45</v>
      </c>
      <c r="D71" s="152">
        <v>43615</v>
      </c>
      <c r="E71" s="111">
        <v>59508.04</v>
      </c>
      <c r="F71" s="8"/>
    </row>
    <row r="72" spans="1:6" ht="19.5" customHeight="1" x14ac:dyDescent="0.15">
      <c r="A72" s="3"/>
      <c r="B72" s="166" t="s">
        <v>136</v>
      </c>
      <c r="C72" s="111">
        <v>402553.02</v>
      </c>
      <c r="D72" s="152">
        <v>212071.67999999999</v>
      </c>
      <c r="E72" s="111">
        <v>263392.25</v>
      </c>
      <c r="F72" s="8"/>
    </row>
    <row r="73" spans="1:6" ht="19.5" customHeight="1" x14ac:dyDescent="0.15">
      <c r="A73" s="3"/>
      <c r="B73" s="166" t="s">
        <v>247</v>
      </c>
      <c r="C73" s="111">
        <v>53302.74</v>
      </c>
      <c r="D73" s="152">
        <v>33930.400000000001</v>
      </c>
      <c r="E73" s="111">
        <v>46088.9</v>
      </c>
      <c r="F73" s="8"/>
    </row>
    <row r="74" spans="1:6" ht="19.5" customHeight="1" x14ac:dyDescent="0.15">
      <c r="A74" s="3"/>
      <c r="B74" s="166" t="s">
        <v>121</v>
      </c>
      <c r="C74" s="111">
        <v>661417.56000000006</v>
      </c>
      <c r="D74" s="152">
        <v>367782.82</v>
      </c>
      <c r="E74" s="111">
        <v>420786.87</v>
      </c>
      <c r="F74" s="8"/>
    </row>
    <row r="75" spans="1:6" ht="19.5" customHeight="1" x14ac:dyDescent="0.15">
      <c r="A75" s="3"/>
      <c r="B75" s="153" t="s">
        <v>294</v>
      </c>
      <c r="C75" s="111">
        <v>129630.39999999999</v>
      </c>
      <c r="D75" s="152">
        <v>88546.83</v>
      </c>
      <c r="E75" s="111">
        <v>104010.75</v>
      </c>
      <c r="F75" s="8"/>
    </row>
    <row r="76" spans="1:6" ht="19.5" customHeight="1" x14ac:dyDescent="0.15">
      <c r="A76" s="3"/>
      <c r="B76" s="169"/>
      <c r="C76" s="114"/>
      <c r="D76" s="139"/>
      <c r="E76" s="114"/>
      <c r="F76" s="8"/>
    </row>
    <row r="77" spans="1:6" ht="19.5" customHeight="1" x14ac:dyDescent="0.15">
      <c r="A77" s="3"/>
      <c r="B77" s="151" t="s">
        <v>142</v>
      </c>
      <c r="C77" s="210">
        <v>44659253.770000003</v>
      </c>
      <c r="D77" s="211">
        <v>48652319.020000003</v>
      </c>
      <c r="E77" s="210">
        <v>30614824.199999999</v>
      </c>
      <c r="F77" s="8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showGridLines="0" workbookViewId="0"/>
  </sheetViews>
  <sheetFormatPr baseColWidth="10" defaultColWidth="14.5" defaultRowHeight="12.75" customHeight="1" x14ac:dyDescent="0.15"/>
  <cols>
    <col min="1" max="1" width="7.6640625" customWidth="1"/>
    <col min="2" max="2" width="68.33203125" customWidth="1"/>
    <col min="3" max="3" width="16.83203125" customWidth="1"/>
    <col min="4" max="6" width="15.5" customWidth="1"/>
    <col min="7" max="9" width="14.5" customWidth="1"/>
  </cols>
  <sheetData>
    <row r="1" spans="1:9" ht="27.75" customHeight="1" x14ac:dyDescent="0.15">
      <c r="B1" s="1"/>
      <c r="C1" s="1"/>
      <c r="D1" s="1"/>
      <c r="E1" s="1"/>
      <c r="F1" s="1"/>
    </row>
    <row r="2" spans="1:9" ht="13" x14ac:dyDescent="0.15">
      <c r="A2" s="3"/>
      <c r="B2" s="4" t="s">
        <v>19</v>
      </c>
      <c r="C2" s="4">
        <v>2009</v>
      </c>
      <c r="D2" s="7">
        <v>2010</v>
      </c>
      <c r="E2" s="7">
        <v>2011</v>
      </c>
      <c r="F2" s="10"/>
      <c r="G2" s="8"/>
    </row>
    <row r="3" spans="1:9" ht="13" x14ac:dyDescent="0.15">
      <c r="A3" s="3"/>
      <c r="B3" s="9" t="s">
        <v>22</v>
      </c>
      <c r="C3" s="11"/>
      <c r="D3" s="12"/>
      <c r="E3" s="13"/>
      <c r="F3" s="14"/>
      <c r="G3" s="8"/>
    </row>
    <row r="4" spans="1:9" ht="13" x14ac:dyDescent="0.15">
      <c r="A4" s="3"/>
      <c r="B4" s="15"/>
      <c r="C4" s="16"/>
      <c r="D4" s="18"/>
      <c r="E4" s="18"/>
      <c r="F4" s="18"/>
      <c r="G4" s="8"/>
    </row>
    <row r="5" spans="1:9" ht="13" x14ac:dyDescent="0.15">
      <c r="A5" s="19">
        <v>41</v>
      </c>
      <c r="B5" s="20" t="s">
        <v>0</v>
      </c>
      <c r="C5" s="24">
        <f t="shared" ref="C5:E5" si="0">SUM(C6:C13)</f>
        <v>2856893.5399999996</v>
      </c>
      <c r="D5" s="30">
        <f t="shared" si="0"/>
        <v>1797342.71</v>
      </c>
      <c r="E5" s="30">
        <f t="shared" si="0"/>
        <v>2990073.2800000003</v>
      </c>
      <c r="F5" s="18"/>
      <c r="G5" s="8"/>
    </row>
    <row r="6" spans="1:9" ht="13" x14ac:dyDescent="0.15">
      <c r="A6" s="19">
        <v>411</v>
      </c>
      <c r="B6" s="36" t="s">
        <v>38</v>
      </c>
      <c r="C6" s="38">
        <v>1376814.29</v>
      </c>
      <c r="D6" s="39">
        <v>789780.85</v>
      </c>
      <c r="E6" s="39">
        <v>1080358.19</v>
      </c>
      <c r="F6" s="41"/>
      <c r="G6" s="8"/>
    </row>
    <row r="7" spans="1:9" ht="13" x14ac:dyDescent="0.15">
      <c r="A7" s="19">
        <v>412</v>
      </c>
      <c r="B7" s="42" t="s">
        <v>54</v>
      </c>
      <c r="C7" s="38">
        <v>235208.04</v>
      </c>
      <c r="D7" s="39">
        <v>203215.2</v>
      </c>
      <c r="E7" s="39">
        <v>817424.04</v>
      </c>
      <c r="F7" s="41"/>
      <c r="G7" s="8"/>
    </row>
    <row r="8" spans="1:9" ht="13" x14ac:dyDescent="0.15">
      <c r="A8" s="19">
        <v>413</v>
      </c>
      <c r="B8" s="42" t="s">
        <v>3</v>
      </c>
      <c r="C8" s="38">
        <v>651503.15</v>
      </c>
      <c r="D8" s="39">
        <v>393561.25</v>
      </c>
      <c r="E8" s="39">
        <v>558577.12</v>
      </c>
      <c r="F8" s="41"/>
      <c r="G8" s="8"/>
    </row>
    <row r="9" spans="1:9" ht="13" x14ac:dyDescent="0.15">
      <c r="A9" s="44">
        <v>414</v>
      </c>
      <c r="B9" s="36" t="s">
        <v>5</v>
      </c>
      <c r="C9" s="38">
        <v>459081.55</v>
      </c>
      <c r="D9" s="39">
        <v>291104.26</v>
      </c>
      <c r="E9" s="39">
        <v>235272.26</v>
      </c>
      <c r="F9" s="41"/>
      <c r="G9" s="8"/>
    </row>
    <row r="10" spans="1:9" ht="13" x14ac:dyDescent="0.15">
      <c r="A10" s="19">
        <v>415</v>
      </c>
      <c r="B10" s="45" t="s">
        <v>6</v>
      </c>
      <c r="C10" s="38">
        <v>43822.48</v>
      </c>
      <c r="D10" s="39">
        <v>59062.25</v>
      </c>
      <c r="E10" s="39">
        <v>129548.01</v>
      </c>
      <c r="F10" s="41"/>
      <c r="G10" s="8"/>
    </row>
    <row r="11" spans="1:9" ht="13" x14ac:dyDescent="0.15">
      <c r="A11" s="19">
        <v>416</v>
      </c>
      <c r="B11" s="36" t="s">
        <v>7</v>
      </c>
      <c r="C11" s="38">
        <v>23809.17</v>
      </c>
      <c r="D11" s="39">
        <v>9835.48</v>
      </c>
      <c r="E11" s="39">
        <v>17903.18</v>
      </c>
      <c r="F11" s="41"/>
      <c r="G11" s="8"/>
    </row>
    <row r="12" spans="1:9" ht="13" x14ac:dyDescent="0.15">
      <c r="A12" s="19">
        <v>417</v>
      </c>
      <c r="B12" s="36" t="s">
        <v>8</v>
      </c>
      <c r="C12" s="66"/>
      <c r="D12" s="48"/>
      <c r="E12" s="48"/>
      <c r="F12" s="41"/>
      <c r="G12" s="269"/>
      <c r="H12" s="270"/>
      <c r="I12" s="270"/>
    </row>
    <row r="13" spans="1:9" ht="13" x14ac:dyDescent="0.15">
      <c r="A13" s="19">
        <v>418</v>
      </c>
      <c r="B13" s="36" t="s">
        <v>55</v>
      </c>
      <c r="C13" s="38">
        <v>66654.86</v>
      </c>
      <c r="D13" s="39">
        <v>50783.42</v>
      </c>
      <c r="E13" s="39">
        <v>150990.48000000001</v>
      </c>
      <c r="F13" s="41"/>
      <c r="G13" s="69"/>
      <c r="H13" s="70"/>
      <c r="I13" s="70"/>
    </row>
    <row r="14" spans="1:9" ht="13" x14ac:dyDescent="0.15">
      <c r="A14" s="19">
        <v>42</v>
      </c>
      <c r="B14" s="47" t="s">
        <v>9</v>
      </c>
      <c r="C14" s="16"/>
      <c r="D14" s="48"/>
      <c r="E14" s="41"/>
      <c r="F14" s="41"/>
      <c r="G14" s="112"/>
      <c r="H14" s="142"/>
      <c r="I14" s="142"/>
    </row>
    <row r="15" spans="1:9" ht="16.5" customHeight="1" x14ac:dyDescent="0.15">
      <c r="A15" s="49">
        <v>43</v>
      </c>
      <c r="B15" s="60" t="s">
        <v>10</v>
      </c>
      <c r="C15" s="136">
        <v>416874.93</v>
      </c>
      <c r="D15" s="143">
        <v>240308.91</v>
      </c>
      <c r="E15" s="71">
        <v>680443.13</v>
      </c>
      <c r="F15" s="18"/>
      <c r="G15" s="112"/>
      <c r="H15" s="142"/>
      <c r="I15" s="142"/>
    </row>
    <row r="16" spans="1:9" ht="13" x14ac:dyDescent="0.15">
      <c r="A16" s="44" t="s">
        <v>58</v>
      </c>
      <c r="B16" s="45" t="s">
        <v>11</v>
      </c>
      <c r="C16" s="67">
        <f>7344+4200+138655+10520+5050</f>
        <v>165769</v>
      </c>
      <c r="D16" s="46">
        <f>3080+900+30515+21616.42+1800</f>
        <v>57911.42</v>
      </c>
      <c r="E16" s="67">
        <f>1560+16180+38630.85+20</f>
        <v>56390.85</v>
      </c>
      <c r="F16" s="18"/>
      <c r="G16" s="112"/>
      <c r="H16" s="142"/>
      <c r="I16" s="142"/>
    </row>
    <row r="17" spans="1:9" ht="31.5" customHeight="1" x14ac:dyDescent="0.15">
      <c r="A17" s="44" t="s">
        <v>59</v>
      </c>
      <c r="B17" s="45" t="s">
        <v>12</v>
      </c>
      <c r="C17" s="40">
        <v>19435.8</v>
      </c>
      <c r="D17" s="46">
        <f>10290+0</f>
        <v>10290</v>
      </c>
      <c r="E17" s="40">
        <v>37850</v>
      </c>
      <c r="F17" s="18"/>
      <c r="G17" s="8"/>
    </row>
    <row r="18" spans="1:9" ht="13" x14ac:dyDescent="0.15">
      <c r="A18" s="44" t="s">
        <v>60</v>
      </c>
      <c r="B18" s="74" t="s">
        <v>13</v>
      </c>
      <c r="C18" s="46">
        <f>19212+35270</f>
        <v>54482</v>
      </c>
      <c r="D18" s="40">
        <v>28204</v>
      </c>
      <c r="E18" s="48">
        <f>57842.31+7600</f>
        <v>65442.31</v>
      </c>
      <c r="F18" s="76"/>
      <c r="G18" s="271"/>
      <c r="H18" s="270"/>
      <c r="I18" s="270"/>
    </row>
    <row r="19" spans="1:9" ht="13" x14ac:dyDescent="0.15">
      <c r="A19" s="44" t="s">
        <v>61</v>
      </c>
      <c r="B19" s="74" t="s">
        <v>62</v>
      </c>
      <c r="C19" s="46">
        <f>25500+137643.13+8545+5500</f>
        <v>177188.13</v>
      </c>
      <c r="D19" s="67">
        <f>9672+86642.49+47000</f>
        <v>143314.49</v>
      </c>
      <c r="E19" s="48">
        <f>118479.87+94937.18+6280+301062.92</f>
        <v>520759.97</v>
      </c>
      <c r="F19" s="76"/>
      <c r="G19" s="128"/>
      <c r="H19" s="63"/>
      <c r="I19" s="63"/>
    </row>
    <row r="20" spans="1:9" ht="13" x14ac:dyDescent="0.15">
      <c r="A20" s="19">
        <v>44</v>
      </c>
      <c r="B20" s="37" t="s">
        <v>14</v>
      </c>
      <c r="C20" s="56">
        <v>150605.06</v>
      </c>
      <c r="D20" s="89">
        <f>681.79+363+4142.45+19762.41</f>
        <v>24949.65</v>
      </c>
      <c r="E20" s="57">
        <v>792086.04</v>
      </c>
      <c r="F20" s="18"/>
      <c r="G20" s="8"/>
    </row>
    <row r="21" spans="1:9" ht="13" x14ac:dyDescent="0.15">
      <c r="A21" s="19">
        <v>45</v>
      </c>
      <c r="B21" s="47" t="s">
        <v>63</v>
      </c>
      <c r="C21" s="56">
        <v>472500</v>
      </c>
      <c r="D21" s="57">
        <v>688000</v>
      </c>
      <c r="E21" s="57">
        <v>997200</v>
      </c>
      <c r="F21" s="18"/>
      <c r="G21" s="8"/>
    </row>
    <row r="22" spans="1:9" ht="13" x14ac:dyDescent="0.15">
      <c r="A22" s="19">
        <v>46</v>
      </c>
      <c r="B22" s="20" t="s">
        <v>16</v>
      </c>
      <c r="C22" s="56">
        <v>1294757.43</v>
      </c>
      <c r="D22" s="57">
        <v>1307968.29</v>
      </c>
      <c r="E22" s="57">
        <v>1731429.02</v>
      </c>
      <c r="F22" s="18"/>
      <c r="G22" s="8"/>
    </row>
    <row r="23" spans="1:9" ht="13" x14ac:dyDescent="0.15">
      <c r="A23" s="19">
        <v>47</v>
      </c>
      <c r="B23" s="20" t="s">
        <v>17</v>
      </c>
      <c r="C23" s="56">
        <v>0</v>
      </c>
      <c r="D23" s="57">
        <v>0</v>
      </c>
      <c r="E23" s="57">
        <v>0</v>
      </c>
      <c r="F23" s="18"/>
      <c r="G23" s="128"/>
      <c r="H23" s="63"/>
    </row>
    <row r="24" spans="1:9" ht="13" x14ac:dyDescent="0.15">
      <c r="A24" s="3"/>
      <c r="B24" s="20" t="s">
        <v>18</v>
      </c>
      <c r="C24" s="93">
        <v>5191630.96</v>
      </c>
      <c r="D24" s="97">
        <v>4057980.56</v>
      </c>
      <c r="E24" s="57">
        <v>7191231.4699999997</v>
      </c>
      <c r="F24" s="18"/>
      <c r="G24" s="128"/>
      <c r="H24" s="63"/>
    </row>
    <row r="25" spans="1:9" ht="13" x14ac:dyDescent="0.15">
      <c r="A25" s="3"/>
      <c r="B25" s="103" t="s">
        <v>64</v>
      </c>
      <c r="C25" s="104"/>
      <c r="D25" s="105"/>
      <c r="E25" s="105"/>
      <c r="F25" s="105"/>
      <c r="G25" s="8"/>
    </row>
    <row r="26" spans="1:9" ht="13" x14ac:dyDescent="0.15">
      <c r="A26" s="19">
        <v>71</v>
      </c>
      <c r="B26" s="20" t="s">
        <v>39</v>
      </c>
      <c r="C26" s="30">
        <f t="shared" ref="C26:E26" si="1">SUM(C27:C31)</f>
        <v>2120905.9300000002</v>
      </c>
      <c r="D26" s="30">
        <f t="shared" si="1"/>
        <v>2173212.11</v>
      </c>
      <c r="E26" s="30">
        <f t="shared" si="1"/>
        <v>1906036.67</v>
      </c>
      <c r="F26" s="15"/>
      <c r="G26" s="8"/>
    </row>
    <row r="27" spans="1:9" ht="13" x14ac:dyDescent="0.15">
      <c r="A27" s="44">
        <v>711</v>
      </c>
      <c r="B27" s="45" t="s">
        <v>40</v>
      </c>
      <c r="C27" s="39">
        <v>920883.76</v>
      </c>
      <c r="D27" s="39">
        <v>845485.04</v>
      </c>
      <c r="E27" s="39">
        <v>1010749.19</v>
      </c>
      <c r="F27" s="41"/>
      <c r="G27" s="8"/>
      <c r="H27" s="63"/>
    </row>
    <row r="28" spans="1:9" ht="13" x14ac:dyDescent="0.15">
      <c r="A28" s="44">
        <v>713</v>
      </c>
      <c r="B28" s="45" t="s">
        <v>41</v>
      </c>
      <c r="C28" s="39">
        <v>215554.86</v>
      </c>
      <c r="D28" s="39">
        <v>207794.46</v>
      </c>
      <c r="E28" s="39">
        <v>78082.23</v>
      </c>
      <c r="F28" s="41"/>
      <c r="G28" s="8"/>
      <c r="H28" s="63"/>
    </row>
    <row r="29" spans="1:9" ht="13" x14ac:dyDescent="0.15">
      <c r="A29" s="44">
        <v>714</v>
      </c>
      <c r="B29" s="45" t="s">
        <v>42</v>
      </c>
      <c r="C29" s="48">
        <f>5562.02+3642.86</f>
        <v>9204.880000000001</v>
      </c>
      <c r="D29" s="48">
        <f>5240.99+0</f>
        <v>5240.99</v>
      </c>
      <c r="E29" s="39">
        <v>32591.43</v>
      </c>
      <c r="F29" s="41"/>
      <c r="G29" s="8"/>
      <c r="H29" s="63"/>
    </row>
    <row r="30" spans="1:9" ht="13" x14ac:dyDescent="0.15">
      <c r="A30" s="80"/>
      <c r="B30" s="45" t="s">
        <v>66</v>
      </c>
      <c r="C30" s="48">
        <f>48703.58+193973.1+104443.2+56415.7</f>
        <v>403535.58</v>
      </c>
      <c r="D30" s="48">
        <f>135969.39+117176.35+75907.35+53881.16</f>
        <v>382934.25</v>
      </c>
      <c r="E30" s="48">
        <f>16566.58+17220+98529.78+74289.63</f>
        <v>206605.99</v>
      </c>
      <c r="F30" s="41"/>
      <c r="G30" s="128"/>
      <c r="H30" s="203"/>
      <c r="I30" s="63"/>
    </row>
    <row r="31" spans="1:9" ht="13" x14ac:dyDescent="0.15">
      <c r="A31" s="44">
        <v>715</v>
      </c>
      <c r="B31" s="45" t="s">
        <v>67</v>
      </c>
      <c r="C31" s="38">
        <v>571726.85</v>
      </c>
      <c r="D31" s="39">
        <v>731757.37</v>
      </c>
      <c r="E31" s="39">
        <v>578007.82999999996</v>
      </c>
      <c r="F31" s="41"/>
      <c r="G31" s="8"/>
      <c r="H31" s="220"/>
    </row>
    <row r="32" spans="1:9" ht="13" x14ac:dyDescent="0.15">
      <c r="A32" s="19">
        <v>72</v>
      </c>
      <c r="B32" s="113" t="s">
        <v>43</v>
      </c>
      <c r="C32" s="56">
        <v>22047.09</v>
      </c>
      <c r="D32" s="57">
        <v>2635.72</v>
      </c>
      <c r="E32" s="57">
        <v>4328.66</v>
      </c>
      <c r="F32" s="48"/>
      <c r="G32" s="8"/>
      <c r="H32" s="222"/>
    </row>
    <row r="33" spans="1:9" ht="13" x14ac:dyDescent="0.15">
      <c r="A33" s="232">
        <v>73</v>
      </c>
      <c r="B33" s="47" t="s">
        <v>68</v>
      </c>
      <c r="C33" s="165">
        <v>879413.46</v>
      </c>
      <c r="D33" s="165">
        <v>775153.21</v>
      </c>
      <c r="E33" s="165">
        <v>530667.05000000005</v>
      </c>
      <c r="F33" s="248"/>
      <c r="G33" s="8"/>
      <c r="H33" s="255"/>
    </row>
    <row r="34" spans="1:9" ht="13" x14ac:dyDescent="0.15">
      <c r="A34" s="19">
        <v>74</v>
      </c>
      <c r="B34" s="60" t="s">
        <v>44</v>
      </c>
      <c r="C34" s="71">
        <v>1593645.69</v>
      </c>
      <c r="D34" s="75">
        <v>1043143.74</v>
      </c>
      <c r="E34" s="75">
        <v>2740678.43</v>
      </c>
      <c r="F34" s="18"/>
      <c r="G34" s="272"/>
      <c r="H34" s="270"/>
      <c r="I34" s="270"/>
    </row>
    <row r="35" spans="1:9" ht="13" x14ac:dyDescent="0.15">
      <c r="A35" s="44">
        <v>741</v>
      </c>
      <c r="B35" s="45" t="s">
        <v>45</v>
      </c>
      <c r="C35" s="40">
        <v>396600</v>
      </c>
      <c r="D35" s="43">
        <v>237212.85</v>
      </c>
      <c r="E35" s="43">
        <v>847100</v>
      </c>
      <c r="F35" s="18"/>
      <c r="G35" s="69"/>
      <c r="H35" s="70"/>
      <c r="I35" s="70"/>
    </row>
    <row r="36" spans="1:9" ht="13" x14ac:dyDescent="0.15">
      <c r="A36" s="44">
        <v>742</v>
      </c>
      <c r="B36" s="45" t="s">
        <v>46</v>
      </c>
      <c r="C36" s="40">
        <v>1163493</v>
      </c>
      <c r="D36" s="43">
        <v>720197</v>
      </c>
      <c r="E36" s="43">
        <v>1523692.4</v>
      </c>
      <c r="F36" s="18"/>
      <c r="G36" s="112"/>
      <c r="H36" s="142"/>
      <c r="I36" s="142"/>
    </row>
    <row r="37" spans="1:9" ht="13" x14ac:dyDescent="0.15">
      <c r="A37" s="80"/>
      <c r="B37" s="45" t="s">
        <v>81</v>
      </c>
      <c r="C37" s="40">
        <v>33552.69</v>
      </c>
      <c r="D37" s="46">
        <f>47000+38733.89</f>
        <v>85733.89</v>
      </c>
      <c r="E37" s="46">
        <f>38673.11+331212.92</f>
        <v>369886.02999999997</v>
      </c>
      <c r="F37" s="18"/>
      <c r="G37" s="112"/>
      <c r="H37" s="258"/>
      <c r="I37" s="258"/>
    </row>
    <row r="38" spans="1:9" ht="13" x14ac:dyDescent="0.15">
      <c r="A38" s="19">
        <v>751</v>
      </c>
      <c r="B38" s="37" t="s">
        <v>63</v>
      </c>
      <c r="C38" s="56">
        <v>609000</v>
      </c>
      <c r="D38" s="57">
        <v>99396.01</v>
      </c>
      <c r="E38" s="57">
        <v>2045000</v>
      </c>
      <c r="F38" s="18"/>
      <c r="G38" s="112"/>
      <c r="H38" s="142"/>
      <c r="I38" s="142"/>
    </row>
    <row r="39" spans="1:9" ht="13" x14ac:dyDescent="0.15">
      <c r="A39" s="3"/>
      <c r="B39" s="37" t="s">
        <v>82</v>
      </c>
      <c r="C39" s="16">
        <f>C38+C34+C33+C32+C31+C30+C29+C28+C27</f>
        <v>5225012.17</v>
      </c>
      <c r="D39" s="57">
        <v>4093558.8</v>
      </c>
      <c r="E39" s="57">
        <v>7226710.8099999996</v>
      </c>
      <c r="F39" s="18"/>
      <c r="G39" s="8"/>
    </row>
    <row r="40" spans="1:9" ht="13" x14ac:dyDescent="0.15">
      <c r="A40" s="3"/>
      <c r="B40" s="103" t="s">
        <v>83</v>
      </c>
      <c r="C40" s="104"/>
      <c r="D40" s="105"/>
      <c r="E40" s="105"/>
      <c r="F40" s="105"/>
      <c r="G40" s="8"/>
    </row>
    <row r="41" spans="1:9" ht="13" x14ac:dyDescent="0.15">
      <c r="A41" s="3"/>
      <c r="B41" s="42" t="s">
        <v>84</v>
      </c>
      <c r="C41" s="66"/>
      <c r="D41" s="48"/>
      <c r="E41" s="48"/>
      <c r="F41" s="48"/>
      <c r="G41" s="8"/>
    </row>
    <row r="42" spans="1:9" ht="13" x14ac:dyDescent="0.15">
      <c r="A42" s="3"/>
      <c r="B42" s="42" t="s">
        <v>49</v>
      </c>
      <c r="C42" s="66"/>
      <c r="D42" s="48"/>
      <c r="E42" s="48"/>
      <c r="F42" s="48"/>
      <c r="G42" s="8"/>
    </row>
    <row r="43" spans="1:9" ht="13" x14ac:dyDescent="0.15">
      <c r="A43" s="3"/>
      <c r="B43" s="42" t="s">
        <v>51</v>
      </c>
      <c r="C43" s="66"/>
      <c r="D43" s="48"/>
      <c r="E43" s="48"/>
      <c r="F43" s="48"/>
      <c r="G43" s="8"/>
    </row>
    <row r="44" spans="1:9" ht="13" x14ac:dyDescent="0.15">
      <c r="A44" s="3"/>
      <c r="B44" s="42" t="s">
        <v>86</v>
      </c>
      <c r="C44" s="66"/>
      <c r="D44" s="48"/>
      <c r="E44" s="48"/>
      <c r="F44" s="48"/>
      <c r="G44" s="8"/>
    </row>
    <row r="45" spans="1:9" ht="13" x14ac:dyDescent="0.15">
      <c r="A45" s="3"/>
      <c r="B45" s="134"/>
      <c r="C45" s="104"/>
      <c r="D45" s="105"/>
      <c r="E45" s="105"/>
      <c r="F45" s="105"/>
      <c r="G45" s="8"/>
    </row>
    <row r="46" spans="1:9" ht="19.5" customHeight="1" x14ac:dyDescent="0.15">
      <c r="B46" s="140"/>
      <c r="C46" s="140"/>
      <c r="D46" s="141"/>
      <c r="E46" s="140"/>
      <c r="F46" s="140"/>
    </row>
    <row r="47" spans="1:9" ht="19.5" customHeight="1" x14ac:dyDescent="0.15">
      <c r="B47" s="148" t="s">
        <v>96</v>
      </c>
      <c r="C47" s="1"/>
      <c r="D47" s="150"/>
      <c r="E47" s="1"/>
    </row>
    <row r="48" spans="1:9" ht="19.5" customHeight="1" x14ac:dyDescent="0.15">
      <c r="A48" s="3"/>
      <c r="B48" s="193" t="s">
        <v>106</v>
      </c>
      <c r="C48" s="167"/>
      <c r="D48" s="167"/>
      <c r="E48" s="167"/>
      <c r="F48" s="8"/>
    </row>
    <row r="49" spans="1:6" ht="25.5" customHeight="1" x14ac:dyDescent="0.15">
      <c r="A49" s="3"/>
      <c r="B49" s="261" t="s">
        <v>351</v>
      </c>
      <c r="C49" s="192">
        <v>588838.56000000006</v>
      </c>
      <c r="D49" s="192">
        <v>427939.76</v>
      </c>
      <c r="E49" s="167"/>
      <c r="F49" s="8"/>
    </row>
    <row r="50" spans="1:6" ht="25.5" customHeight="1" x14ac:dyDescent="0.15">
      <c r="A50" s="3"/>
      <c r="B50" s="263" t="s">
        <v>354</v>
      </c>
      <c r="C50" s="264"/>
      <c r="D50" s="264"/>
      <c r="E50" s="159">
        <v>938939.13</v>
      </c>
      <c r="F50" s="8"/>
    </row>
    <row r="51" spans="1:6" ht="25.5" customHeight="1" x14ac:dyDescent="0.15">
      <c r="A51" s="3"/>
      <c r="B51" s="263" t="s">
        <v>357</v>
      </c>
      <c r="C51" s="159">
        <v>22291</v>
      </c>
      <c r="D51" s="192">
        <v>18974.490000000002</v>
      </c>
      <c r="E51" s="167"/>
      <c r="F51" s="8"/>
    </row>
    <row r="52" spans="1:6" ht="25.5" customHeight="1" x14ac:dyDescent="0.15">
      <c r="A52" s="3"/>
      <c r="B52" s="263" t="s">
        <v>358</v>
      </c>
      <c r="C52" s="192">
        <v>233807.07</v>
      </c>
      <c r="D52" s="159">
        <v>153838.72</v>
      </c>
      <c r="E52" s="159">
        <v>189701.03</v>
      </c>
      <c r="F52" s="8"/>
    </row>
    <row r="53" spans="1:6" ht="25.5" customHeight="1" x14ac:dyDescent="0.15">
      <c r="A53" s="3"/>
      <c r="B53" s="266" t="s">
        <v>144</v>
      </c>
      <c r="C53" s="159">
        <v>43639.47</v>
      </c>
      <c r="D53" s="159">
        <v>36876.5</v>
      </c>
      <c r="E53" s="159">
        <v>52511.27</v>
      </c>
      <c r="F53" s="8"/>
    </row>
    <row r="54" spans="1:6" ht="25.5" customHeight="1" x14ac:dyDescent="0.15">
      <c r="A54" s="3"/>
      <c r="B54" s="267" t="s">
        <v>359</v>
      </c>
      <c r="C54" s="192">
        <v>1086680.1000000001</v>
      </c>
      <c r="D54" s="192">
        <v>1136605.6499999999</v>
      </c>
      <c r="E54" s="167"/>
      <c r="F54" s="8"/>
    </row>
    <row r="55" spans="1:6" ht="25.5" customHeight="1" x14ac:dyDescent="0.15">
      <c r="A55" s="3"/>
      <c r="B55" s="266" t="s">
        <v>360</v>
      </c>
      <c r="C55" s="264"/>
      <c r="D55" s="264"/>
      <c r="E55" s="159">
        <v>2438635.25</v>
      </c>
      <c r="F55" s="8"/>
    </row>
    <row r="56" spans="1:6" ht="25.5" customHeight="1" x14ac:dyDescent="0.15">
      <c r="A56" s="3"/>
      <c r="B56" s="267" t="s">
        <v>361</v>
      </c>
      <c r="C56" s="192">
        <v>901540.53</v>
      </c>
      <c r="D56" s="192">
        <v>516196.54</v>
      </c>
      <c r="E56" s="167"/>
      <c r="F56" s="8"/>
    </row>
    <row r="57" spans="1:6" ht="25.5" customHeight="1" x14ac:dyDescent="0.15">
      <c r="A57" s="3"/>
      <c r="B57" s="266" t="s">
        <v>234</v>
      </c>
      <c r="C57" s="264"/>
      <c r="D57" s="264"/>
      <c r="E57" s="159">
        <v>1399712.01</v>
      </c>
      <c r="F57" s="8"/>
    </row>
    <row r="58" spans="1:6" ht="25.5" customHeight="1" x14ac:dyDescent="0.15">
      <c r="A58" s="3"/>
      <c r="B58" s="267" t="s">
        <v>209</v>
      </c>
      <c r="C58" s="192">
        <v>97544.76</v>
      </c>
      <c r="D58" s="192">
        <v>78590.460000000006</v>
      </c>
      <c r="E58" s="167"/>
      <c r="F58" s="8"/>
    </row>
    <row r="59" spans="1:6" ht="25.5" customHeight="1" x14ac:dyDescent="0.15">
      <c r="A59" s="3"/>
      <c r="B59" s="266" t="s">
        <v>233</v>
      </c>
      <c r="C59" s="264"/>
      <c r="D59" s="264"/>
      <c r="E59" s="159">
        <v>117709.31</v>
      </c>
      <c r="F59" s="8"/>
    </row>
    <row r="60" spans="1:6" ht="25.5" customHeight="1" x14ac:dyDescent="0.15">
      <c r="A60" s="3"/>
      <c r="B60" s="266" t="s">
        <v>162</v>
      </c>
      <c r="C60" s="159">
        <v>986907.03</v>
      </c>
      <c r="D60" s="159">
        <v>721910.67</v>
      </c>
      <c r="E60" s="167"/>
      <c r="F60" s="8"/>
    </row>
    <row r="61" spans="1:6" ht="25.5" customHeight="1" x14ac:dyDescent="0.15">
      <c r="A61" s="3"/>
      <c r="B61" s="266" t="s">
        <v>197</v>
      </c>
      <c r="C61" s="159">
        <v>177470.37</v>
      </c>
      <c r="D61" s="159">
        <v>117492.4</v>
      </c>
      <c r="E61" s="167"/>
      <c r="F61" s="8"/>
    </row>
    <row r="62" spans="1:6" ht="25.5" customHeight="1" x14ac:dyDescent="0.15">
      <c r="A62" s="3"/>
      <c r="B62" s="263" t="s">
        <v>232</v>
      </c>
      <c r="C62" s="167"/>
      <c r="D62" s="167"/>
      <c r="E62" s="159">
        <v>225926.88</v>
      </c>
      <c r="F62" s="8"/>
    </row>
    <row r="63" spans="1:6" ht="25.5" customHeight="1" x14ac:dyDescent="0.15">
      <c r="A63" s="3"/>
      <c r="B63" s="266" t="s">
        <v>362</v>
      </c>
      <c r="C63" s="167"/>
      <c r="D63" s="167"/>
      <c r="E63" s="159">
        <v>94715.46</v>
      </c>
      <c r="F63" s="8"/>
    </row>
    <row r="64" spans="1:6" ht="25.5" customHeight="1" x14ac:dyDescent="0.15">
      <c r="A64" s="3"/>
      <c r="B64" s="266" t="s">
        <v>220</v>
      </c>
      <c r="C64" s="167"/>
      <c r="D64" s="167"/>
      <c r="E64" s="159">
        <v>330806.8</v>
      </c>
      <c r="F64" s="8"/>
    </row>
    <row r="65" spans="1:6" ht="25.5" customHeight="1" x14ac:dyDescent="0.15">
      <c r="A65" s="3"/>
      <c r="B65" s="266" t="s">
        <v>213</v>
      </c>
      <c r="C65" s="167"/>
      <c r="D65" s="167"/>
      <c r="E65" s="159">
        <v>74191.53</v>
      </c>
      <c r="F65" s="8"/>
    </row>
    <row r="66" spans="1:6" ht="25.5" customHeight="1" x14ac:dyDescent="0.15">
      <c r="A66" s="3"/>
      <c r="B66" s="266" t="s">
        <v>134</v>
      </c>
      <c r="C66" s="167"/>
      <c r="D66" s="167"/>
      <c r="E66" s="159">
        <v>233197.14</v>
      </c>
      <c r="F66" s="8"/>
    </row>
    <row r="67" spans="1:6" ht="25.5" customHeight="1" x14ac:dyDescent="0.15">
      <c r="A67" s="3"/>
      <c r="B67" s="266" t="s">
        <v>363</v>
      </c>
      <c r="C67" s="167"/>
      <c r="D67" s="167"/>
      <c r="E67" s="159">
        <v>0</v>
      </c>
      <c r="F67" s="8"/>
    </row>
    <row r="68" spans="1:6" ht="25.5" customHeight="1" x14ac:dyDescent="0.15">
      <c r="A68" s="3"/>
      <c r="B68" s="266" t="s">
        <v>138</v>
      </c>
      <c r="C68" s="159">
        <v>534287.93000000005</v>
      </c>
      <c r="D68" s="159">
        <v>407300.95</v>
      </c>
      <c r="E68" s="159">
        <v>620071.12</v>
      </c>
      <c r="F68" s="8"/>
    </row>
    <row r="69" spans="1:6" ht="25.5" customHeight="1" x14ac:dyDescent="0.15">
      <c r="A69" s="3"/>
      <c r="B69" s="266" t="s">
        <v>145</v>
      </c>
      <c r="C69" s="167"/>
      <c r="D69" s="264"/>
      <c r="E69" s="159">
        <v>20624.8</v>
      </c>
      <c r="F69" s="8"/>
    </row>
    <row r="70" spans="1:6" ht="25.5" customHeight="1" x14ac:dyDescent="0.15">
      <c r="A70" s="3"/>
      <c r="B70" s="266" t="s">
        <v>121</v>
      </c>
      <c r="C70" s="159">
        <v>336578.76</v>
      </c>
      <c r="D70" s="159">
        <v>258069.16</v>
      </c>
      <c r="E70" s="159">
        <v>250870.55</v>
      </c>
      <c r="F70" s="8"/>
    </row>
    <row r="71" spans="1:6" ht="25.5" customHeight="1" x14ac:dyDescent="0.15">
      <c r="A71" s="3"/>
      <c r="B71" s="267" t="s">
        <v>316</v>
      </c>
      <c r="C71" s="192">
        <v>123943.82</v>
      </c>
      <c r="D71" s="192">
        <v>114787.97</v>
      </c>
      <c r="E71" s="167"/>
      <c r="F71" s="8"/>
    </row>
    <row r="72" spans="1:6" ht="25.5" customHeight="1" x14ac:dyDescent="0.15">
      <c r="A72" s="3"/>
      <c r="B72" s="266" t="s">
        <v>136</v>
      </c>
      <c r="C72" s="264"/>
      <c r="D72" s="264"/>
      <c r="E72" s="159">
        <v>132442.72</v>
      </c>
      <c r="F72" s="8"/>
    </row>
    <row r="73" spans="1:6" ht="25.5" customHeight="1" x14ac:dyDescent="0.15">
      <c r="A73" s="3"/>
      <c r="B73" s="267" t="s">
        <v>247</v>
      </c>
      <c r="C73" s="192">
        <v>58101.3</v>
      </c>
      <c r="D73" s="192">
        <v>67987.17</v>
      </c>
      <c r="E73" s="167"/>
      <c r="F73" s="8"/>
    </row>
    <row r="74" spans="1:6" ht="25.5" customHeight="1" x14ac:dyDescent="0.15">
      <c r="A74" s="3"/>
      <c r="B74" s="266" t="s">
        <v>235</v>
      </c>
      <c r="C74" s="264"/>
      <c r="D74" s="264"/>
      <c r="E74" s="159">
        <v>71176.47</v>
      </c>
      <c r="F74" s="8"/>
    </row>
    <row r="75" spans="1:6" ht="25.5" customHeight="1" x14ac:dyDescent="0.15">
      <c r="A75" s="3"/>
      <c r="B75" s="268"/>
      <c r="C75" s="167"/>
      <c r="D75" s="167"/>
      <c r="E75" s="167"/>
      <c r="F75" s="8"/>
    </row>
    <row r="76" spans="1:6" ht="19.5" customHeight="1" x14ac:dyDescent="0.15">
      <c r="A76" s="3"/>
      <c r="B76" s="193" t="s">
        <v>142</v>
      </c>
      <c r="C76" s="171">
        <v>5191631</v>
      </c>
      <c r="D76" s="171">
        <v>4058570.64</v>
      </c>
      <c r="E76" s="171">
        <v>7191231.4699999997</v>
      </c>
      <c r="F76" s="8"/>
    </row>
  </sheetData>
  <mergeCells count="3">
    <mergeCell ref="G12:I12"/>
    <mergeCell ref="G18:I18"/>
    <mergeCell ref="G34:I3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Uporedni pregled za 2011. godin</vt:lpstr>
      <vt:lpstr>Uporedni pregled za 2010. godin</vt:lpstr>
      <vt:lpstr>Uporedni pregled za 2009. godin</vt:lpstr>
      <vt:lpstr>Andrijevica</vt:lpstr>
      <vt:lpstr>Bar</vt:lpstr>
      <vt:lpstr>Berane</vt:lpstr>
      <vt:lpstr>Bijelo Polje</vt:lpstr>
      <vt:lpstr>Budva</vt:lpstr>
      <vt:lpstr>Cetinje</vt:lpstr>
      <vt:lpstr>Danilovgrad</vt:lpstr>
      <vt:lpstr>Herceg Novi</vt:lpstr>
      <vt:lpstr>Kolašin</vt:lpstr>
      <vt:lpstr>Kotor</vt:lpstr>
      <vt:lpstr>Mojkovac</vt:lpstr>
      <vt:lpstr>Nikšić</vt:lpstr>
      <vt:lpstr>Plav</vt:lpstr>
      <vt:lpstr>Pljevlja</vt:lpstr>
      <vt:lpstr>Plužine</vt:lpstr>
      <vt:lpstr>Podgorica</vt:lpstr>
      <vt:lpstr>Rožaje</vt:lpstr>
      <vt:lpstr>Šavnik</vt:lpstr>
      <vt:lpstr>Tivat</vt:lpstr>
      <vt:lpstr>Ulcinj</vt:lpstr>
      <vt:lpstr>Žabljak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 Sošić</cp:lastModifiedBy>
  <dcterms:modified xsi:type="dcterms:W3CDTF">2015-09-19T09:53:34Z</dcterms:modified>
</cp:coreProperties>
</file>