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ko/Downloads/"/>
    </mc:Choice>
  </mc:AlternateContent>
  <bookViews>
    <workbookView xWindow="240" yWindow="460" windowWidth="28560" windowHeight="16140" tabRatio="500"/>
  </bookViews>
  <sheets>
    <sheet name="Uporedni pregled za 2012. godin" sheetId="1" r:id="rId1"/>
    <sheet name="Kolašin" sheetId="2" r:id="rId2"/>
    <sheet name="Budva" sheetId="3" r:id="rId3"/>
    <sheet name="Plav" sheetId="4" r:id="rId4"/>
    <sheet name="Rožaje" sheetId="5" r:id="rId5"/>
    <sheet name="Nikšić" sheetId="6" r:id="rId6"/>
    <sheet name="Žabljak" sheetId="7" r:id="rId7"/>
    <sheet name="Ulcinj" sheetId="8" r:id="rId8"/>
    <sheet name="Tivat" sheetId="9" r:id="rId9"/>
    <sheet name="Šavnik" sheetId="10" r:id="rId10"/>
    <sheet name="Podgorica" sheetId="11" r:id="rId11"/>
    <sheet name="Plužine" sheetId="12" r:id="rId12"/>
    <sheet name="Pljevlja" sheetId="13" r:id="rId13"/>
    <sheet name="Mojkovac" sheetId="14" r:id="rId14"/>
    <sheet name="Kotor" sheetId="15" r:id="rId15"/>
    <sheet name="Herceg Novi" sheetId="16" r:id="rId16"/>
    <sheet name="Danilovgrad" sheetId="17" r:id="rId17"/>
    <sheet name="Cetinje" sheetId="18" r:id="rId18"/>
    <sheet name="Bijelo Polje" sheetId="19" r:id="rId19"/>
    <sheet name="Berane" sheetId="20" r:id="rId20"/>
    <sheet name="Bar" sheetId="21" r:id="rId21"/>
    <sheet name="Andrijevica" sheetId="22" r:id="rId2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22" l="1"/>
  <c r="C34" i="22"/>
  <c r="C37" i="22"/>
  <c r="C30" i="22"/>
  <c r="C29" i="22"/>
  <c r="C26" i="22"/>
  <c r="C23" i="22"/>
  <c r="C22" i="22"/>
  <c r="C19" i="22"/>
  <c r="C17" i="22"/>
  <c r="C16" i="22"/>
  <c r="C15" i="22"/>
  <c r="C5" i="22"/>
  <c r="C30" i="21"/>
  <c r="C29" i="21"/>
  <c r="C26" i="21"/>
  <c r="C22" i="21"/>
  <c r="C17" i="21"/>
  <c r="C15" i="21"/>
  <c r="C14" i="21"/>
  <c r="C5" i="21"/>
  <c r="C48" i="20"/>
  <c r="C71" i="20"/>
  <c r="C34" i="20"/>
  <c r="C37" i="20"/>
  <c r="C30" i="20"/>
  <c r="C29" i="20"/>
  <c r="C26" i="20"/>
  <c r="C22" i="20"/>
  <c r="C19" i="20"/>
  <c r="C15" i="20"/>
  <c r="C5" i="20"/>
  <c r="C30" i="19"/>
  <c r="C26" i="19"/>
  <c r="C16" i="19"/>
  <c r="C17" i="19"/>
  <c r="C19" i="19"/>
  <c r="C37" i="18"/>
  <c r="C30" i="18"/>
  <c r="C29" i="18"/>
  <c r="C26" i="18"/>
  <c r="C22" i="18"/>
  <c r="C19" i="18"/>
  <c r="C18" i="18"/>
  <c r="C16" i="18"/>
  <c r="C5" i="18"/>
  <c r="C37" i="17"/>
  <c r="C30" i="17"/>
  <c r="C26" i="17"/>
  <c r="C16" i="17"/>
  <c r="C5" i="17"/>
  <c r="C48" i="16"/>
  <c r="C72" i="16"/>
  <c r="C34" i="16"/>
  <c r="C26" i="16"/>
  <c r="C15" i="16"/>
  <c r="C5" i="16"/>
  <c r="C34" i="15"/>
  <c r="C33" i="15"/>
  <c r="H31" i="15"/>
  <c r="C29" i="15"/>
  <c r="C30" i="15"/>
  <c r="C26" i="15"/>
  <c r="C23" i="15"/>
  <c r="C22" i="15"/>
  <c r="C19" i="15"/>
  <c r="C18" i="15"/>
  <c r="C17" i="15"/>
  <c r="C16" i="15"/>
  <c r="C15" i="15"/>
  <c r="C5" i="15"/>
  <c r="C34" i="14"/>
  <c r="C30" i="14"/>
  <c r="C29" i="14"/>
  <c r="C26" i="14"/>
  <c r="C22" i="14"/>
  <c r="C19" i="14"/>
  <c r="C17" i="14"/>
  <c r="C16" i="14"/>
  <c r="C15" i="14"/>
  <c r="C14" i="14"/>
  <c r="C5" i="14"/>
  <c r="C48" i="13"/>
  <c r="C72" i="13"/>
  <c r="C37" i="13"/>
  <c r="C30" i="13"/>
  <c r="C29" i="13"/>
  <c r="C26" i="13"/>
  <c r="C15" i="13"/>
  <c r="C5" i="13"/>
  <c r="C34" i="12"/>
  <c r="C33" i="12"/>
  <c r="C30" i="12"/>
  <c r="C29" i="12"/>
  <c r="C26" i="12"/>
  <c r="C23" i="12"/>
  <c r="C22" i="12"/>
  <c r="C16" i="12"/>
  <c r="C17" i="12"/>
  <c r="C18" i="12"/>
  <c r="C19" i="12"/>
  <c r="C15" i="12"/>
  <c r="C5" i="12"/>
  <c r="C29" i="11"/>
  <c r="C28" i="11"/>
  <c r="C25" i="11"/>
  <c r="C18" i="11"/>
  <c r="C14" i="11"/>
  <c r="C5" i="11"/>
  <c r="C34" i="10"/>
  <c r="C37" i="10"/>
  <c r="C30" i="10"/>
  <c r="C26" i="10"/>
  <c r="C23" i="10"/>
  <c r="C19" i="10"/>
  <c r="C18" i="10"/>
  <c r="C17" i="10"/>
  <c r="C15" i="10"/>
  <c r="C5" i="10"/>
  <c r="C33" i="9"/>
  <c r="C29" i="9"/>
  <c r="C30" i="9"/>
  <c r="C26" i="9"/>
  <c r="C19" i="9"/>
  <c r="C18" i="9"/>
  <c r="C17" i="9"/>
  <c r="C16" i="9"/>
  <c r="C15" i="9"/>
  <c r="C5" i="9"/>
  <c r="C63" i="8"/>
  <c r="C34" i="8"/>
  <c r="C37" i="8"/>
  <c r="C29" i="8"/>
  <c r="C30" i="8"/>
  <c r="C26" i="8"/>
  <c r="C6" i="8"/>
  <c r="C7" i="8"/>
  <c r="C8" i="8"/>
  <c r="C9" i="8"/>
  <c r="C13" i="8"/>
  <c r="C5" i="8"/>
  <c r="C17" i="8"/>
  <c r="C18" i="8"/>
  <c r="C19" i="8"/>
  <c r="C15" i="8"/>
  <c r="C20" i="8"/>
  <c r="C22" i="8"/>
  <c r="C24" i="8"/>
  <c r="C60" i="7"/>
  <c r="C48" i="7"/>
  <c r="C37" i="7"/>
  <c r="C29" i="7"/>
  <c r="C30" i="7"/>
  <c r="C26" i="7"/>
  <c r="C18" i="7"/>
  <c r="C17" i="7"/>
  <c r="C16" i="7"/>
  <c r="C15" i="7"/>
  <c r="C5" i="7"/>
  <c r="C76" i="6"/>
  <c r="C37" i="6"/>
  <c r="C29" i="6"/>
  <c r="C30" i="6"/>
  <c r="C26" i="6"/>
  <c r="C51" i="5"/>
  <c r="C67" i="5"/>
  <c r="C37" i="5"/>
  <c r="D37" i="5"/>
  <c r="C32" i="5"/>
  <c r="C27" i="5"/>
  <c r="C23" i="5"/>
  <c r="D24" i="5"/>
  <c r="C15" i="5"/>
  <c r="C5" i="5"/>
  <c r="C37" i="4"/>
  <c r="C30" i="4"/>
  <c r="C29" i="4"/>
  <c r="C26" i="4"/>
  <c r="C18" i="4"/>
  <c r="C17" i="4"/>
  <c r="C16" i="4"/>
  <c r="C15" i="4"/>
  <c r="C5" i="4"/>
  <c r="C75" i="3"/>
  <c r="C30" i="3"/>
  <c r="C5" i="3"/>
  <c r="C16" i="3"/>
  <c r="C17" i="3"/>
  <c r="C15" i="3"/>
  <c r="C22" i="3"/>
  <c r="C23" i="3"/>
  <c r="C24" i="3"/>
  <c r="C29" i="2"/>
  <c r="C30" i="2"/>
  <c r="C26" i="2"/>
  <c r="C39" i="2"/>
  <c r="C37" i="2"/>
  <c r="C5" i="2"/>
  <c r="C15" i="2"/>
  <c r="C24" i="2"/>
  <c r="W22" i="1"/>
  <c r="E21" i="1"/>
  <c r="Q19" i="1"/>
  <c r="M19" i="1"/>
  <c r="L19" i="1"/>
  <c r="Q16" i="1"/>
  <c r="P16" i="1"/>
  <c r="P12" i="1"/>
  <c r="Q11" i="1"/>
  <c r="P11" i="1"/>
  <c r="K11" i="1"/>
  <c r="P7" i="1"/>
  <c r="K7" i="1"/>
  <c r="P4" i="1"/>
  <c r="P3" i="1"/>
  <c r="I3" i="1"/>
  <c r="Q2" i="1"/>
  <c r="P2" i="1"/>
  <c r="L2" i="1"/>
  <c r="K2" i="1"/>
</calcChain>
</file>

<file path=xl/comments1.xml><?xml version="1.0" encoding="utf-8"?>
<comments xmlns="http://schemas.openxmlformats.org/spreadsheetml/2006/main">
  <authors>
    <author/>
  </authors>
  <commentList>
    <comment ref="T5" authorId="0">
      <text>
        <r>
          <rPr>
            <sz val="10"/>
            <color rgb="FF000000"/>
            <rFont val="Arial"/>
          </rPr>
          <t>9,235,944.90??
	-Goran Krivokapić</t>
        </r>
      </text>
    </comment>
    <comment ref="Q18" authorId="0">
      <text>
        <r>
          <rPr>
            <sz val="10"/>
            <color rgb="FF000000"/>
            <rFont val="Arial"/>
          </rPr>
          <t>Rezerve + Ostali izdaci:
39083.62 + 48177.74 = 87261.36
	-Goran Krivokapić</t>
        </r>
      </text>
    </comment>
    <comment ref="Y18" authorId="0">
      <text>
        <r>
          <rPr>
            <sz val="10"/>
            <color rgb="FF000000"/>
            <rFont val="Arial"/>
          </rPr>
          <t>220000+2147915.65
	-Goran Krivokapić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18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8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6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  <comment ref="D52" authorId="0">
      <text>
        <r>
          <rPr>
            <sz val="10"/>
            <color rgb="FF000000"/>
            <rFont val="Arial"/>
          </rPr>
          <t>PC:
Agencija za izgradnju i razvoj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C35" authorId="0">
      <text>
        <r>
          <rPr>
            <sz val="10"/>
            <color rgb="FF000000"/>
            <rFont val="Arial"/>
          </rPr>
          <t>Da li ova pozicija dobra, u izvještajima piše Transferi od Vlade Republike?? Da li trebalo možda dopisati pod stavku Ostali transferi i donacije?
	-Goran Krivokapić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D39" authorId="0">
      <text>
        <r>
          <rPr>
            <sz val="10"/>
            <color rgb="FF000000"/>
            <rFont val="Arial"/>
          </rPr>
          <t xml:space="preserve">Goran : 4093540,79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  <comment ref="C65" authorId="0">
      <text>
        <r>
          <rPr>
            <sz val="10"/>
            <color rgb="FF000000"/>
            <rFont val="Arial"/>
          </rPr>
          <t>Trebalo bi da bude: 2,592,638.23
	-Goran Krivokapić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D24" authorId="0">
      <text>
        <r>
          <rPr>
            <sz val="10"/>
            <color rgb="FF000000"/>
            <rFont val="Arial"/>
          </rPr>
          <t>Ostali izdaci objedinjeni pod stavku Rezerve
	-Goran Krivokapić</t>
        </r>
      </text>
    </comment>
    <comment ref="B31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2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D37" authorId="0">
      <text>
        <r>
          <rPr>
            <sz val="10"/>
            <color rgb="FF000000"/>
            <rFont val="Arial"/>
          </rPr>
          <t>Ukupne Donacije i transferi
	-Goran Krivokapić</t>
        </r>
      </text>
    </comment>
    <comment ref="B40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sharedStrings.xml><?xml version="1.0" encoding="utf-8"?>
<sst xmlns="http://schemas.openxmlformats.org/spreadsheetml/2006/main" count="1429" uniqueCount="314">
  <si>
    <t>Tekući izdaci</t>
  </si>
  <si>
    <t>Bruto zarade i doprinosi na teret zaposlenih</t>
  </si>
  <si>
    <t>Izdaci za materijal i usluge</t>
  </si>
  <si>
    <t>Tekuće održavanje</t>
  </si>
  <si>
    <t>Kamate</t>
  </si>
  <si>
    <t>Renta</t>
  </si>
  <si>
    <t>Subvencije</t>
  </si>
  <si>
    <t>Transferi za socijalnu zaštitu</t>
  </si>
  <si>
    <t>Transferi institucijama, pojedincima, nevladinom i javnom sektoru</t>
  </si>
  <si>
    <t>Transferi javnim institucijama</t>
  </si>
  <si>
    <t>Transferi nevladinim organizacijama, političkim partijama, strankama i udruženjima</t>
  </si>
  <si>
    <t>Transferi pojedincima</t>
  </si>
  <si>
    <t>Kapitalni izdaci</t>
  </si>
  <si>
    <t>Pozjamice i dugovi</t>
  </si>
  <si>
    <t>Otplata dugova</t>
  </si>
  <si>
    <t>Rezerve</t>
  </si>
  <si>
    <t>Ukupni izdaci</t>
  </si>
  <si>
    <t>Lokalna samouprava: Nikšić</t>
  </si>
  <si>
    <t>Lokalna samouprava: Ulcinj</t>
  </si>
  <si>
    <t>Lokalna samouprava: Šavnik</t>
  </si>
  <si>
    <t>Lokalna samouprava: Rožaje</t>
  </si>
  <si>
    <t>Lokalna samouprava: Podgorica</t>
  </si>
  <si>
    <t>Lokalna samouprava: Plužine</t>
  </si>
  <si>
    <t>Izdaci</t>
  </si>
  <si>
    <t>Lokalna samouprava: Pljevlja</t>
  </si>
  <si>
    <t>Lokalna samouprava: Kolašin</t>
  </si>
  <si>
    <t>Lokalna samouprava: Mojkovac</t>
  </si>
  <si>
    <t>Lokalna samouprava: Kotor</t>
  </si>
  <si>
    <t>Lokalna samouprava: Herceg Novi</t>
  </si>
  <si>
    <t>Lokalna samouprava: Danilovgrad</t>
  </si>
  <si>
    <t>Lokalna samouprava: Cetinje</t>
  </si>
  <si>
    <t>Lokalna samouprava: Berane</t>
  </si>
  <si>
    <t>Lokalna samouprava: Bijelo Polje</t>
  </si>
  <si>
    <t>Lokalna samouprava: Andrijevica</t>
  </si>
  <si>
    <t>Lokalna samouprava: Bar</t>
  </si>
  <si>
    <t>Lokalna samouprava: Budva</t>
  </si>
  <si>
    <t>Bruto zarade i doprinosi na teret poslodavaca</t>
  </si>
  <si>
    <t>Ostala lična primanja zaposlenih</t>
  </si>
  <si>
    <t>Ostali izdaci</t>
  </si>
  <si>
    <t>Lokalna samouprava: Plav</t>
  </si>
  <si>
    <t>431-1</t>
  </si>
  <si>
    <t>431-2</t>
  </si>
  <si>
    <t>431-3</t>
  </si>
  <si>
    <t>431 - ?</t>
  </si>
  <si>
    <t>Ostali transferi</t>
  </si>
  <si>
    <t>Lokalna samouprava: Tivat</t>
  </si>
  <si>
    <t>Tekući prihodi</t>
  </si>
  <si>
    <t>Lokalna samouprava: Žabljak</t>
  </si>
  <si>
    <t>Porezi</t>
  </si>
  <si>
    <t>Takse</t>
  </si>
  <si>
    <t>Koncesione naknade</t>
  </si>
  <si>
    <t>Primici od prodaje imovine</t>
  </si>
  <si>
    <t>Donacije i transferi</t>
  </si>
  <si>
    <t>Transferi od budžeta države</t>
  </si>
  <si>
    <t>Transferi od Egalizacionog fonda</t>
  </si>
  <si>
    <t>Pozjamice i krediti</t>
  </si>
  <si>
    <t>Ukupni prihodi</t>
  </si>
  <si>
    <t>Andrijevica</t>
  </si>
  <si>
    <t>Pozajmice i krediti</t>
  </si>
  <si>
    <t>Prihodi</t>
  </si>
  <si>
    <t>Ostale naknade</t>
  </si>
  <si>
    <t>Ostali prihodi</t>
  </si>
  <si>
    <t>Primici od otplate kredita i sredstva prenesena iz prethodne godine</t>
  </si>
  <si>
    <t>Ostali transferi i donacije</t>
  </si>
  <si>
    <t>Ukupni primici</t>
  </si>
  <si>
    <t>Ostalo</t>
  </si>
  <si>
    <t>Dug (Neizmirene obaveze)</t>
  </si>
  <si>
    <t>Broj stanovnika</t>
  </si>
  <si>
    <t>Broj lokalnih službenika i namještenika</t>
  </si>
  <si>
    <t>Rata nezaposlenosti / Broj nezaposlenih</t>
  </si>
  <si>
    <t>Posebni podaci za svaki grad</t>
  </si>
  <si>
    <t>Operativni izdaci</t>
  </si>
  <si>
    <t>Služba predsjednika Opštine, Glavnog administratora i za zajedničke poslove</t>
  </si>
  <si>
    <t>Bar</t>
  </si>
  <si>
    <t>Berane</t>
  </si>
  <si>
    <t>Bijelo Polje</t>
  </si>
  <si>
    <t>Sekretarijat za finansije, ekonomski razvoj, upravu i društvene djelatnosti</t>
  </si>
  <si>
    <t>Sekretarijat za uređenje prostora, stambenih poslova i zaštitu životne sredine</t>
  </si>
  <si>
    <t>Služba za skupštinske poslove</t>
  </si>
  <si>
    <t>Služba za poljoprivredu i ruralni razvoj</t>
  </si>
  <si>
    <t>Služba zaštite i spašavanja</t>
  </si>
  <si>
    <t>Ukupno</t>
  </si>
  <si>
    <t>Budva</t>
  </si>
  <si>
    <t>Prenos iz prethodne godine</t>
  </si>
  <si>
    <t>Kabinet Predsjednika</t>
  </si>
  <si>
    <t>Služba Glavnog administratora</t>
  </si>
  <si>
    <t>Sekretarijat za opštu upravu</t>
  </si>
  <si>
    <t>Sekretarijat za ekonomiju, finansije i imovinu</t>
  </si>
  <si>
    <t>Sredstva za rad političkih partija i odbornika</t>
  </si>
  <si>
    <t>Nevladine organizacije</t>
  </si>
  <si>
    <t>Transferi udruženjima</t>
  </si>
  <si>
    <t>Direkcija za imovinu</t>
  </si>
  <si>
    <t>Sekretarijat za uređenje prostora</t>
  </si>
  <si>
    <t>Sekretarijat za inspekcijske poslove</t>
  </si>
  <si>
    <t>Komunalna policija</t>
  </si>
  <si>
    <t>Služba zaštite</t>
  </si>
  <si>
    <t>742-1</t>
  </si>
  <si>
    <t>742-2</t>
  </si>
  <si>
    <t>izdaci za materijal i usluge</t>
  </si>
  <si>
    <t>Služba predsjednika opštine</t>
  </si>
  <si>
    <t>Služba predsjednika skupštine</t>
  </si>
  <si>
    <t>Glavni administrator i menadžer</t>
  </si>
  <si>
    <t>Služba za finansije i lokalne prihode</t>
  </si>
  <si>
    <t>Služba za opštu upravu i društvene djelatnosti</t>
  </si>
  <si>
    <t>Služba zaštite i spasavanja</t>
  </si>
  <si>
    <t>Sindikalna organizacija SO-e</t>
  </si>
  <si>
    <t>Mjesne zajednice</t>
  </si>
  <si>
    <t>JU Centar za kulturu i sport</t>
  </si>
  <si>
    <t>Izdavačka kuća "Komovi" Andrijevica</t>
  </si>
  <si>
    <t>Sportski klubovi i društva</t>
  </si>
  <si>
    <t>Studentske stipendije</t>
  </si>
  <si>
    <t>Turistička organizacija Andrijevica</t>
  </si>
  <si>
    <t>Srpska pravoslavna crkva</t>
  </si>
  <si>
    <t>Opštinska organizacija crveni krst Andrijevica</t>
  </si>
  <si>
    <t>Javni servis Radio Andrijevica</t>
  </si>
  <si>
    <t>NVO i humanitarne organizacije</t>
  </si>
  <si>
    <t>Političke partije u lokalnoj skupštini</t>
  </si>
  <si>
    <t>Budžetski rashodi - tekuća i stalna rezerva</t>
  </si>
  <si>
    <t>Kapitalni budžet</t>
  </si>
  <si>
    <t>Služba Predsjednika</t>
  </si>
  <si>
    <t>Služba Menadžera</t>
  </si>
  <si>
    <t>Sekretarijat za opštu upravu i društvene djelatnosti</t>
  </si>
  <si>
    <t>JU Centar za kulturu</t>
  </si>
  <si>
    <t>JU Polimski muzej</t>
  </si>
  <si>
    <t>JP Sportski centar</t>
  </si>
  <si>
    <t>Sekretarijat za finansije i ekonomski razvoj</t>
  </si>
  <si>
    <t>Sekretarijat za planiranje i uređenje prostora i zaštitu životne sredine</t>
  </si>
  <si>
    <t>Kabinet Predsjednika opštine</t>
  </si>
  <si>
    <t>Služba Skupštine</t>
  </si>
  <si>
    <t>Služba za unutrašnju reviziju</t>
  </si>
  <si>
    <t>Služba za zajedničke poslove</t>
  </si>
  <si>
    <t>Centar za informacioni sistem</t>
  </si>
  <si>
    <t>Sekretarijat za finansije</t>
  </si>
  <si>
    <t>Sekretarijat za uređenje prostora i održivi razvoj</t>
  </si>
  <si>
    <t>Sekretarijat za opšte upravne poslove i društvene djelatnosti</t>
  </si>
  <si>
    <t>JU Centar za djelatnost Kulture</t>
  </si>
  <si>
    <t>JU Centar za sport i rekreaciju</t>
  </si>
  <si>
    <t>NVO</t>
  </si>
  <si>
    <t>OO Subnor</t>
  </si>
  <si>
    <t>OO Crveni Krst</t>
  </si>
  <si>
    <t>Sekretarijat za preduzetništvo i ekonomski razvoj</t>
  </si>
  <si>
    <t>Sekretarijat za stambeno komunalne poslove i saobraćaj</t>
  </si>
  <si>
    <t>Direkcija za izgradnju i investicije</t>
  </si>
  <si>
    <t>Direkcija za imovinu i zaštitu prava Opštine</t>
  </si>
  <si>
    <t>Uprava javnih prihoda</t>
  </si>
  <si>
    <t>Skupština opštine Kotor</t>
  </si>
  <si>
    <t>Stručna služba predsjednika opštine</t>
  </si>
  <si>
    <t>Stručna služba glavnog administratora</t>
  </si>
  <si>
    <t>Sekretarijat za urbanizam, građevinarstvo i komunalno-stambene poslove</t>
  </si>
  <si>
    <t>Sekretarijat za lokalne prihode, budžet i finansije</t>
  </si>
  <si>
    <t>Sekretarijat za zaštitu prirodne i kulturne baštine</t>
  </si>
  <si>
    <t>Sekretarijat za imovinsko pravne poslove</t>
  </si>
  <si>
    <t>Sekretarijat za kulturu i društvene djelatnosti</t>
  </si>
  <si>
    <t>Stručna služba skupštine opštine</t>
  </si>
  <si>
    <t>Informacioni centar</t>
  </si>
  <si>
    <t>Sekretarijat za razvoj preduzetništva, komunalne poslove i saobraćaj</t>
  </si>
  <si>
    <t>OU Direkcija za uređenje i izgradnju - Kotor</t>
  </si>
  <si>
    <t>Kabinet predsjednika</t>
  </si>
  <si>
    <t>Služba glavnog administratora</t>
  </si>
  <si>
    <t>Menadžer</t>
  </si>
  <si>
    <t>Sekretarijat za privredu i finansije</t>
  </si>
  <si>
    <t>Sekretarijat za urbanizam, komunalno stambene poslove i zaštitu životne sredine</t>
  </si>
  <si>
    <t>Sekretarijat za imovinu</t>
  </si>
  <si>
    <t>Služba predsjednika</t>
  </si>
  <si>
    <t xml:space="preserve">Služba zaštite </t>
  </si>
  <si>
    <t>JU Umjetnička kolonija</t>
  </si>
  <si>
    <t>Opštinska organizacija Crvenog krsta</t>
  </si>
  <si>
    <t>LJRDS "Radio Danilovgrad"</t>
  </si>
  <si>
    <t>Turistička organizacija Opštine Danilovgrad</t>
  </si>
  <si>
    <t>Javno preduzeće za uzgoj, zaštitu i lov divljači i riba</t>
  </si>
  <si>
    <t>Direkcija za saobraćaj, održavannje i izgradnju puteva</t>
  </si>
  <si>
    <t>Javno komunalno zanatsko preduzeće</t>
  </si>
  <si>
    <t>Glavni administrator</t>
  </si>
  <si>
    <t>Agencija za investicije, građevinsko zemljište i razvoj</t>
  </si>
  <si>
    <t>Predsjednik Skupštine</t>
  </si>
  <si>
    <t>Sekretar Skupštine</t>
  </si>
  <si>
    <t>Sekretarijat za opštu upravu i inspekcijske poslove</t>
  </si>
  <si>
    <t>Sekretarijat za uređenje prostora, zaštitu životne sredine, stambeno-komunalne poslove i saobraćaj</t>
  </si>
  <si>
    <t>Sekretarijat za društvene djelatnosti, propise i kadrove</t>
  </si>
  <si>
    <t>CIS</t>
  </si>
  <si>
    <t>Služba zaštite i komunalna policija</t>
  </si>
  <si>
    <t>Centar za kulturu</t>
  </si>
  <si>
    <t>Sport</t>
  </si>
  <si>
    <t>Neprofitne, humanitarne i NVO</t>
  </si>
  <si>
    <t>Budžetski rashodi</t>
  </si>
  <si>
    <t>Služba za poljoprivredu, puteve i vode</t>
  </si>
  <si>
    <t>Služba gradonačelnika</t>
  </si>
  <si>
    <t>Služba menadžera</t>
  </si>
  <si>
    <t>Služba skupštine</t>
  </si>
  <si>
    <t>Uprava lokalnih javnih prihoda</t>
  </si>
  <si>
    <t>Sekretarijat za razvoj preduzetništva</t>
  </si>
  <si>
    <t>Sekretarijat za socijalno staranje</t>
  </si>
  <si>
    <t>JU za brigu o djeci "Dječji savez"</t>
  </si>
  <si>
    <t>JU za rehabilitaciju i resocijalizaciju korisnika psihoaktivnih supstanci</t>
  </si>
  <si>
    <t>Sekretarijat za kulturu i sport</t>
  </si>
  <si>
    <t>JU "Muzeji i galerije"</t>
  </si>
  <si>
    <t>JU NB "Radosav Ljumović"</t>
  </si>
  <si>
    <t>JU "Gradsko pozorište"</t>
  </si>
  <si>
    <t>JU KIC "Budo Tomović"</t>
  </si>
  <si>
    <t>JU KIC "Zeta"</t>
  </si>
  <si>
    <t>JU KIC "Malesija"</t>
  </si>
  <si>
    <t>Sekretarijat za lokalnu samoupravu</t>
  </si>
  <si>
    <t>Sekretarijat za komunalne poslove i saobraćaj</t>
  </si>
  <si>
    <t>Služba skupštine Opštine</t>
  </si>
  <si>
    <t>Sekretar za upravu, propise, kadrove i društvene djelatnosti</t>
  </si>
  <si>
    <t>Sekretarijat za finansije i budžet</t>
  </si>
  <si>
    <t>Sekretarijat za urbanizam i uređenje prostora</t>
  </si>
  <si>
    <t>Sekretarijat za komunalne djelatnosti i zaštitu životne sredine</t>
  </si>
  <si>
    <t>Sekretarijat za privredu i ekonomski razvoj</t>
  </si>
  <si>
    <t>Sekretarijat za zaštitu imovine</t>
  </si>
  <si>
    <t>Sekretarijat za stambene djelatnosti</t>
  </si>
  <si>
    <t>Služba Glanog administratora</t>
  </si>
  <si>
    <t>Sekretarijat za društvene djelatnosti i ostale upravne poslove</t>
  </si>
  <si>
    <t>JU Nikšićko pozorište</t>
  </si>
  <si>
    <t>JU Zahumlje</t>
  </si>
  <si>
    <t>JU Stari grad Anderva</t>
  </si>
  <si>
    <t>JU Dnevni centar sa smetnjama</t>
  </si>
  <si>
    <t>Turistička organizacija</t>
  </si>
  <si>
    <t>JP za uzgoj, zaštitu i lov divljači Dr Zoran Kesler</t>
  </si>
  <si>
    <t>Sekretarijat za uređenje prostora i stambene poslove</t>
  </si>
  <si>
    <t>Sekretarijat za komunalne poslove, saobraćaj i vode</t>
  </si>
  <si>
    <t>Sekretarijat za sport</t>
  </si>
  <si>
    <t>Agencija za projektovanje i planiranje</t>
  </si>
  <si>
    <t>Služba za zaštitu životne sredine</t>
  </si>
  <si>
    <t>Služba za razvoj mjesnih zajednica</t>
  </si>
  <si>
    <t>Služba predsjednika Opštine</t>
  </si>
  <si>
    <t>Investicioni izdaci</t>
  </si>
  <si>
    <t>Transferi od budžeta države (uslovne dotacije)</t>
  </si>
  <si>
    <t>Donacije od EU</t>
  </si>
  <si>
    <t>Predsjednik</t>
  </si>
  <si>
    <t>Služba skupštine opštine</t>
  </si>
  <si>
    <t>Sekretarijat za uređenje prostora i zaštitu životne sredine</t>
  </si>
  <si>
    <t>Sekretarijat za upravu i društvene djelatnosti</t>
  </si>
  <si>
    <t>Direkcija za investicije</t>
  </si>
  <si>
    <t>JU Biblioteka</t>
  </si>
  <si>
    <t>JU Sportska dvorana</t>
  </si>
  <si>
    <t>Kapitalne investicije</t>
  </si>
  <si>
    <t>Sekretarijat za stambenokomunalne poslove i saobraćaj</t>
  </si>
  <si>
    <t>Agencija za izgradnju i razvoj Berana</t>
  </si>
  <si>
    <t>Kapitalni izdaci</t>
  </si>
  <si>
    <t>UKUPNI PRIMICI</t>
  </si>
  <si>
    <t>Sekretarijat za ekonomiju i finansije</t>
  </si>
  <si>
    <t>Sekretarijat za uređenje prostora, komunalno-stambene poslove i zaštitu životne sredine</t>
  </si>
  <si>
    <t>Služba komunalne policije</t>
  </si>
  <si>
    <t>Agencija za investicije i imovinu - izdaci iz tekućeg budžeta</t>
  </si>
  <si>
    <t>UKUPNO TEKUĆI BUDŽET</t>
  </si>
  <si>
    <t>UKUPNO KAPITALNI BUDŽET</t>
  </si>
  <si>
    <t>Skupština Opštine</t>
  </si>
  <si>
    <t>Predsjednik Opštine</t>
  </si>
  <si>
    <t>Služba za evropske integracije i razvoj</t>
  </si>
  <si>
    <t>Sekretarijat za privredu</t>
  </si>
  <si>
    <t>Sekretarijat za stambeno-komunalne poslove, saobraćaj i vode</t>
  </si>
  <si>
    <t>Sekretarijat za društvene djelatnosti</t>
  </si>
  <si>
    <t>Građanski biro</t>
  </si>
  <si>
    <t>JU Dnevni centar</t>
  </si>
  <si>
    <t>Institucije iz oblasti kulture</t>
  </si>
  <si>
    <t>Centar za sport i rekreaciju</t>
  </si>
  <si>
    <t>Predsjednik Skupštine i služba Skupštine</t>
  </si>
  <si>
    <t>Sekretarijat za uređenje prostora, zaštitu životne sredine i komunalno stambene poslove</t>
  </si>
  <si>
    <t>Agro biznis info centar</t>
  </si>
  <si>
    <t>Cetinje</t>
  </si>
  <si>
    <t>Sekretarijat za uređenje prostora, komunalno stambene poslove i zaštitu životne sredine</t>
  </si>
  <si>
    <t>Uprava lokalnih prihoda</t>
  </si>
  <si>
    <t>Agencija za investicije</t>
  </si>
  <si>
    <t>Sekretarijat za privredu, razvoj i finansije</t>
  </si>
  <si>
    <t>Sekretarijat za uređenje i imovinu</t>
  </si>
  <si>
    <t>Direkcija za uređenje prostora i investicije</t>
  </si>
  <si>
    <t>Služba Gradonačelnika</t>
  </si>
  <si>
    <t>Skupština Prijestonice</t>
  </si>
  <si>
    <t>Sekretarijat za finansije i razvoj preduzetništva</t>
  </si>
  <si>
    <t>Sekretarijat za socijalnu politiku i mlade</t>
  </si>
  <si>
    <t>Kancelarija biznis centra</t>
  </si>
  <si>
    <t>Kabinet predsjednika opštine</t>
  </si>
  <si>
    <t>Sekretarijat za informacione sisteme i zajedničke poslove</t>
  </si>
  <si>
    <t>Sekretarijat za komunalno-stambene poslove i zaštitu životne sredine</t>
  </si>
  <si>
    <t>Sekretarijat za prostorno planiranje i izgradnju</t>
  </si>
  <si>
    <t>Sekretarijat za finansije, turizam i ekonomski razvoj</t>
  </si>
  <si>
    <t>Danilovgrad</t>
  </si>
  <si>
    <t>Herceg Novi</t>
  </si>
  <si>
    <t>Kolašin</t>
  </si>
  <si>
    <t>Agencija za upravljanje gradskom lukom</t>
  </si>
  <si>
    <t>Agencija za izgradnju i razvoj Herceg Novog</t>
  </si>
  <si>
    <t>JU Zavičajni muzej i umjetnička galerija "Josip-Bepo Benković" Herceg Novi</t>
  </si>
  <si>
    <t>JU Gradska biblioteka i čitaonica Herceg Novi</t>
  </si>
  <si>
    <t>JUK "Herceg-fest"</t>
  </si>
  <si>
    <t>Javni servis Radio Herceg Novi informativni centar</t>
  </si>
  <si>
    <t>JP "Sportski centar" Igalo</t>
  </si>
  <si>
    <t>Agencija za zaštitu i razvoj Orjena</t>
  </si>
  <si>
    <t>Kotor</t>
  </si>
  <si>
    <t>Mojkovac</t>
  </si>
  <si>
    <t>Predsjednik i kabinet</t>
  </si>
  <si>
    <t>Fond za obeštećenje</t>
  </si>
  <si>
    <t>Niksic</t>
  </si>
  <si>
    <t>JP Mediteranski sportski centar</t>
  </si>
  <si>
    <t>JP Sportsko rekreativni centar "Budva"</t>
  </si>
  <si>
    <t>JP Grad teatar</t>
  </si>
  <si>
    <t>JU Crvena komuna</t>
  </si>
  <si>
    <t>JU Muzeji, galerija i biblioteka</t>
  </si>
  <si>
    <t>JU Spomen dom Reževići</t>
  </si>
  <si>
    <t>JP JRDS Radio Budva</t>
  </si>
  <si>
    <t>JP JRDS TV BUDVA</t>
  </si>
  <si>
    <t>Sekretarijat za investicije</t>
  </si>
  <si>
    <t>Sekretarijat za gradsku infrastrukturu i ambijent</t>
  </si>
  <si>
    <t>Služba za naplatu naknade za komunalno opremanje građevinskog zemljišta</t>
  </si>
  <si>
    <t>Sekretarijat za prostorno planiranje i održivi razvoj</t>
  </si>
  <si>
    <t>Plav</t>
  </si>
  <si>
    <t>Pljevlja</t>
  </si>
  <si>
    <t>Plužine</t>
  </si>
  <si>
    <t>Podgorica</t>
  </si>
  <si>
    <t>Rožaje</t>
  </si>
  <si>
    <t>Šavnik</t>
  </si>
  <si>
    <t>Tivat</t>
  </si>
  <si>
    <t>Ulcinj</t>
  </si>
  <si>
    <t>Žabljak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</si>
</sst>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558ED5"/>
      <name val="Arial"/>
    </font>
    <font>
      <i/>
      <sz val="10"/>
      <color rgb="FF000000"/>
      <name val="Arial"/>
    </font>
    <font>
      <b/>
      <sz val="10"/>
      <color rgb="FF20124D"/>
      <name val="Arial"/>
    </font>
    <font>
      <b/>
      <sz val="10"/>
      <color rgb="FF0070C0"/>
      <name val="Arial"/>
    </font>
    <font>
      <b/>
      <sz val="10"/>
      <color rgb="FF002060"/>
      <name val="Arial"/>
    </font>
    <font>
      <b/>
      <sz val="10"/>
      <color rgb="FF1155CC"/>
      <name val="Arial"/>
    </font>
    <font>
      <sz val="10"/>
      <color rgb="FF1155CC"/>
      <name val="Arial"/>
    </font>
    <font>
      <b/>
      <sz val="10"/>
      <color rgb="FF17375E"/>
      <name val="Arial"/>
    </font>
    <font>
      <b/>
      <sz val="10"/>
      <color rgb="FF000000"/>
      <name val="Verdana"/>
    </font>
    <font>
      <sz val="11"/>
      <color rgb="FF000000"/>
      <name val="Arial"/>
    </font>
    <font>
      <b/>
      <sz val="10"/>
      <color rgb="FF4F81BD"/>
      <name val="Verdana"/>
    </font>
    <font>
      <b/>
      <sz val="10"/>
      <color rgb="FF0070C0"/>
      <name val="Verdana"/>
    </font>
    <font>
      <b/>
      <sz val="10"/>
      <color rgb="FF376092"/>
      <name val="Arial"/>
    </font>
    <font>
      <b/>
      <sz val="11"/>
      <color rgb="FF000000"/>
      <name val="Arial"/>
    </font>
    <font>
      <b/>
      <sz val="10"/>
      <color rgb="FF1F497D"/>
      <name val="Verdana"/>
    </font>
    <font>
      <sz val="10"/>
      <color rgb="FF000000"/>
      <name val="Verdana"/>
    </font>
    <font>
      <b/>
      <sz val="10"/>
      <color rgb="FF20124D"/>
      <name val="Verdana"/>
    </font>
    <font>
      <b/>
      <sz val="10"/>
      <color rgb="FF4F81BD"/>
      <name val="Arial"/>
    </font>
    <font>
      <sz val="10"/>
      <color rgb="FFFF0000"/>
      <name val="Arial"/>
    </font>
    <font>
      <sz val="10"/>
      <color rgb="FF1F497D"/>
      <name val="Arial"/>
    </font>
    <font>
      <sz val="11"/>
      <color rgb="FF1F497D"/>
      <name val="Arial"/>
    </font>
    <font>
      <sz val="9"/>
      <color rgb="FF000000"/>
      <name val="Arial"/>
    </font>
    <font>
      <b/>
      <sz val="10"/>
      <color rgb="FF073763"/>
      <name val="Verdana"/>
    </font>
    <font>
      <sz val="10"/>
      <color rgb="FF604A7B"/>
      <name val="Arial"/>
    </font>
    <font>
      <sz val="10"/>
      <name val="Verdana"/>
    </font>
    <font>
      <b/>
      <sz val="10"/>
      <color rgb="FF0B5394"/>
      <name val="Verdana"/>
    </font>
  </fonts>
  <fills count="21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3B3B3"/>
        <bgColor rgb="FFB3B3B3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1">
    <xf numFmtId="0" fontId="0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wrapText="1"/>
    </xf>
    <xf numFmtId="4" fontId="4" fillId="3" borderId="5" xfId="0" applyNumberFormat="1" applyFont="1" applyFill="1" applyBorder="1" applyAlignment="1">
      <alignment horizontal="right" vertical="top"/>
    </xf>
    <xf numFmtId="0" fontId="4" fillId="3" borderId="6" xfId="0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1" fontId="3" fillId="3" borderId="3" xfId="0" applyNumberFormat="1" applyFont="1" applyFill="1" applyBorder="1" applyAlignment="1">
      <alignment horizontal="center" vertical="top" wrapText="1"/>
    </xf>
    <xf numFmtId="4" fontId="4" fillId="3" borderId="5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top"/>
    </xf>
    <xf numFmtId="4" fontId="3" fillId="4" borderId="3" xfId="0" applyNumberFormat="1" applyFont="1" applyFill="1" applyBorder="1" applyAlignment="1">
      <alignment horizontal="right" vertical="center"/>
    </xf>
    <xf numFmtId="4" fontId="3" fillId="4" borderId="3" xfId="0" applyNumberFormat="1" applyFont="1" applyFill="1" applyBorder="1" applyAlignment="1">
      <alignment horizontal="right" vertical="top"/>
    </xf>
    <xf numFmtId="4" fontId="3" fillId="4" borderId="3" xfId="0" applyNumberFormat="1" applyFont="1" applyFill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4" fontId="2" fillId="3" borderId="5" xfId="0" applyNumberFormat="1" applyFont="1" applyFill="1" applyBorder="1" applyAlignment="1">
      <alignment horizontal="right" vertical="top"/>
    </xf>
    <xf numFmtId="4" fontId="1" fillId="0" borderId="3" xfId="0" applyNumberFormat="1" applyFont="1" applyBorder="1" applyAlignment="1">
      <alignment horizontal="right" vertical="top"/>
    </xf>
    <xf numFmtId="4" fontId="3" fillId="0" borderId="3" xfId="0" applyNumberFormat="1" applyFont="1" applyBorder="1" applyAlignment="1">
      <alignment vertical="top"/>
    </xf>
    <xf numFmtId="0" fontId="3" fillId="4" borderId="3" xfId="0" applyFont="1" applyFill="1" applyBorder="1" applyAlignment="1">
      <alignment vertical="top"/>
    </xf>
    <xf numFmtId="4" fontId="1" fillId="5" borderId="3" xfId="0" applyNumberFormat="1" applyFont="1" applyFill="1" applyBorder="1" applyAlignment="1">
      <alignment horizontal="right" vertical="top"/>
    </xf>
    <xf numFmtId="4" fontId="5" fillId="4" borderId="3" xfId="0" applyNumberFormat="1" applyFont="1" applyFill="1" applyBorder="1" applyAlignment="1">
      <alignment vertical="top"/>
    </xf>
    <xf numFmtId="0" fontId="4" fillId="4" borderId="3" xfId="0" applyFont="1" applyFill="1" applyBorder="1" applyAlignment="1">
      <alignment horizontal="left" vertical="center"/>
    </xf>
    <xf numFmtId="4" fontId="4" fillId="4" borderId="3" xfId="0" applyNumberFormat="1" applyFont="1" applyFill="1" applyBorder="1" applyAlignment="1">
      <alignment horizontal="right" vertical="top"/>
    </xf>
    <xf numFmtId="4" fontId="6" fillId="4" borderId="3" xfId="0" applyNumberFormat="1" applyFont="1" applyFill="1" applyBorder="1" applyAlignment="1">
      <alignment vertical="top"/>
    </xf>
    <xf numFmtId="4" fontId="7" fillId="5" borderId="3" xfId="0" applyNumberFormat="1" applyFont="1" applyFill="1" applyBorder="1" applyAlignment="1">
      <alignment horizontal="right" vertical="center"/>
    </xf>
    <xf numFmtId="4" fontId="8" fillId="4" borderId="3" xfId="0" applyNumberFormat="1" applyFont="1" applyFill="1" applyBorder="1" applyAlignment="1">
      <alignment vertical="top"/>
    </xf>
    <xf numFmtId="1" fontId="3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top"/>
    </xf>
    <xf numFmtId="0" fontId="3" fillId="6" borderId="3" xfId="0" applyFont="1" applyFill="1" applyBorder="1" applyAlignment="1">
      <alignment horizontal="center" vertical="center" wrapText="1"/>
    </xf>
    <xf numFmtId="4" fontId="1" fillId="7" borderId="3" xfId="0" applyNumberFormat="1" applyFont="1" applyFill="1" applyBorder="1" applyAlignment="1">
      <alignment vertical="top"/>
    </xf>
    <xf numFmtId="1" fontId="3" fillId="6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vertical="top"/>
    </xf>
    <xf numFmtId="4" fontId="4" fillId="8" borderId="3" xfId="0" applyNumberFormat="1" applyFont="1" applyFill="1" applyBorder="1" applyAlignment="1">
      <alignment horizontal="right" vertical="top"/>
    </xf>
    <xf numFmtId="0" fontId="4" fillId="4" borderId="3" xfId="0" applyFont="1" applyFill="1" applyBorder="1" applyAlignment="1">
      <alignment horizontal="left" vertical="top"/>
    </xf>
    <xf numFmtId="0" fontId="4" fillId="8" borderId="3" xfId="0" applyFont="1" applyFill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4" fontId="3" fillId="0" borderId="3" xfId="0" applyNumberFormat="1" applyFont="1" applyBorder="1" applyAlignment="1">
      <alignment horizontal="right" vertical="top"/>
    </xf>
    <xf numFmtId="0" fontId="4" fillId="4" borderId="3" xfId="0" applyFont="1" applyFill="1" applyBorder="1" applyAlignment="1">
      <alignment horizontal="left" vertical="center" wrapText="1"/>
    </xf>
    <xf numFmtId="4" fontId="4" fillId="4" borderId="3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right" wrapText="1"/>
    </xf>
    <xf numFmtId="0" fontId="1" fillId="5" borderId="3" xfId="0" applyFont="1" applyFill="1" applyBorder="1" applyAlignment="1">
      <alignment horizontal="right" vertical="center" wrapText="1"/>
    </xf>
    <xf numFmtId="4" fontId="2" fillId="9" borderId="3" xfId="0" applyNumberFormat="1" applyFont="1" applyFill="1" applyBorder="1" applyAlignment="1">
      <alignment horizontal="right" vertical="top"/>
    </xf>
    <xf numFmtId="0" fontId="4" fillId="3" borderId="5" xfId="0" applyFont="1" applyFill="1" applyBorder="1" applyAlignment="1">
      <alignment vertical="top"/>
    </xf>
    <xf numFmtId="4" fontId="1" fillId="7" borderId="3" xfId="0" applyNumberFormat="1" applyFont="1" applyFill="1" applyBorder="1" applyAlignment="1">
      <alignment horizontal="right" vertical="top"/>
    </xf>
    <xf numFmtId="4" fontId="1" fillId="10" borderId="3" xfId="0" applyNumberFormat="1" applyFont="1" applyFill="1" applyBorder="1" applyAlignment="1">
      <alignment horizontal="right" vertical="top"/>
    </xf>
    <xf numFmtId="4" fontId="2" fillId="0" borderId="3" xfId="0" applyNumberFormat="1" applyFont="1" applyBorder="1" applyAlignment="1">
      <alignment horizontal="right" vertical="top"/>
    </xf>
    <xf numFmtId="4" fontId="4" fillId="0" borderId="3" xfId="0" applyNumberFormat="1" applyFont="1" applyBorder="1" applyAlignment="1">
      <alignment horizontal="right" vertical="top"/>
    </xf>
    <xf numFmtId="4" fontId="2" fillId="0" borderId="3" xfId="0" applyNumberFormat="1" applyFont="1" applyBorder="1" applyAlignment="1">
      <alignment horizontal="right" vertical="top"/>
    </xf>
    <xf numFmtId="0" fontId="3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top"/>
    </xf>
    <xf numFmtId="4" fontId="6" fillId="0" borderId="3" xfId="0" applyNumberFormat="1" applyFont="1" applyBorder="1" applyAlignment="1">
      <alignment vertical="top"/>
    </xf>
    <xf numFmtId="4" fontId="4" fillId="4" borderId="3" xfId="0" applyNumberFormat="1" applyFont="1" applyFill="1" applyBorder="1" applyAlignment="1">
      <alignment horizontal="right" vertical="top"/>
    </xf>
    <xf numFmtId="4" fontId="3" fillId="7" borderId="3" xfId="0" applyNumberFormat="1" applyFont="1" applyFill="1" applyBorder="1" applyAlignment="1">
      <alignment horizontal="right" vertical="center"/>
    </xf>
    <xf numFmtId="4" fontId="4" fillId="4" borderId="3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right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 wrapText="1"/>
    </xf>
    <xf numFmtId="4" fontId="3" fillId="4" borderId="3" xfId="0" applyNumberFormat="1" applyFont="1" applyFill="1" applyBorder="1" applyAlignment="1">
      <alignment horizontal="right"/>
    </xf>
    <xf numFmtId="4" fontId="3" fillId="4" borderId="3" xfId="0" applyNumberFormat="1" applyFont="1" applyFill="1" applyBorder="1" applyAlignment="1">
      <alignment horizontal="right" vertical="center"/>
    </xf>
    <xf numFmtId="4" fontId="3" fillId="4" borderId="3" xfId="0" applyNumberFormat="1" applyFont="1" applyFill="1" applyBorder="1" applyAlignment="1"/>
    <xf numFmtId="0" fontId="3" fillId="3" borderId="5" xfId="0" applyFont="1" applyFill="1" applyBorder="1" applyAlignment="1">
      <alignment horizontal="center" vertical="top" wrapText="1"/>
    </xf>
    <xf numFmtId="4" fontId="4" fillId="4" borderId="3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 vertical="top" wrapText="1"/>
    </xf>
    <xf numFmtId="4" fontId="4" fillId="4" borderId="3" xfId="0" applyNumberFormat="1" applyFont="1" applyFill="1" applyBorder="1" applyAlignment="1"/>
    <xf numFmtId="4" fontId="4" fillId="4" borderId="3" xfId="0" applyNumberFormat="1" applyFont="1" applyFill="1" applyBorder="1" applyAlignment="1">
      <alignment horizontal="right" vertical="center"/>
    </xf>
    <xf numFmtId="4" fontId="4" fillId="4" borderId="3" xfId="0" applyNumberFormat="1" applyFont="1" applyFill="1" applyBorder="1" applyAlignment="1">
      <alignment horizontal="left"/>
    </xf>
    <xf numFmtId="4" fontId="9" fillId="7" borderId="3" xfId="0" applyNumberFormat="1" applyFont="1" applyFill="1" applyBorder="1" applyAlignment="1">
      <alignment horizontal="right" vertical="top"/>
    </xf>
    <xf numFmtId="4" fontId="1" fillId="11" borderId="3" xfId="0" applyNumberFormat="1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center" vertical="center" wrapText="1"/>
    </xf>
    <xf numFmtId="4" fontId="3" fillId="6" borderId="3" xfId="0" applyNumberFormat="1" applyFont="1" applyFill="1" applyBorder="1" applyAlignment="1">
      <alignment horizontal="center" vertical="center" wrapText="1"/>
    </xf>
    <xf numFmtId="4" fontId="4" fillId="8" borderId="5" xfId="0" applyNumberFormat="1" applyFont="1" applyFill="1" applyBorder="1" applyAlignment="1">
      <alignment horizontal="right" vertical="top"/>
    </xf>
    <xf numFmtId="4" fontId="4" fillId="8" borderId="6" xfId="0" applyNumberFormat="1" applyFont="1" applyFill="1" applyBorder="1" applyAlignment="1">
      <alignment vertical="top"/>
    </xf>
    <xf numFmtId="4" fontId="4" fillId="4" borderId="3" xfId="0" applyNumberFormat="1" applyFont="1" applyFill="1" applyBorder="1" applyAlignment="1">
      <alignment horizontal="right"/>
    </xf>
    <xf numFmtId="4" fontId="4" fillId="0" borderId="3" xfId="0" applyNumberFormat="1" applyFont="1" applyBorder="1" applyAlignment="1">
      <alignment vertical="top"/>
    </xf>
    <xf numFmtId="4" fontId="4" fillId="4" borderId="3" xfId="0" applyNumberFormat="1" applyFont="1" applyFill="1" applyBorder="1" applyAlignment="1"/>
    <xf numFmtId="0" fontId="4" fillId="0" borderId="3" xfId="0" applyFont="1" applyBorder="1" applyAlignment="1">
      <alignment vertical="top"/>
    </xf>
    <xf numFmtId="4" fontId="4" fillId="0" borderId="3" xfId="0" applyNumberFormat="1" applyFont="1" applyBorder="1" applyAlignment="1">
      <alignment vertical="top"/>
    </xf>
    <xf numFmtId="4" fontId="4" fillId="0" borderId="3" xfId="0" applyNumberFormat="1" applyFont="1" applyBorder="1" applyAlignment="1">
      <alignment horizontal="right" vertical="top"/>
    </xf>
    <xf numFmtId="0" fontId="3" fillId="12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1" fontId="3" fillId="12" borderId="3" xfId="0" applyNumberFormat="1" applyFont="1" applyFill="1" applyBorder="1" applyAlignment="1">
      <alignment horizontal="center" vertical="center" wrapText="1"/>
    </xf>
    <xf numFmtId="4" fontId="4" fillId="8" borderId="3" xfId="0" applyNumberFormat="1" applyFont="1" applyFill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 wrapText="1"/>
    </xf>
    <xf numFmtId="4" fontId="1" fillId="7" borderId="3" xfId="0" applyNumberFormat="1" applyFont="1" applyFill="1" applyBorder="1" applyAlignment="1">
      <alignment horizontal="right" vertical="center"/>
    </xf>
    <xf numFmtId="4" fontId="8" fillId="0" borderId="3" xfId="0" applyNumberFormat="1" applyFont="1" applyBorder="1" applyAlignment="1">
      <alignment vertical="top"/>
    </xf>
    <xf numFmtId="4" fontId="4" fillId="0" borderId="3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/>
    <xf numFmtId="4" fontId="3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wrapText="1"/>
    </xf>
    <xf numFmtId="4" fontId="4" fillId="13" borderId="3" xfId="0" applyNumberFormat="1" applyFont="1" applyFill="1" applyBorder="1" applyAlignment="1">
      <alignment horizontal="right" vertical="top"/>
    </xf>
    <xf numFmtId="4" fontId="4" fillId="0" borderId="0" xfId="0" applyNumberFormat="1" applyFont="1" applyAlignment="1">
      <alignment vertical="top"/>
    </xf>
    <xf numFmtId="4" fontId="3" fillId="13" borderId="3" xfId="0" applyNumberFormat="1" applyFont="1" applyFill="1" applyBorder="1" applyAlignment="1">
      <alignment horizontal="right" vertical="top"/>
    </xf>
    <xf numFmtId="4" fontId="3" fillId="7" borderId="3" xfId="0" applyNumberFormat="1" applyFont="1" applyFill="1" applyBorder="1" applyAlignment="1">
      <alignment horizontal="right" vertical="top"/>
    </xf>
    <xf numFmtId="4" fontId="3" fillId="4" borderId="3" xfId="0" applyNumberFormat="1" applyFont="1" applyFill="1" applyBorder="1" applyAlignment="1">
      <alignment vertical="center"/>
    </xf>
    <xf numFmtId="4" fontId="4" fillId="3" borderId="6" xfId="0" applyNumberFormat="1" applyFont="1" applyFill="1" applyBorder="1" applyAlignment="1">
      <alignment vertical="top"/>
    </xf>
    <xf numFmtId="4" fontId="4" fillId="8" borderId="7" xfId="0" applyNumberFormat="1" applyFont="1" applyFill="1" applyBorder="1" applyAlignment="1">
      <alignment vertical="top"/>
    </xf>
    <xf numFmtId="0" fontId="2" fillId="0" borderId="9" xfId="0" applyFont="1" applyBorder="1" applyAlignment="1">
      <alignment wrapText="1"/>
    </xf>
    <xf numFmtId="4" fontId="1" fillId="11" borderId="3" xfId="0" applyNumberFormat="1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left" vertical="center"/>
    </xf>
    <xf numFmtId="4" fontId="3" fillId="4" borderId="3" xfId="0" applyNumberFormat="1" applyFont="1" applyFill="1" applyBorder="1" applyAlignment="1">
      <alignment horizontal="right" vertical="top"/>
    </xf>
    <xf numFmtId="1" fontId="3" fillId="8" borderId="3" xfId="0" applyNumberFormat="1" applyFont="1" applyFill="1" applyBorder="1" applyAlignment="1">
      <alignment horizontal="center" vertical="top" wrapText="1"/>
    </xf>
    <xf numFmtId="4" fontId="1" fillId="4" borderId="3" xfId="0" applyNumberFormat="1" applyFont="1" applyFill="1" applyBorder="1" applyAlignment="1">
      <alignment vertical="top"/>
    </xf>
    <xf numFmtId="4" fontId="1" fillId="14" borderId="3" xfId="0" applyNumberFormat="1" applyFont="1" applyFill="1" applyBorder="1" applyAlignment="1">
      <alignment horizontal="right" vertical="top"/>
    </xf>
    <xf numFmtId="4" fontId="4" fillId="4" borderId="3" xfId="0" applyNumberFormat="1" applyFont="1" applyFill="1" applyBorder="1" applyAlignment="1">
      <alignment vertical="center"/>
    </xf>
    <xf numFmtId="4" fontId="3" fillId="0" borderId="3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center" wrapText="1"/>
    </xf>
    <xf numFmtId="4" fontId="1" fillId="13" borderId="3" xfId="0" applyNumberFormat="1" applyFont="1" applyFill="1" applyBorder="1" applyAlignment="1">
      <alignment horizontal="right" vertical="top"/>
    </xf>
    <xf numFmtId="4" fontId="4" fillId="3" borderId="6" xfId="0" applyNumberFormat="1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right"/>
    </xf>
    <xf numFmtId="4" fontId="1" fillId="14" borderId="3" xfId="0" applyNumberFormat="1" applyFont="1" applyFill="1" applyBorder="1" applyAlignment="1">
      <alignment horizontal="right"/>
    </xf>
    <xf numFmtId="4" fontId="3" fillId="10" borderId="3" xfId="0" applyNumberFormat="1" applyFont="1" applyFill="1" applyBorder="1" applyAlignment="1">
      <alignment horizontal="right" vertical="center"/>
    </xf>
    <xf numFmtId="0" fontId="3" fillId="15" borderId="3" xfId="0" applyFont="1" applyFill="1" applyBorder="1" applyAlignment="1">
      <alignment horizontal="center" vertical="top"/>
    </xf>
    <xf numFmtId="4" fontId="4" fillId="15" borderId="3" xfId="0" applyNumberFormat="1" applyFont="1" applyFill="1" applyBorder="1" applyAlignment="1">
      <alignment horizontal="right" vertical="center"/>
    </xf>
    <xf numFmtId="4" fontId="3" fillId="0" borderId="5" xfId="0" applyNumberFormat="1" applyFont="1" applyBorder="1" applyAlignment="1">
      <alignment vertical="top"/>
    </xf>
    <xf numFmtId="4" fontId="3" fillId="0" borderId="7" xfId="0" applyNumberFormat="1" applyFont="1" applyBorder="1" applyAlignment="1">
      <alignment vertical="top"/>
    </xf>
    <xf numFmtId="4" fontId="3" fillId="4" borderId="3" xfId="0" applyNumberFormat="1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4" fontId="4" fillId="0" borderId="4" xfId="0" applyNumberFormat="1" applyFont="1" applyBorder="1" applyAlignment="1">
      <alignment vertical="top"/>
    </xf>
    <xf numFmtId="4" fontId="3" fillId="10" borderId="3" xfId="0" applyNumberFormat="1" applyFont="1" applyFill="1" applyBorder="1" applyAlignment="1">
      <alignment horizontal="right" vertical="top"/>
    </xf>
    <xf numFmtId="0" fontId="4" fillId="0" borderId="11" xfId="0" applyFont="1" applyBorder="1" applyAlignment="1">
      <alignment vertical="top"/>
    </xf>
    <xf numFmtId="4" fontId="4" fillId="15" borderId="3" xfId="0" applyNumberFormat="1" applyFont="1" applyFill="1" applyBorder="1" applyAlignment="1">
      <alignment horizontal="right" vertical="top"/>
    </xf>
    <xf numFmtId="0" fontId="3" fillId="0" borderId="3" xfId="0" applyFont="1" applyBorder="1" applyAlignment="1">
      <alignment horizontal="left" vertical="center"/>
    </xf>
    <xf numFmtId="4" fontId="1" fillId="12" borderId="3" xfId="0" applyNumberFormat="1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4" fontId="4" fillId="15" borderId="3" xfId="0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4" fontId="9" fillId="6" borderId="3" xfId="0" applyNumberFormat="1" applyFont="1" applyFill="1" applyBorder="1" applyAlignment="1">
      <alignment vertical="top"/>
    </xf>
    <xf numFmtId="4" fontId="1" fillId="7" borderId="3" xfId="0" applyNumberFormat="1" applyFont="1" applyFill="1" applyBorder="1" applyAlignment="1">
      <alignment horizontal="right" vertical="top"/>
    </xf>
    <xf numFmtId="0" fontId="4" fillId="0" borderId="2" xfId="0" applyFont="1" applyBorder="1" applyAlignment="1">
      <alignment horizontal="center" vertical="top"/>
    </xf>
    <xf numFmtId="4" fontId="3" fillId="10" borderId="3" xfId="0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4" fontId="8" fillId="0" borderId="3" xfId="0" applyNumberFormat="1" applyFont="1" applyBorder="1" applyAlignment="1">
      <alignment horizontal="right" vertical="top"/>
    </xf>
    <xf numFmtId="4" fontId="9" fillId="16" borderId="3" xfId="0" applyNumberFormat="1" applyFont="1" applyFill="1" applyBorder="1" applyAlignment="1">
      <alignment vertical="top"/>
    </xf>
    <xf numFmtId="4" fontId="9" fillId="4" borderId="3" xfId="0" applyNumberFormat="1" applyFont="1" applyFill="1" applyBorder="1" applyAlignment="1">
      <alignment vertical="top"/>
    </xf>
    <xf numFmtId="4" fontId="3" fillId="5" borderId="3" xfId="0" applyNumberFormat="1" applyFont="1" applyFill="1" applyBorder="1" applyAlignment="1">
      <alignment horizontal="right" vertical="top"/>
    </xf>
    <xf numFmtId="4" fontId="3" fillId="4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vertical="center"/>
    </xf>
    <xf numFmtId="4" fontId="3" fillId="4" borderId="3" xfId="0" applyNumberFormat="1" applyFont="1" applyFill="1" applyBorder="1" applyAlignment="1">
      <alignment wrapText="1"/>
    </xf>
    <xf numFmtId="4" fontId="4" fillId="4" borderId="3" xfId="0" applyNumberFormat="1" applyFont="1" applyFill="1" applyBorder="1" applyAlignment="1">
      <alignment horizontal="left" vertical="center" wrapText="1"/>
    </xf>
    <xf numFmtId="0" fontId="4" fillId="15" borderId="3" xfId="0" applyFont="1" applyFill="1" applyBorder="1" applyAlignment="1">
      <alignment vertical="top"/>
    </xf>
    <xf numFmtId="0" fontId="2" fillId="0" borderId="12" xfId="0" applyFont="1" applyBorder="1" applyAlignment="1">
      <alignment wrapText="1"/>
    </xf>
    <xf numFmtId="4" fontId="4" fillId="0" borderId="12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4" fontId="1" fillId="0" borderId="3" xfId="0" applyNumberFormat="1" applyFont="1" applyBorder="1" applyAlignment="1">
      <alignment horizontal="right" vertical="center"/>
    </xf>
    <xf numFmtId="4" fontId="8" fillId="4" borderId="3" xfId="0" applyNumberFormat="1" applyFont="1" applyFill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8" fillId="4" borderId="3" xfId="0" applyNumberFormat="1" applyFont="1" applyFill="1" applyBorder="1" applyAlignment="1">
      <alignment horizontal="right" vertical="top"/>
    </xf>
    <xf numFmtId="4" fontId="2" fillId="0" borderId="3" xfId="0" applyNumberFormat="1" applyFont="1" applyBorder="1" applyAlignment="1">
      <alignment horizontal="right" vertical="center"/>
    </xf>
    <xf numFmtId="4" fontId="4" fillId="4" borderId="3" xfId="0" applyNumberFormat="1" applyFont="1" applyFill="1" applyBorder="1" applyAlignment="1">
      <alignment wrapText="1"/>
    </xf>
    <xf numFmtId="4" fontId="4" fillId="4" borderId="3" xfId="0" applyNumberFormat="1" applyFont="1" applyFill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4" fontId="4" fillId="0" borderId="3" xfId="0" applyNumberFormat="1" applyFont="1" applyBorder="1" applyAlignment="1">
      <alignment horizontal="right"/>
    </xf>
    <xf numFmtId="4" fontId="4" fillId="4" borderId="3" xfId="0" applyNumberFormat="1" applyFont="1" applyFill="1" applyBorder="1" applyAlignment="1">
      <alignment wrapText="1"/>
    </xf>
    <xf numFmtId="4" fontId="1" fillId="5" borderId="3" xfId="0" applyNumberFormat="1" applyFont="1" applyFill="1" applyBorder="1" applyAlignment="1">
      <alignment vertical="top"/>
    </xf>
    <xf numFmtId="0" fontId="10" fillId="4" borderId="3" xfId="0" applyFont="1" applyFill="1" applyBorder="1" applyAlignment="1">
      <alignment vertical="top"/>
    </xf>
    <xf numFmtId="4" fontId="11" fillId="17" borderId="3" xfId="0" applyNumberFormat="1" applyFont="1" applyFill="1" applyBorder="1" applyAlignment="1">
      <alignment horizontal="right" vertical="center"/>
    </xf>
    <xf numFmtId="4" fontId="3" fillId="4" borderId="3" xfId="0" applyNumberFormat="1" applyFont="1" applyFill="1" applyBorder="1" applyAlignment="1">
      <alignment vertical="center" wrapText="1"/>
    </xf>
    <xf numFmtId="4" fontId="3" fillId="18" borderId="3" xfId="0" applyNumberFormat="1" applyFont="1" applyFill="1" applyBorder="1" applyAlignment="1">
      <alignment vertical="top"/>
    </xf>
    <xf numFmtId="4" fontId="4" fillId="13" borderId="3" xfId="0" applyNumberFormat="1" applyFont="1" applyFill="1" applyBorder="1" applyAlignment="1">
      <alignment horizontal="right"/>
    </xf>
    <xf numFmtId="4" fontId="3" fillId="7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right"/>
    </xf>
    <xf numFmtId="4" fontId="3" fillId="4" borderId="3" xfId="0" applyNumberFormat="1" applyFont="1" applyFill="1" applyBorder="1" applyAlignment="1">
      <alignment vertical="center"/>
    </xf>
    <xf numFmtId="4" fontId="1" fillId="14" borderId="3" xfId="0" applyNumberFormat="1" applyFont="1" applyFill="1" applyBorder="1" applyAlignment="1">
      <alignment vertical="top"/>
    </xf>
    <xf numFmtId="4" fontId="12" fillId="4" borderId="3" xfId="0" applyNumberFormat="1" applyFont="1" applyFill="1" applyBorder="1" applyAlignment="1">
      <alignment vertical="top"/>
    </xf>
    <xf numFmtId="4" fontId="9" fillId="7" borderId="3" xfId="0" applyNumberFormat="1" applyFont="1" applyFill="1" applyBorder="1" applyAlignment="1">
      <alignment vertical="top"/>
    </xf>
    <xf numFmtId="4" fontId="3" fillId="11" borderId="3" xfId="0" applyNumberFormat="1" applyFont="1" applyFill="1" applyBorder="1" applyAlignment="1">
      <alignment horizontal="right" vertical="top"/>
    </xf>
    <xf numFmtId="4" fontId="4" fillId="0" borderId="1" xfId="0" applyNumberFormat="1" applyFont="1" applyBorder="1" applyAlignment="1">
      <alignment vertical="top"/>
    </xf>
    <xf numFmtId="0" fontId="13" fillId="0" borderId="3" xfId="0" applyFont="1" applyBorder="1" applyAlignment="1">
      <alignment vertical="center"/>
    </xf>
    <xf numFmtId="4" fontId="4" fillId="0" borderId="3" xfId="0" applyNumberFormat="1" applyFont="1" applyBorder="1" applyAlignment="1"/>
    <xf numFmtId="0" fontId="14" fillId="0" borderId="3" xfId="0" applyFont="1" applyBorder="1" applyAlignment="1">
      <alignment horizontal="left" vertical="center" wrapText="1"/>
    </xf>
    <xf numFmtId="4" fontId="3" fillId="13" borderId="3" xfId="0" applyNumberFormat="1" applyFont="1" applyFill="1" applyBorder="1" applyAlignment="1">
      <alignment horizontal="right" vertical="top"/>
    </xf>
    <xf numFmtId="4" fontId="4" fillId="8" borderId="3" xfId="0" applyNumberFormat="1" applyFont="1" applyFill="1" applyBorder="1" applyAlignment="1">
      <alignment vertical="top"/>
    </xf>
    <xf numFmtId="4" fontId="4" fillId="13" borderId="3" xfId="0" applyNumberFormat="1" applyFont="1" applyFill="1" applyBorder="1" applyAlignment="1">
      <alignment horizontal="right"/>
    </xf>
    <xf numFmtId="4" fontId="4" fillId="13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top"/>
    </xf>
    <xf numFmtId="4" fontId="13" fillId="0" borderId="3" xfId="0" applyNumberFormat="1" applyFont="1" applyBorder="1" applyAlignment="1">
      <alignment horizontal="center" vertical="center"/>
    </xf>
    <xf numFmtId="4" fontId="13" fillId="0" borderId="3" xfId="0" applyNumberFormat="1" applyFont="1" applyBorder="1" applyAlignment="1">
      <alignment horizontal="center" vertical="center"/>
    </xf>
    <xf numFmtId="4" fontId="3" fillId="7" borderId="3" xfId="0" applyNumberFormat="1" applyFont="1" applyFill="1" applyBorder="1" applyAlignment="1">
      <alignment vertical="top"/>
    </xf>
    <xf numFmtId="0" fontId="2" fillId="0" borderId="2" xfId="0" applyFont="1" applyBorder="1" applyAlignment="1">
      <alignment vertical="center" wrapText="1"/>
    </xf>
    <xf numFmtId="4" fontId="4" fillId="0" borderId="3" xfId="0" applyNumberFormat="1" applyFont="1" applyBorder="1" applyAlignment="1">
      <alignment vertical="center"/>
    </xf>
    <xf numFmtId="4" fontId="12" fillId="0" borderId="3" xfId="0" applyNumberFormat="1" applyFont="1" applyBorder="1" applyAlignment="1">
      <alignment vertical="top"/>
    </xf>
    <xf numFmtId="4" fontId="1" fillId="11" borderId="3" xfId="0" applyNumberFormat="1" applyFont="1" applyFill="1" applyBorder="1" applyAlignment="1">
      <alignment vertical="top"/>
    </xf>
    <xf numFmtId="4" fontId="4" fillId="13" borderId="3" xfId="0" applyNumberFormat="1" applyFont="1" applyFill="1" applyBorder="1" applyAlignment="1">
      <alignment vertical="top"/>
    </xf>
    <xf numFmtId="0" fontId="15" fillId="0" borderId="3" xfId="0" applyFont="1" applyBorder="1" applyAlignment="1">
      <alignment vertical="center"/>
    </xf>
    <xf numFmtId="4" fontId="3" fillId="13" borderId="3" xfId="0" applyNumberFormat="1" applyFont="1" applyFill="1" applyBorder="1" applyAlignment="1">
      <alignment vertical="center" wrapText="1"/>
    </xf>
    <xf numFmtId="4" fontId="3" fillId="13" borderId="3" xfId="0" applyNumberFormat="1" applyFont="1" applyFill="1" applyBorder="1" applyAlignment="1">
      <alignment horizontal="right"/>
    </xf>
    <xf numFmtId="4" fontId="1" fillId="7" borderId="3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vertical="center" wrapText="1"/>
    </xf>
    <xf numFmtId="4" fontId="4" fillId="13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wrapText="1"/>
    </xf>
    <xf numFmtId="4" fontId="2" fillId="13" borderId="3" xfId="0" applyNumberFormat="1" applyFont="1" applyFill="1" applyBorder="1" applyAlignment="1">
      <alignment horizontal="center" vertical="center" wrapText="1"/>
    </xf>
    <xf numFmtId="4" fontId="3" fillId="4" borderId="3" xfId="0" applyNumberFormat="1" applyFont="1" applyFill="1" applyBorder="1" applyAlignment="1"/>
    <xf numFmtId="4" fontId="3" fillId="4" borderId="3" xfId="0" applyNumberFormat="1" applyFont="1" applyFill="1" applyBorder="1" applyAlignment="1">
      <alignment wrapText="1"/>
    </xf>
    <xf numFmtId="4" fontId="3" fillId="4" borderId="3" xfId="0" applyNumberFormat="1" applyFont="1" applyFill="1" applyBorder="1" applyAlignment="1">
      <alignment horizontal="right" wrapText="1"/>
    </xf>
    <xf numFmtId="4" fontId="4" fillId="0" borderId="3" xfId="0" applyNumberFormat="1" applyFont="1" applyBorder="1" applyAlignment="1"/>
    <xf numFmtId="4" fontId="1" fillId="10" borderId="3" xfId="0" applyNumberFormat="1" applyFont="1" applyFill="1" applyBorder="1" applyAlignment="1">
      <alignment horizontal="right" vertical="top"/>
    </xf>
    <xf numFmtId="4" fontId="1" fillId="11" borderId="3" xfId="0" applyNumberFormat="1" applyFont="1" applyFill="1" applyBorder="1" applyAlignment="1">
      <alignment vertical="top"/>
    </xf>
    <xf numFmtId="4" fontId="3" fillId="7" borderId="3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vertical="top"/>
    </xf>
    <xf numFmtId="0" fontId="4" fillId="0" borderId="0" xfId="0" applyFont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4" fontId="3" fillId="7" borderId="3" xfId="0" applyNumberFormat="1" applyFont="1" applyFill="1" applyBorder="1" applyAlignment="1">
      <alignment vertical="top"/>
    </xf>
    <xf numFmtId="0" fontId="16" fillId="0" borderId="3" xfId="0" applyFont="1" applyBorder="1" applyAlignment="1">
      <alignment horizontal="left" vertical="center"/>
    </xf>
    <xf numFmtId="4" fontId="3" fillId="7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vertical="top"/>
    </xf>
    <xf numFmtId="4" fontId="3" fillId="13" borderId="3" xfId="0" applyNumberFormat="1" applyFont="1" applyFill="1" applyBorder="1" applyAlignment="1"/>
    <xf numFmtId="0" fontId="4" fillId="0" borderId="4" xfId="0" applyFont="1" applyBorder="1" applyAlignment="1">
      <alignment vertical="top"/>
    </xf>
    <xf numFmtId="0" fontId="14" fillId="0" borderId="3" xfId="0" applyFont="1" applyBorder="1" applyAlignment="1">
      <alignment horizontal="left" vertical="center"/>
    </xf>
    <xf numFmtId="4" fontId="7" fillId="5" borderId="3" xfId="0" applyNumberFormat="1" applyFont="1" applyFill="1" applyBorder="1" applyAlignment="1">
      <alignment horizontal="right" vertical="top"/>
    </xf>
    <xf numFmtId="4" fontId="17" fillId="4" borderId="3" xfId="0" applyNumberFormat="1" applyFont="1" applyFill="1" applyBorder="1" applyAlignment="1">
      <alignment vertical="top"/>
    </xf>
    <xf numFmtId="4" fontId="3" fillId="0" borderId="3" xfId="0" applyNumberFormat="1" applyFont="1" applyBorder="1" applyAlignment="1">
      <alignment horizontal="center" vertical="center"/>
    </xf>
    <xf numFmtId="4" fontId="9" fillId="13" borderId="3" xfId="0" applyNumberFormat="1" applyFont="1" applyFill="1" applyBorder="1" applyAlignment="1">
      <alignment vertical="top"/>
    </xf>
    <xf numFmtId="4" fontId="18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13" fillId="0" borderId="3" xfId="0" applyFont="1" applyBorder="1" applyAlignment="1">
      <alignment vertical="top"/>
    </xf>
    <xf numFmtId="4" fontId="3" fillId="4" borderId="3" xfId="0" applyNumberFormat="1" applyFont="1" applyFill="1" applyBorder="1" applyAlignment="1">
      <alignment vertical="center" wrapText="1"/>
    </xf>
    <xf numFmtId="4" fontId="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" fontId="14" fillId="0" borderId="3" xfId="0" applyNumberFormat="1" applyFont="1" applyBorder="1" applyAlignment="1">
      <alignment horizontal="center" vertical="center"/>
    </xf>
    <xf numFmtId="4" fontId="4" fillId="4" borderId="3" xfId="0" applyNumberFormat="1" applyFont="1" applyFill="1" applyBorder="1" applyAlignment="1">
      <alignment vertical="center"/>
    </xf>
    <xf numFmtId="4" fontId="2" fillId="8" borderId="3" xfId="0" applyNumberFormat="1" applyFont="1" applyFill="1" applyBorder="1" applyAlignment="1">
      <alignment horizontal="right" vertical="top"/>
    </xf>
    <xf numFmtId="4" fontId="20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4" fontId="14" fillId="0" borderId="3" xfId="0" applyNumberFormat="1" applyFont="1" applyBorder="1" applyAlignment="1">
      <alignment horizontal="right"/>
    </xf>
    <xf numFmtId="4" fontId="1" fillId="7" borderId="3" xfId="0" applyNumberFormat="1" applyFont="1" applyFill="1" applyBorder="1" applyAlignment="1"/>
    <xf numFmtId="4" fontId="21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top"/>
    </xf>
    <xf numFmtId="4" fontId="11" fillId="17" borderId="3" xfId="0" applyNumberFormat="1" applyFont="1" applyFill="1" applyBorder="1" applyAlignment="1">
      <alignment vertical="center"/>
    </xf>
    <xf numFmtId="4" fontId="2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4" fontId="3" fillId="4" borderId="3" xfId="0" applyNumberFormat="1" applyFont="1" applyFill="1" applyBorder="1" applyAlignment="1">
      <alignment horizontal="left" vertical="center" wrapText="1"/>
    </xf>
    <xf numFmtId="4" fontId="4" fillId="4" borderId="10" xfId="0" applyNumberFormat="1" applyFont="1" applyFill="1" applyBorder="1" applyAlignment="1">
      <alignment horizontal="left" vertical="center" wrapText="1"/>
    </xf>
    <xf numFmtId="4" fontId="3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4" fontId="23" fillId="4" borderId="3" xfId="0" applyNumberFormat="1" applyFont="1" applyFill="1" applyBorder="1" applyAlignment="1">
      <alignment horizontal="right"/>
    </xf>
    <xf numFmtId="4" fontId="23" fillId="0" borderId="3" xfId="0" applyNumberFormat="1" applyFont="1" applyBorder="1" applyAlignment="1">
      <alignment horizontal="right"/>
    </xf>
    <xf numFmtId="0" fontId="14" fillId="0" borderId="3" xfId="0" applyFont="1" applyBorder="1" applyAlignment="1">
      <alignment vertical="center"/>
    </xf>
    <xf numFmtId="4" fontId="3" fillId="13" borderId="3" xfId="0" applyNumberFormat="1" applyFont="1" applyFill="1" applyBorder="1" applyAlignment="1">
      <alignment horizontal="right" vertical="center"/>
    </xf>
    <xf numFmtId="4" fontId="9" fillId="13" borderId="3" xfId="0" applyNumberFormat="1" applyFont="1" applyFill="1" applyBorder="1" applyAlignment="1">
      <alignment vertical="top"/>
    </xf>
    <xf numFmtId="4" fontId="4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vertical="center" wrapText="1"/>
    </xf>
    <xf numFmtId="4" fontId="3" fillId="4" borderId="3" xfId="0" applyNumberFormat="1" applyFont="1" applyFill="1" applyBorder="1" applyAlignment="1">
      <alignment horizontal="right" vertical="center" wrapText="1"/>
    </xf>
    <xf numFmtId="4" fontId="3" fillId="0" borderId="3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wrapText="1"/>
    </xf>
    <xf numFmtId="0" fontId="10" fillId="4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4" fontId="20" fillId="0" borderId="3" xfId="0" applyNumberFormat="1" applyFont="1" applyBorder="1" applyAlignment="1"/>
    <xf numFmtId="0" fontId="22" fillId="0" borderId="3" xfId="0" applyFont="1" applyBorder="1" applyAlignment="1">
      <alignment vertical="center"/>
    </xf>
    <xf numFmtId="4" fontId="20" fillId="0" borderId="3" xfId="0" applyNumberFormat="1" applyFont="1" applyBorder="1" applyAlignment="1">
      <alignment horizontal="right"/>
    </xf>
    <xf numFmtId="0" fontId="22" fillId="0" borderId="3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4" fontId="15" fillId="0" borderId="3" xfId="0" applyNumberFormat="1" applyFont="1" applyBorder="1" applyAlignment="1">
      <alignment horizontal="center" vertical="center"/>
    </xf>
    <xf numFmtId="0" fontId="3" fillId="15" borderId="3" xfId="0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vertical="top"/>
    </xf>
    <xf numFmtId="4" fontId="3" fillId="0" borderId="3" xfId="0" applyNumberFormat="1" applyFont="1" applyBorder="1" applyAlignment="1">
      <alignment vertical="center" wrapText="1"/>
    </xf>
    <xf numFmtId="4" fontId="4" fillId="0" borderId="3" xfId="0" applyNumberFormat="1" applyFont="1" applyBorder="1" applyAlignment="1">
      <alignment horizontal="left" vertical="center" wrapText="1"/>
    </xf>
    <xf numFmtId="4" fontId="24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/>
    </xf>
    <xf numFmtId="4" fontId="25" fillId="0" borderId="3" xfId="0" applyNumberFormat="1" applyFont="1" applyBorder="1" applyAlignment="1">
      <alignment horizontal="center" vertical="center"/>
    </xf>
    <xf numFmtId="4" fontId="26" fillId="0" borderId="3" xfId="0" applyNumberFormat="1" applyFont="1" applyBorder="1" applyAlignment="1">
      <alignment horizontal="center" vertical="center"/>
    </xf>
    <xf numFmtId="4" fontId="27" fillId="0" borderId="3" xfId="0" applyNumberFormat="1" applyFont="1" applyBorder="1" applyAlignment="1">
      <alignment horizontal="center" vertical="center"/>
    </xf>
    <xf numFmtId="4" fontId="4" fillId="13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/>
    </xf>
    <xf numFmtId="4" fontId="7" fillId="20" borderId="3" xfId="0" applyNumberFormat="1" applyFont="1" applyFill="1" applyBorder="1" applyAlignment="1">
      <alignment horizontal="right" vertical="center"/>
    </xf>
    <xf numFmtId="4" fontId="3" fillId="7" borderId="3" xfId="0" applyNumberFormat="1" applyFont="1" applyFill="1" applyBorder="1" applyAlignment="1">
      <alignment horizontal="center" vertical="center"/>
    </xf>
    <xf numFmtId="4" fontId="7" fillId="5" borderId="3" xfId="0" applyNumberFormat="1" applyFont="1" applyFill="1" applyBorder="1" applyAlignment="1">
      <alignment vertical="center"/>
    </xf>
    <xf numFmtId="4" fontId="13" fillId="7" borderId="3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4" fontId="1" fillId="0" borderId="3" xfId="0" applyNumberFormat="1" applyFont="1" applyBorder="1" applyAlignment="1">
      <alignment horizontal="right"/>
    </xf>
    <xf numFmtId="4" fontId="3" fillId="19" borderId="3" xfId="0" applyNumberFormat="1" applyFont="1" applyFill="1" applyBorder="1" applyAlignment="1"/>
    <xf numFmtId="4" fontId="3" fillId="14" borderId="3" xfId="0" applyNumberFormat="1" applyFont="1" applyFill="1" applyBorder="1" applyAlignment="1">
      <alignment vertical="top"/>
    </xf>
    <xf numFmtId="4" fontId="4" fillId="19" borderId="3" xfId="0" applyNumberFormat="1" applyFont="1" applyFill="1" applyBorder="1" applyAlignment="1"/>
    <xf numFmtId="4" fontId="2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4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4" fontId="4" fillId="4" borderId="3" xfId="0" applyNumberFormat="1" applyFont="1" applyFill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1" fillId="10" borderId="3" xfId="0" applyNumberFormat="1" applyFont="1" applyFill="1" applyBorder="1" applyAlignment="1">
      <alignment horizontal="right"/>
    </xf>
    <xf numFmtId="4" fontId="17" fillId="0" borderId="3" xfId="0" applyNumberFormat="1" applyFont="1" applyBorder="1" applyAlignment="1">
      <alignment vertical="top"/>
    </xf>
    <xf numFmtId="4" fontId="7" fillId="10" borderId="3" xfId="0" applyNumberFormat="1" applyFont="1" applyFill="1" applyBorder="1" applyAlignment="1">
      <alignment horizontal="right" vertical="top"/>
    </xf>
    <xf numFmtId="0" fontId="1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 vertical="center" wrapText="1"/>
    </xf>
    <xf numFmtId="4" fontId="7" fillId="14" borderId="3" xfId="0" applyNumberFormat="1" applyFont="1" applyFill="1" applyBorder="1" applyAlignment="1"/>
    <xf numFmtId="4" fontId="8" fillId="4" borderId="3" xfId="0" applyNumberFormat="1" applyFont="1" applyFill="1" applyBorder="1" applyAlignment="1"/>
    <xf numFmtId="4" fontId="4" fillId="4" borderId="11" xfId="0" applyNumberFormat="1" applyFont="1" applyFill="1" applyBorder="1" applyAlignment="1">
      <alignment wrapText="1"/>
    </xf>
    <xf numFmtId="4" fontId="4" fillId="0" borderId="3" xfId="0" applyNumberFormat="1" applyFont="1" applyBorder="1" applyAlignment="1">
      <alignment horizontal="right" wrapText="1"/>
    </xf>
    <xf numFmtId="4" fontId="3" fillId="10" borderId="3" xfId="0" applyNumberFormat="1" applyFont="1" applyFill="1" applyBorder="1" applyAlignment="1"/>
    <xf numFmtId="0" fontId="2" fillId="0" borderId="12" xfId="0" applyFont="1" applyBorder="1" applyAlignment="1">
      <alignment horizontal="right" wrapText="1"/>
    </xf>
    <xf numFmtId="4" fontId="3" fillId="17" borderId="3" xfId="0" applyNumberFormat="1" applyFont="1" applyFill="1" applyBorder="1" applyAlignment="1">
      <alignment vertical="top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wrapText="1"/>
    </xf>
    <xf numFmtId="0" fontId="4" fillId="4" borderId="3" xfId="0" applyFont="1" applyFill="1" applyBorder="1" applyAlignment="1">
      <alignment horizontal="right"/>
    </xf>
    <xf numFmtId="4" fontId="3" fillId="5" borderId="3" xfId="0" applyNumberFormat="1" applyFont="1" applyFill="1" applyBorder="1" applyAlignment="1">
      <alignment horizontal="right" vertical="center"/>
    </xf>
    <xf numFmtId="0" fontId="4" fillId="15" borderId="3" xfId="0" applyFont="1" applyFill="1" applyBorder="1" applyAlignment="1">
      <alignment horizontal="right"/>
    </xf>
    <xf numFmtId="4" fontId="28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/>
    </xf>
    <xf numFmtId="0" fontId="14" fillId="0" borderId="3" xfId="0" applyFont="1" applyBorder="1" applyAlignment="1"/>
    <xf numFmtId="4" fontId="2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vertical="center"/>
    </xf>
    <xf numFmtId="4" fontId="2" fillId="19" borderId="3" xfId="0" applyNumberFormat="1" applyFont="1" applyFill="1" applyBorder="1" applyAlignment="1">
      <alignment horizontal="right"/>
    </xf>
    <xf numFmtId="4" fontId="20" fillId="10" borderId="3" xfId="0" applyNumberFormat="1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vertical="top"/>
    </xf>
    <xf numFmtId="4" fontId="3" fillId="0" borderId="0" xfId="0" applyNumberFormat="1" applyFont="1" applyAlignment="1">
      <alignment horizontal="center" vertical="center"/>
    </xf>
    <xf numFmtId="4" fontId="4" fillId="19" borderId="3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/>
    <xf numFmtId="0" fontId="4" fillId="0" borderId="3" xfId="0" applyFont="1" applyBorder="1" applyAlignment="1">
      <alignment vertical="center"/>
    </xf>
    <xf numFmtId="4" fontId="2" fillId="0" borderId="3" xfId="0" applyNumberFormat="1" applyFont="1" applyBorder="1" applyAlignment="1"/>
    <xf numFmtId="4" fontId="16" fillId="0" borderId="3" xfId="0" applyNumberFormat="1" applyFont="1" applyBorder="1" applyAlignment="1">
      <alignment horizontal="center" vertical="center"/>
    </xf>
    <xf numFmtId="4" fontId="3" fillId="19" borderId="3" xfId="0" applyNumberFormat="1" applyFont="1" applyFill="1" applyBorder="1" applyAlignment="1">
      <alignment vertical="top"/>
    </xf>
    <xf numFmtId="4" fontId="29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4" fontId="2" fillId="15" borderId="3" xfId="0" applyNumberFormat="1" applyFont="1" applyFill="1" applyBorder="1" applyAlignment="1">
      <alignment horizontal="right" vertical="top"/>
    </xf>
    <xf numFmtId="0" fontId="4" fillId="0" borderId="3" xfId="0" applyFont="1" applyBorder="1" applyAlignment="1">
      <alignment vertical="center"/>
    </xf>
    <xf numFmtId="4" fontId="1" fillId="7" borderId="3" xfId="0" applyNumberFormat="1" applyFont="1" applyFill="1" applyBorder="1" applyAlignment="1">
      <alignment vertical="top"/>
    </xf>
    <xf numFmtId="4" fontId="2" fillId="4" borderId="3" xfId="0" applyNumberFormat="1" applyFont="1" applyFill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4" fontId="2" fillId="4" borderId="3" xfId="0" applyNumberFormat="1" applyFont="1" applyFill="1" applyBorder="1" applyAlignment="1">
      <alignment vertical="top"/>
    </xf>
    <xf numFmtId="4" fontId="4" fillId="19" borderId="3" xfId="0" applyNumberFormat="1" applyFont="1" applyFill="1" applyBorder="1" applyAlignment="1">
      <alignment vertical="top"/>
    </xf>
    <xf numFmtId="4" fontId="2" fillId="4" borderId="3" xfId="0" applyNumberFormat="1" applyFont="1" applyFill="1" applyBorder="1" applyAlignment="1">
      <alignment horizontal="right" vertical="top"/>
    </xf>
    <xf numFmtId="4" fontId="1" fillId="4" borderId="3" xfId="0" applyNumberFormat="1" applyFont="1" applyFill="1" applyBorder="1" applyAlignment="1">
      <alignment horizontal="right" vertical="top"/>
    </xf>
    <xf numFmtId="4" fontId="1" fillId="4" borderId="3" xfId="0" applyNumberFormat="1" applyFont="1" applyFill="1" applyBorder="1" applyAlignment="1">
      <alignment horizontal="right" vertical="center"/>
    </xf>
    <xf numFmtId="4" fontId="1" fillId="4" borderId="3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left" vertical="center" wrapText="1"/>
    </xf>
    <xf numFmtId="4" fontId="1" fillId="4" borderId="3" xfId="0" applyNumberFormat="1" applyFont="1" applyFill="1" applyBorder="1" applyAlignment="1">
      <alignment horizontal="right" vertical="top"/>
    </xf>
    <xf numFmtId="4" fontId="3" fillId="10" borderId="3" xfId="0" applyNumberFormat="1" applyFont="1" applyFill="1" applyBorder="1" applyAlignment="1">
      <alignment vertical="top"/>
    </xf>
    <xf numFmtId="4" fontId="2" fillId="4" borderId="3" xfId="0" applyNumberFormat="1" applyFont="1" applyFill="1" applyBorder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wrapText="1"/>
    </xf>
    <xf numFmtId="4" fontId="30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4" fontId="2" fillId="0" borderId="0" xfId="0" applyNumberFormat="1" applyFont="1" applyFill="1" applyAlignment="1">
      <alignment horizontal="left" wrapText="1"/>
    </xf>
    <xf numFmtId="4" fontId="1" fillId="0" borderId="0" xfId="0" applyNumberFormat="1" applyFont="1" applyFill="1" applyAlignment="1">
      <alignment horizontal="center" wrapText="1"/>
    </xf>
    <xf numFmtId="4" fontId="4" fillId="0" borderId="0" xfId="0" applyNumberFormat="1" applyFont="1" applyFill="1" applyAlignment="1">
      <alignment horizontal="center" vertical="top"/>
    </xf>
    <xf numFmtId="4" fontId="2" fillId="0" borderId="0" xfId="0" applyNumberFormat="1" applyFont="1" applyFill="1" applyAlignment="1">
      <alignment horizontal="center" wrapText="1"/>
    </xf>
    <xf numFmtId="4" fontId="3" fillId="0" borderId="0" xfId="0" applyNumberFormat="1" applyFont="1" applyFill="1" applyAlignment="1">
      <alignment horizontal="center" vertical="top"/>
    </xf>
    <xf numFmtId="4" fontId="4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top"/>
    </xf>
    <xf numFmtId="4" fontId="3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center" vertical="top"/>
    </xf>
    <xf numFmtId="4" fontId="4" fillId="0" borderId="1" xfId="0" applyNumberFormat="1" applyFont="1" applyFill="1" applyBorder="1" applyAlignment="1">
      <alignment horizontal="center" vertical="top"/>
    </xf>
    <xf numFmtId="4" fontId="3" fillId="0" borderId="1" xfId="0" applyNumberFormat="1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wrapText="1"/>
    </xf>
    <xf numFmtId="4" fontId="7" fillId="0" borderId="1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Alignment="1">
      <alignment horizontal="left" vertical="center" wrapText="1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1" fillId="0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wrapText="1"/>
    </xf>
    <xf numFmtId="4" fontId="3" fillId="0" borderId="0" xfId="0" applyNumberFormat="1" applyFont="1" applyFill="1" applyAlignment="1">
      <alignment horizontal="center" wrapText="1"/>
    </xf>
    <xf numFmtId="4" fontId="1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Fill="1" applyBorder="1" applyAlignment="1">
      <alignment horizontal="center" wrapText="1"/>
    </xf>
    <xf numFmtId="4" fontId="1" fillId="0" borderId="0" xfId="0" applyNumberFormat="1" applyFont="1" applyFill="1" applyAlignment="1">
      <alignment horizontal="left" wrapText="1"/>
    </xf>
    <xf numFmtId="4" fontId="3" fillId="0" borderId="12" xfId="0" applyNumberFormat="1" applyFont="1" applyFill="1" applyBorder="1" applyAlignment="1">
      <alignment horizontal="center" vertical="top"/>
    </xf>
    <xf numFmtId="4" fontId="3" fillId="0" borderId="12" xfId="0" applyNumberFormat="1" applyFont="1" applyFill="1" applyBorder="1" applyAlignment="1">
      <alignment horizontal="center"/>
    </xf>
    <xf numFmtId="4" fontId="4" fillId="0" borderId="12" xfId="0" applyNumberFormat="1" applyFont="1" applyFill="1" applyBorder="1" applyAlignment="1">
      <alignment horizontal="center"/>
    </xf>
    <xf numFmtId="4" fontId="2" fillId="0" borderId="0" xfId="0" applyNumberFormat="1" applyFont="1" applyFill="1" applyAlignment="1">
      <alignment horizontal="center" vertical="top"/>
    </xf>
    <xf numFmtId="4" fontId="4" fillId="0" borderId="12" xfId="0" applyNumberFormat="1" applyFont="1" applyFill="1" applyBorder="1" applyAlignment="1">
      <alignment horizontal="center" vertical="top"/>
    </xf>
    <xf numFmtId="4" fontId="1" fillId="0" borderId="12" xfId="0" applyNumberFormat="1" applyFont="1" applyFill="1" applyBorder="1" applyAlignment="1">
      <alignment horizontal="center"/>
    </xf>
    <xf numFmtId="4" fontId="2" fillId="0" borderId="12" xfId="0" applyNumberFormat="1" applyFont="1" applyFill="1" applyBorder="1" applyAlignment="1">
      <alignment horizontal="center"/>
    </xf>
    <xf numFmtId="4" fontId="1" fillId="0" borderId="12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812800</xdr:colOff>
      <xdr:row>83</xdr:row>
      <xdr:rowOff>50800</xdr:rowOff>
    </xdr:to>
    <xdr:sp macro="" textlink="">
      <xdr:nvSpPr>
        <xdr:cNvPr id="2253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68</xdr:row>
      <xdr:rowOff>63500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61</xdr:row>
      <xdr:rowOff>165100</xdr:rowOff>
    </xdr:to>
    <xdr:sp macro="" textlink="">
      <xdr:nvSpPr>
        <xdr:cNvPr id="512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64</xdr:row>
      <xdr:rowOff>114300</xdr:rowOff>
    </xdr:to>
    <xdr:sp macro="" textlink="">
      <xdr:nvSpPr>
        <xdr:cNvPr id="1126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61</xdr:row>
      <xdr:rowOff>63500</xdr:rowOff>
    </xdr:to>
    <xdr:sp macro="" textlink="">
      <xdr:nvSpPr>
        <xdr:cNvPr id="1434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292100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61</xdr:row>
      <xdr:rowOff>190500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774700</xdr:colOff>
      <xdr:row>61</xdr:row>
      <xdr:rowOff>63500</xdr:rowOff>
    </xdr:to>
    <xdr:sp macro="" textlink="">
      <xdr:nvSpPr>
        <xdr:cNvPr id="2048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292100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292100</xdr:rowOff>
    </xdr:to>
    <xdr:sp macro="" textlink="">
      <xdr:nvSpPr>
        <xdr:cNvPr id="1945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60</xdr:row>
      <xdr:rowOff>114300</xdr:rowOff>
    </xdr:to>
    <xdr:sp macro="" textlink="">
      <xdr:nvSpPr>
        <xdr:cNvPr id="9220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61</xdr:row>
      <xdr:rowOff>76200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101600</xdr:colOff>
      <xdr:row>65</xdr:row>
      <xdr:rowOff>0</xdr:rowOff>
    </xdr:to>
    <xdr:sp macro="" textlink="">
      <xdr:nvSpPr>
        <xdr:cNvPr id="1024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62</xdr:row>
      <xdr:rowOff>0</xdr:rowOff>
    </xdr:to>
    <xdr:sp macro="" textlink="">
      <xdr:nvSpPr>
        <xdr:cNvPr id="1638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330200</xdr:colOff>
      <xdr:row>61</xdr:row>
      <xdr:rowOff>76200</xdr:rowOff>
    </xdr:to>
    <xdr:sp macro="" textlink="">
      <xdr:nvSpPr>
        <xdr:cNvPr id="1741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65</xdr:row>
      <xdr:rowOff>165100</xdr:rowOff>
    </xdr:to>
    <xdr:sp macro="" textlink="">
      <xdr:nvSpPr>
        <xdr:cNvPr id="2150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65</xdr:row>
      <xdr:rowOff>50800</xdr:rowOff>
    </xdr:to>
    <xdr:sp macro="" textlink="">
      <xdr:nvSpPr>
        <xdr:cNvPr id="1843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63</xdr:row>
      <xdr:rowOff>114300</xdr:rowOff>
    </xdr:to>
    <xdr:sp macro="" textlink="">
      <xdr:nvSpPr>
        <xdr:cNvPr id="15366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65</xdr:row>
      <xdr:rowOff>165100</xdr:rowOff>
    </xdr:to>
    <xdr:sp macro="" textlink="">
      <xdr:nvSpPr>
        <xdr:cNvPr id="1331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62</xdr:row>
      <xdr:rowOff>25400</xdr:rowOff>
    </xdr:to>
    <xdr:sp macro="" textlink="">
      <xdr:nvSpPr>
        <xdr:cNvPr id="1229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61</xdr:row>
      <xdr:rowOff>63500</xdr:rowOff>
    </xdr:to>
    <xdr:sp macro="" textlink="">
      <xdr:nvSpPr>
        <xdr:cNvPr id="614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61</xdr:row>
      <xdr:rowOff>139700</xdr:rowOff>
    </xdr:to>
    <xdr:sp macro="" textlink="">
      <xdr:nvSpPr>
        <xdr:cNvPr id="717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Relationship Id="rId3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1.vml"/><Relationship Id="rId3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2.vml"/><Relationship Id="rId3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baseColWidth="10" defaultColWidth="14.5" defaultRowHeight="12.75" customHeight="1" x14ac:dyDescent="0.15"/>
  <cols>
    <col min="1" max="29" width="17.33203125" style="372" customWidth="1"/>
    <col min="30" max="16384" width="14.5" style="372"/>
  </cols>
  <sheetData>
    <row r="1" spans="1:29" ht="12.75" customHeight="1" x14ac:dyDescent="0.15">
      <c r="A1" s="370"/>
      <c r="B1" s="371" t="s">
        <v>0</v>
      </c>
      <c r="C1" s="371" t="s">
        <v>1</v>
      </c>
      <c r="D1" s="371" t="s">
        <v>2</v>
      </c>
      <c r="E1" s="371" t="s">
        <v>3</v>
      </c>
      <c r="F1" s="371" t="s">
        <v>4</v>
      </c>
      <c r="G1" s="371" t="s">
        <v>5</v>
      </c>
      <c r="H1" s="371" t="s">
        <v>6</v>
      </c>
      <c r="I1" s="371" t="s">
        <v>7</v>
      </c>
      <c r="J1" s="371" t="s">
        <v>8</v>
      </c>
      <c r="K1" s="371" t="s">
        <v>9</v>
      </c>
      <c r="L1" s="371" t="s">
        <v>10</v>
      </c>
      <c r="M1" s="371" t="s">
        <v>11</v>
      </c>
      <c r="N1" s="371" t="s">
        <v>12</v>
      </c>
      <c r="O1" s="371" t="s">
        <v>13</v>
      </c>
      <c r="P1" s="371" t="s">
        <v>14</v>
      </c>
      <c r="Q1" s="371" t="s">
        <v>15</v>
      </c>
      <c r="R1" s="371" t="s">
        <v>16</v>
      </c>
      <c r="S1" s="371"/>
      <c r="T1" s="371" t="s">
        <v>46</v>
      </c>
      <c r="U1" s="371" t="s">
        <v>48</v>
      </c>
      <c r="V1" s="371" t="s">
        <v>49</v>
      </c>
      <c r="W1" s="371" t="s">
        <v>50</v>
      </c>
      <c r="X1" s="371" t="s">
        <v>51</v>
      </c>
      <c r="Y1" s="371" t="s">
        <v>52</v>
      </c>
      <c r="Z1" s="371" t="s">
        <v>53</v>
      </c>
      <c r="AA1" s="371" t="s">
        <v>54</v>
      </c>
      <c r="AB1" s="371" t="s">
        <v>55</v>
      </c>
      <c r="AC1" s="371" t="s">
        <v>56</v>
      </c>
    </row>
    <row r="2" spans="1:29" ht="12.75" customHeight="1" x14ac:dyDescent="0.15">
      <c r="A2" s="373" t="s">
        <v>57</v>
      </c>
      <c r="B2" s="374">
        <v>709445.68</v>
      </c>
      <c r="C2" s="375">
        <v>525275.22</v>
      </c>
      <c r="D2" s="375">
        <v>116341.18</v>
      </c>
      <c r="E2" s="375">
        <v>5962.67</v>
      </c>
      <c r="F2" s="376"/>
      <c r="G2" s="376"/>
      <c r="H2" s="375">
        <v>1138</v>
      </c>
      <c r="I2" s="377">
        <v>220</v>
      </c>
      <c r="J2" s="374">
        <v>176025.45</v>
      </c>
      <c r="K2" s="378">
        <f>58800+5500+6300+2200+2200+1700+200+1000</f>
        <v>77900</v>
      </c>
      <c r="L2" s="379">
        <f>4918+5000+1200+8007.45</f>
        <v>19125.45</v>
      </c>
      <c r="M2" s="376"/>
      <c r="N2" s="377">
        <v>668039.06000000006</v>
      </c>
      <c r="O2" s="374"/>
      <c r="P2" s="377">
        <f>62201+23497.45</f>
        <v>85698.45</v>
      </c>
      <c r="Q2" s="377">
        <f>20770+4399</f>
        <v>25169</v>
      </c>
      <c r="R2" s="380">
        <v>1664597.64</v>
      </c>
      <c r="S2" s="376"/>
      <c r="T2" s="374">
        <v>358500.45</v>
      </c>
      <c r="U2" s="375">
        <v>149958.67000000001</v>
      </c>
      <c r="V2" s="375">
        <v>21989.46</v>
      </c>
      <c r="W2" s="376">
        <v>158080.16</v>
      </c>
      <c r="X2" s="374"/>
      <c r="Y2" s="374">
        <v>918343.46</v>
      </c>
      <c r="Z2" s="376"/>
      <c r="AA2" s="378">
        <v>775683</v>
      </c>
      <c r="AB2" s="374"/>
      <c r="AC2" s="377">
        <v>2168319.6800000002</v>
      </c>
    </row>
    <row r="3" spans="1:29" ht="12.75" customHeight="1" x14ac:dyDescent="0.15">
      <c r="A3" s="373" t="s">
        <v>73</v>
      </c>
      <c r="B3" s="374">
        <v>3372689.93</v>
      </c>
      <c r="C3" s="375">
        <v>1837885.19</v>
      </c>
      <c r="D3" s="375">
        <v>1029148.69</v>
      </c>
      <c r="E3" s="375">
        <v>56763.01</v>
      </c>
      <c r="F3" s="375">
        <v>111843.73</v>
      </c>
      <c r="G3" s="375">
        <v>3965.86</v>
      </c>
      <c r="H3" s="375">
        <v>183266.45</v>
      </c>
      <c r="I3" s="377">
        <f>42952.5+41573.9</f>
        <v>84526.399999999994</v>
      </c>
      <c r="J3" s="374">
        <v>2788606.92</v>
      </c>
      <c r="K3" s="375">
        <v>854345.44</v>
      </c>
      <c r="L3" s="376">
        <v>95876</v>
      </c>
      <c r="M3" s="375">
        <v>168175.48</v>
      </c>
      <c r="N3" s="377">
        <v>5430069.7699999996</v>
      </c>
      <c r="O3" s="374"/>
      <c r="P3" s="377">
        <f>889526.42+3539495.12</f>
        <v>4429021.54</v>
      </c>
      <c r="Q3" s="377">
        <v>184457.83</v>
      </c>
      <c r="R3" s="377">
        <v>16289372.390000001</v>
      </c>
      <c r="S3" s="376"/>
      <c r="T3" s="374">
        <v>14130559.869999999</v>
      </c>
      <c r="U3" s="375">
        <v>7466834.0899999999</v>
      </c>
      <c r="V3" s="375">
        <v>368626.79</v>
      </c>
      <c r="W3" s="376">
        <v>177008.44</v>
      </c>
      <c r="X3" s="377">
        <v>1594074.26</v>
      </c>
      <c r="Y3" s="374"/>
      <c r="Z3" s="376"/>
      <c r="AA3" s="376"/>
      <c r="AB3" s="381">
        <v>593782.24</v>
      </c>
      <c r="AC3" s="382">
        <v>16357783.99</v>
      </c>
    </row>
    <row r="4" spans="1:29" ht="12.75" customHeight="1" x14ac:dyDescent="0.15">
      <c r="A4" s="373" t="s">
        <v>74</v>
      </c>
      <c r="B4" s="374">
        <v>1729871.84</v>
      </c>
      <c r="C4" s="375">
        <v>1018139.83</v>
      </c>
      <c r="D4" s="375">
        <v>475760.19</v>
      </c>
      <c r="E4" s="375">
        <v>22617.38</v>
      </c>
      <c r="F4" s="375">
        <v>13753.57</v>
      </c>
      <c r="G4" s="375">
        <v>7000</v>
      </c>
      <c r="H4" s="375">
        <v>82747.55</v>
      </c>
      <c r="I4" s="374"/>
      <c r="J4" s="374">
        <v>1172748.83</v>
      </c>
      <c r="K4" s="378">
        <v>543521.68999999994</v>
      </c>
      <c r="L4" s="379">
        <v>150392.29</v>
      </c>
      <c r="M4" s="378">
        <v>98050.559999999998</v>
      </c>
      <c r="N4" s="374"/>
      <c r="O4" s="374"/>
      <c r="P4" s="377">
        <f>713631.55+1773430.97</f>
        <v>2487062.52</v>
      </c>
      <c r="Q4" s="377">
        <v>339944.06</v>
      </c>
      <c r="R4" s="380">
        <v>5729627.25</v>
      </c>
      <c r="S4" s="376"/>
      <c r="T4" s="374">
        <v>1934183.5</v>
      </c>
      <c r="U4" s="375">
        <v>957962.94</v>
      </c>
      <c r="V4" s="375">
        <v>84863.73</v>
      </c>
      <c r="W4" s="376">
        <v>233010.96</v>
      </c>
      <c r="X4" s="377">
        <v>212782.3</v>
      </c>
      <c r="Y4" s="374">
        <v>3902559.04</v>
      </c>
      <c r="Z4" s="378">
        <v>499367.61</v>
      </c>
      <c r="AA4" s="378">
        <v>3100035</v>
      </c>
      <c r="AB4" s="377">
        <v>1007884.77</v>
      </c>
      <c r="AC4" s="377">
        <v>7144548.6699999999</v>
      </c>
    </row>
    <row r="5" spans="1:29" ht="12.75" customHeight="1" x14ac:dyDescent="0.15">
      <c r="A5" s="373" t="s">
        <v>75</v>
      </c>
      <c r="B5" s="374">
        <v>7128077.1900000004</v>
      </c>
      <c r="C5" s="375">
        <v>1408062.38</v>
      </c>
      <c r="D5" s="375">
        <v>365516.57</v>
      </c>
      <c r="E5" s="375">
        <v>748156.1</v>
      </c>
      <c r="F5" s="376"/>
      <c r="G5" s="375">
        <v>19739.939999999999</v>
      </c>
      <c r="H5" s="376"/>
      <c r="I5" s="377">
        <v>97645.07</v>
      </c>
      <c r="J5" s="381">
        <v>1778358</v>
      </c>
      <c r="K5" s="376">
        <v>1500696.28</v>
      </c>
      <c r="L5" s="376">
        <v>154606.72</v>
      </c>
      <c r="M5" s="376">
        <v>123055</v>
      </c>
      <c r="N5" s="377">
        <v>2393845.4500000002</v>
      </c>
      <c r="O5" s="374"/>
      <c r="P5" s="377">
        <v>2278618.9700000002</v>
      </c>
      <c r="Q5" s="377">
        <v>184559.6</v>
      </c>
      <c r="R5" s="383">
        <v>9521922.6400000006</v>
      </c>
      <c r="S5" s="376"/>
      <c r="T5" s="374">
        <v>3447120.93</v>
      </c>
      <c r="U5" s="375">
        <v>1706557.36</v>
      </c>
      <c r="V5" s="375">
        <v>114373.25</v>
      </c>
      <c r="W5" s="384">
        <v>307686.82</v>
      </c>
      <c r="X5" s="385">
        <v>81704.45</v>
      </c>
      <c r="Y5" s="381">
        <v>4781651.78</v>
      </c>
      <c r="Z5" s="386"/>
      <c r="AA5" s="378">
        <v>4781651.78</v>
      </c>
      <c r="AB5" s="377">
        <v>416999.83</v>
      </c>
      <c r="AC5" s="387">
        <v>10055507.109999999</v>
      </c>
    </row>
    <row r="6" spans="1:29" ht="12.75" customHeight="1" x14ac:dyDescent="0.15">
      <c r="A6" s="388" t="s">
        <v>82</v>
      </c>
      <c r="B6" s="389">
        <v>5794366.0199999996</v>
      </c>
      <c r="C6" s="390">
        <v>2957400.84</v>
      </c>
      <c r="D6" s="390">
        <v>2484636.6800000002</v>
      </c>
      <c r="E6" s="390">
        <v>35209.72</v>
      </c>
      <c r="F6" s="390">
        <v>70650.03</v>
      </c>
      <c r="G6" s="390">
        <v>88221.65</v>
      </c>
      <c r="H6" s="391"/>
      <c r="I6" s="389">
        <v>49198.68</v>
      </c>
      <c r="J6" s="392">
        <v>1812258.48</v>
      </c>
      <c r="K6" s="379">
        <v>1718193.85</v>
      </c>
      <c r="L6" s="379">
        <v>32953.22</v>
      </c>
      <c r="M6" s="390">
        <v>61111.41</v>
      </c>
      <c r="N6" s="389">
        <v>9645861.0199999996</v>
      </c>
      <c r="O6" s="371"/>
      <c r="P6" s="392">
        <v>22619053.710000001</v>
      </c>
      <c r="Q6" s="392">
        <v>247790.06</v>
      </c>
      <c r="R6" s="392">
        <v>40168527.969999999</v>
      </c>
      <c r="S6" s="391"/>
      <c r="T6" s="389">
        <v>38106216.259999998</v>
      </c>
      <c r="U6" s="390">
        <v>10601280.85</v>
      </c>
      <c r="V6" s="390">
        <v>759369.59</v>
      </c>
      <c r="W6" s="393">
        <v>514226.08</v>
      </c>
      <c r="X6" s="394">
        <v>2080071</v>
      </c>
      <c r="Y6" s="371"/>
      <c r="Z6" s="391"/>
      <c r="AA6" s="391"/>
      <c r="AB6" s="371"/>
      <c r="AC6" s="395">
        <v>40206301.829999998</v>
      </c>
    </row>
    <row r="7" spans="1:29" ht="12.75" customHeight="1" x14ac:dyDescent="0.15">
      <c r="A7" s="373" t="s">
        <v>260</v>
      </c>
      <c r="B7" s="374">
        <v>3023276.97</v>
      </c>
      <c r="C7" s="379">
        <v>1011230.99</v>
      </c>
      <c r="D7" s="379">
        <v>1123278.53</v>
      </c>
      <c r="E7" s="379">
        <v>420198.1</v>
      </c>
      <c r="F7" s="379">
        <v>73264.77</v>
      </c>
      <c r="G7" s="379">
        <v>9208.1200000000008</v>
      </c>
      <c r="H7" s="376"/>
      <c r="I7" s="374"/>
      <c r="J7" s="392">
        <v>1338981.1200000001</v>
      </c>
      <c r="K7" s="379">
        <f>8399.93+250665+53200+2250</f>
        <v>314514.93</v>
      </c>
      <c r="L7" s="379">
        <v>11350</v>
      </c>
      <c r="M7" s="376">
        <v>105347.38</v>
      </c>
      <c r="N7" s="374">
        <v>356353.31</v>
      </c>
      <c r="O7" s="392">
        <v>248500</v>
      </c>
      <c r="P7" s="392">
        <f>50000+2491408.07</f>
        <v>2541408.0699999998</v>
      </c>
      <c r="Q7" s="392">
        <v>10000</v>
      </c>
      <c r="R7" s="396">
        <v>7518519.4699999997</v>
      </c>
      <c r="S7" s="376"/>
      <c r="T7" s="374">
        <v>2568498.06</v>
      </c>
      <c r="U7" s="379">
        <v>1070805.75</v>
      </c>
      <c r="V7" s="379">
        <v>86456.73</v>
      </c>
      <c r="W7" s="376">
        <v>14469.73</v>
      </c>
      <c r="X7" s="392">
        <v>1251.22</v>
      </c>
      <c r="Y7" s="392">
        <v>3359459.36</v>
      </c>
      <c r="Z7" s="379">
        <v>1713989.54</v>
      </c>
      <c r="AA7" s="379">
        <v>1613715.16</v>
      </c>
      <c r="AB7" s="392">
        <v>1050000</v>
      </c>
      <c r="AC7" s="392">
        <v>7559908.2199999997</v>
      </c>
    </row>
    <row r="8" spans="1:29" ht="12.75" customHeight="1" x14ac:dyDescent="0.15">
      <c r="A8" s="373" t="s">
        <v>277</v>
      </c>
      <c r="B8" s="374">
        <v>1806902.06</v>
      </c>
      <c r="C8" s="379">
        <v>969822.87</v>
      </c>
      <c r="D8" s="379">
        <v>447356.74</v>
      </c>
      <c r="E8" s="379">
        <v>34866.239999999998</v>
      </c>
      <c r="F8" s="376"/>
      <c r="G8" s="379">
        <v>5810.4</v>
      </c>
      <c r="H8" s="379">
        <v>80736.929999999993</v>
      </c>
      <c r="I8" s="392">
        <v>8642.01</v>
      </c>
      <c r="J8" s="392">
        <v>791316.74</v>
      </c>
      <c r="K8" s="376">
        <v>357587.01</v>
      </c>
      <c r="L8" s="376">
        <v>95259.67</v>
      </c>
      <c r="M8" s="376">
        <v>135848.06</v>
      </c>
      <c r="N8" s="374">
        <v>905572.25</v>
      </c>
      <c r="O8" s="374"/>
      <c r="P8" s="392">
        <v>162349.16</v>
      </c>
      <c r="Q8" s="392">
        <v>3013.15</v>
      </c>
      <c r="R8" s="392">
        <v>3677795.37</v>
      </c>
      <c r="S8" s="376"/>
      <c r="T8" s="374">
        <v>1826317.98</v>
      </c>
      <c r="U8" s="379">
        <v>926777.86</v>
      </c>
      <c r="V8" s="379">
        <v>56924.91</v>
      </c>
      <c r="W8" s="379">
        <v>350674.31</v>
      </c>
      <c r="X8" s="374"/>
      <c r="Y8" s="392">
        <v>1524196.94</v>
      </c>
      <c r="Z8" s="379">
        <v>56255.71</v>
      </c>
      <c r="AA8" s="379">
        <v>1258828.6100000001</v>
      </c>
      <c r="AB8" s="374"/>
      <c r="AC8" s="392">
        <v>3843842.17</v>
      </c>
    </row>
    <row r="9" spans="1:29" ht="12.75" customHeight="1" x14ac:dyDescent="0.15">
      <c r="A9" s="373" t="s">
        <v>278</v>
      </c>
      <c r="B9" s="374">
        <v>5334738.9800000004</v>
      </c>
      <c r="C9" s="378">
        <v>2599283.63</v>
      </c>
      <c r="D9" s="375">
        <v>1068699.3400000001</v>
      </c>
      <c r="E9" s="378">
        <v>1489286.44</v>
      </c>
      <c r="F9" s="376"/>
      <c r="G9" s="376"/>
      <c r="H9" s="376"/>
      <c r="I9" s="374"/>
      <c r="J9" s="374">
        <v>1074458.06</v>
      </c>
      <c r="K9" s="397">
        <v>479463.74</v>
      </c>
      <c r="L9" s="397">
        <v>259841.09</v>
      </c>
      <c r="M9" s="378">
        <v>209163.06</v>
      </c>
      <c r="N9" s="381">
        <v>1077157.3700000001</v>
      </c>
      <c r="O9" s="398">
        <v>606239.27</v>
      </c>
      <c r="P9" s="381">
        <v>2694181.99</v>
      </c>
      <c r="Q9" s="381">
        <v>117828.56</v>
      </c>
      <c r="R9" s="382">
        <v>10904604.23</v>
      </c>
      <c r="S9" s="376"/>
      <c r="T9" s="374">
        <v>10971394.470000001</v>
      </c>
      <c r="U9" s="397">
        <v>6224008.8300000001</v>
      </c>
      <c r="V9" s="397">
        <v>403350.46</v>
      </c>
      <c r="W9" s="397">
        <v>116393.47</v>
      </c>
      <c r="X9" s="399"/>
      <c r="Y9" s="399">
        <v>10725</v>
      </c>
      <c r="Z9" s="376"/>
      <c r="AA9" s="400"/>
      <c r="AB9" s="399">
        <v>0</v>
      </c>
      <c r="AC9" s="381">
        <v>10982119.470000001</v>
      </c>
    </row>
    <row r="10" spans="1:29" ht="12.75" customHeight="1" x14ac:dyDescent="0.15">
      <c r="A10" s="401" t="s">
        <v>279</v>
      </c>
      <c r="B10" s="380">
        <v>705041.06</v>
      </c>
      <c r="C10" s="375">
        <v>529910.56000000006</v>
      </c>
      <c r="D10" s="375">
        <v>144403.10999999999</v>
      </c>
      <c r="E10" s="375">
        <v>19388.97</v>
      </c>
      <c r="F10" s="375">
        <v>1247.76</v>
      </c>
      <c r="G10" s="376">
        <v>0</v>
      </c>
      <c r="H10" s="375">
        <v>1300</v>
      </c>
      <c r="I10" s="374"/>
      <c r="J10" s="392">
        <v>266121.28999999998</v>
      </c>
      <c r="K10" s="378">
        <v>215119.14</v>
      </c>
      <c r="L10" s="379">
        <v>20270.86</v>
      </c>
      <c r="M10" s="378">
        <v>30731.29</v>
      </c>
      <c r="N10" s="377">
        <v>330103.95</v>
      </c>
      <c r="O10" s="374">
        <v>0</v>
      </c>
      <c r="P10" s="377">
        <v>1291372.8500000001</v>
      </c>
      <c r="Q10" s="374">
        <v>0</v>
      </c>
      <c r="R10" s="380">
        <v>2592639.15</v>
      </c>
      <c r="S10" s="376"/>
      <c r="T10" s="374">
        <v>1636780.09</v>
      </c>
      <c r="U10" s="375">
        <v>733602.61</v>
      </c>
      <c r="V10" s="375">
        <v>35553.65</v>
      </c>
      <c r="W10" s="376">
        <v>207481.14</v>
      </c>
      <c r="X10" s="402">
        <v>32128.74</v>
      </c>
      <c r="Y10" s="403">
        <v>704149.03</v>
      </c>
      <c r="Z10" s="376"/>
      <c r="AA10" s="404">
        <v>598219.03</v>
      </c>
      <c r="AB10" s="402">
        <v>305000</v>
      </c>
      <c r="AC10" s="374">
        <v>2942049.3</v>
      </c>
    </row>
    <row r="11" spans="1:29" ht="12.75" customHeight="1" x14ac:dyDescent="0.15">
      <c r="A11" s="373" t="s">
        <v>288</v>
      </c>
      <c r="B11" s="374">
        <v>2619920.89</v>
      </c>
      <c r="C11" s="375">
        <v>1699859.43</v>
      </c>
      <c r="D11" s="375">
        <v>557704.49</v>
      </c>
      <c r="E11" s="375">
        <v>17064.11</v>
      </c>
      <c r="F11" s="375">
        <v>73127.64</v>
      </c>
      <c r="G11" s="386"/>
      <c r="H11" s="375">
        <v>29999.98</v>
      </c>
      <c r="I11" s="377">
        <v>18112.599999999999</v>
      </c>
      <c r="J11" s="374">
        <v>5941795.6399999997</v>
      </c>
      <c r="K11" s="378">
        <f>19994.27+34224.32+25832.79+96989.86+298266.19+300000+262000+9316.14+180811.3+10000+78000.25+7000+96293.34</f>
        <v>1418728.46</v>
      </c>
      <c r="L11" s="376">
        <v>158807.06</v>
      </c>
      <c r="M11" s="376">
        <v>29147.5</v>
      </c>
      <c r="N11" s="377">
        <v>292854.78999999998</v>
      </c>
      <c r="O11" s="377">
        <v>30000</v>
      </c>
      <c r="P11" s="377">
        <f>968666.36+2684452.61</f>
        <v>3653118.9699999997</v>
      </c>
      <c r="Q11" s="377">
        <f>45791.8+21000</f>
        <v>66791.8</v>
      </c>
      <c r="R11" s="377">
        <v>12622594.98</v>
      </c>
      <c r="S11" s="376"/>
      <c r="T11" s="374">
        <v>12817923.380000001</v>
      </c>
      <c r="U11" s="376">
        <v>5574376.7300000004</v>
      </c>
      <c r="V11" s="375">
        <v>276639.93</v>
      </c>
      <c r="W11" s="376">
        <v>244791.56</v>
      </c>
      <c r="X11" s="377">
        <v>243105.51</v>
      </c>
      <c r="Y11" s="374">
        <v>262000</v>
      </c>
      <c r="Z11" s="376"/>
      <c r="AA11" s="376"/>
      <c r="AB11" s="374"/>
      <c r="AC11" s="377">
        <v>13424146.380000001</v>
      </c>
    </row>
    <row r="12" spans="1:29" ht="12.75" customHeight="1" x14ac:dyDescent="0.15">
      <c r="A12" s="373" t="s">
        <v>289</v>
      </c>
      <c r="B12" s="374">
        <v>1169671.75</v>
      </c>
      <c r="C12" s="376">
        <v>650408.77</v>
      </c>
      <c r="D12" s="376">
        <v>151031.22</v>
      </c>
      <c r="E12" s="375">
        <v>57413.73</v>
      </c>
      <c r="F12" s="386"/>
      <c r="G12" s="375">
        <v>1296</v>
      </c>
      <c r="H12" s="375">
        <v>17178.990000000002</v>
      </c>
      <c r="I12" s="374">
        <v>59391.43</v>
      </c>
      <c r="J12" s="374">
        <v>318158.96000000002</v>
      </c>
      <c r="K12" s="376">
        <v>213074.35</v>
      </c>
      <c r="L12" s="376">
        <v>80608.31</v>
      </c>
      <c r="M12" s="376"/>
      <c r="N12" s="377">
        <v>698661.44</v>
      </c>
      <c r="O12" s="374"/>
      <c r="P12" s="377">
        <f>50603.51+166978.2</f>
        <v>217581.71000000002</v>
      </c>
      <c r="Q12" s="377">
        <v>32780.620000000003</v>
      </c>
      <c r="R12" s="377">
        <v>2496245.91</v>
      </c>
      <c r="S12" s="376"/>
      <c r="T12" s="374">
        <v>1071513.6599999999</v>
      </c>
      <c r="U12" s="376">
        <v>307799.73</v>
      </c>
      <c r="V12" s="376">
        <v>211835.49</v>
      </c>
      <c r="W12" s="376">
        <v>72878.600000000006</v>
      </c>
      <c r="X12" s="374">
        <v>5779.57</v>
      </c>
      <c r="Y12" s="374">
        <v>1185883.6000000001</v>
      </c>
      <c r="Z12" s="376"/>
      <c r="AA12" s="376">
        <v>790166</v>
      </c>
      <c r="AB12" s="374">
        <v>300000</v>
      </c>
      <c r="AC12" s="374">
        <v>2568221.87</v>
      </c>
    </row>
    <row r="13" spans="1:29" ht="12.75" customHeight="1" x14ac:dyDescent="0.15">
      <c r="A13" s="401" t="s">
        <v>292</v>
      </c>
      <c r="B13" s="377">
        <v>4372605.8499999996</v>
      </c>
      <c r="C13" s="375">
        <v>1465231.54</v>
      </c>
      <c r="D13" s="376">
        <v>1377846.78</v>
      </c>
      <c r="E13" s="375">
        <v>301103.31</v>
      </c>
      <c r="F13" s="376">
        <v>1032011.56</v>
      </c>
      <c r="G13" s="376">
        <v>78636.429999999993</v>
      </c>
      <c r="H13" s="376">
        <v>62976.63</v>
      </c>
      <c r="I13" s="374"/>
      <c r="J13" s="374">
        <v>1180466.71</v>
      </c>
      <c r="K13" s="376">
        <v>351330.09</v>
      </c>
      <c r="L13" s="376">
        <v>89966.58</v>
      </c>
      <c r="M13" s="376">
        <v>238594.4</v>
      </c>
      <c r="N13" s="374">
        <v>2600929.38</v>
      </c>
      <c r="O13" s="374">
        <v>500</v>
      </c>
      <c r="P13" s="374">
        <v>5910368.79</v>
      </c>
      <c r="Q13" s="374">
        <v>1157908.8600000001</v>
      </c>
      <c r="R13" s="374">
        <v>15222779.59</v>
      </c>
      <c r="S13" s="376"/>
      <c r="T13" s="374">
        <v>9619919.5899999999</v>
      </c>
      <c r="U13" s="376">
        <v>7482880.0999999996</v>
      </c>
      <c r="V13" s="376">
        <v>265831.17</v>
      </c>
      <c r="W13" s="400">
        <v>252328.07</v>
      </c>
      <c r="X13" s="374">
        <v>143694.43</v>
      </c>
      <c r="Y13" s="399">
        <v>3996343.97</v>
      </c>
      <c r="Z13" s="376"/>
      <c r="AA13" s="400">
        <v>3876343.97</v>
      </c>
      <c r="AB13" s="399">
        <v>1595475.46</v>
      </c>
      <c r="AC13" s="399">
        <v>15362591.82</v>
      </c>
    </row>
    <row r="14" spans="1:29" ht="12.75" customHeight="1" x14ac:dyDescent="0.15">
      <c r="A14" s="388" t="s">
        <v>305</v>
      </c>
      <c r="B14" s="374">
        <v>912794.37</v>
      </c>
      <c r="C14" s="405">
        <v>622221.48</v>
      </c>
      <c r="D14" s="405">
        <v>160760.35999999999</v>
      </c>
      <c r="E14" s="405">
        <v>16161.36</v>
      </c>
      <c r="F14" s="405">
        <v>51235.33</v>
      </c>
      <c r="G14" s="376"/>
      <c r="H14" s="405">
        <v>1650</v>
      </c>
      <c r="I14" s="380">
        <v>95446</v>
      </c>
      <c r="J14" s="381">
        <v>493212.58</v>
      </c>
      <c r="K14" s="378">
        <v>335164.59999999998</v>
      </c>
      <c r="L14" s="378">
        <v>54071.23</v>
      </c>
      <c r="M14" s="378">
        <v>103976.75</v>
      </c>
      <c r="N14" s="380">
        <v>156816.67000000001</v>
      </c>
      <c r="O14" s="374"/>
      <c r="P14" s="380">
        <v>1617602.92</v>
      </c>
      <c r="Q14" s="380">
        <v>92417.69</v>
      </c>
      <c r="R14" s="380">
        <v>3368290.24</v>
      </c>
      <c r="S14" s="376"/>
      <c r="T14" s="380">
        <v>1027841.09</v>
      </c>
      <c r="U14" s="405">
        <v>306335.55</v>
      </c>
      <c r="V14" s="405">
        <v>327594.52</v>
      </c>
      <c r="W14" s="406">
        <v>22622.04</v>
      </c>
      <c r="X14" s="374"/>
      <c r="Y14" s="407">
        <v>1088435.96</v>
      </c>
      <c r="Z14" s="376"/>
      <c r="AA14" s="408">
        <v>996487.16</v>
      </c>
      <c r="AB14" s="409">
        <v>1250000</v>
      </c>
      <c r="AC14" s="409">
        <v>3423683.18</v>
      </c>
    </row>
    <row r="15" spans="1:29" ht="12.75" customHeight="1" x14ac:dyDescent="0.15">
      <c r="A15" s="373" t="s">
        <v>306</v>
      </c>
      <c r="B15" s="374">
        <v>4676232</v>
      </c>
      <c r="C15" s="376">
        <v>1762384.13</v>
      </c>
      <c r="D15" s="375">
        <v>1008573.57</v>
      </c>
      <c r="E15" s="375">
        <v>938041.22</v>
      </c>
      <c r="F15" s="375">
        <v>440248.91</v>
      </c>
      <c r="G15" s="375">
        <v>69578.92</v>
      </c>
      <c r="H15" s="375">
        <v>261783.55</v>
      </c>
      <c r="I15" s="377">
        <v>13695.55</v>
      </c>
      <c r="J15" s="374">
        <v>627077.63</v>
      </c>
      <c r="K15" s="376">
        <v>14948</v>
      </c>
      <c r="L15" s="376">
        <v>183211.33</v>
      </c>
      <c r="M15" s="376">
        <v>408643.28</v>
      </c>
      <c r="N15" s="377">
        <v>2536447.9</v>
      </c>
      <c r="O15" s="374"/>
      <c r="P15" s="377">
        <v>710153.93</v>
      </c>
      <c r="Q15" s="377">
        <v>146260.22</v>
      </c>
      <c r="R15" s="380">
        <v>8709867.2300000004</v>
      </c>
      <c r="S15" s="376"/>
      <c r="T15" s="374">
        <v>5598840.1699999999</v>
      </c>
      <c r="U15" s="376">
        <v>3707426.06</v>
      </c>
      <c r="V15" s="376">
        <v>81925.72</v>
      </c>
      <c r="W15" s="376">
        <v>990886.43</v>
      </c>
      <c r="X15" s="374"/>
      <c r="Y15" s="374">
        <v>2235225.92</v>
      </c>
      <c r="Z15" s="386"/>
      <c r="AA15" s="376">
        <v>1547150.49</v>
      </c>
      <c r="AB15" s="374">
        <v>22889.66</v>
      </c>
      <c r="AC15" s="374">
        <v>8772198.9199999999</v>
      </c>
    </row>
    <row r="16" spans="1:29" ht="12.75" customHeight="1" x14ac:dyDescent="0.15">
      <c r="A16" s="373" t="s">
        <v>307</v>
      </c>
      <c r="B16" s="374">
        <v>895229.67</v>
      </c>
      <c r="C16" s="375">
        <v>365968.73</v>
      </c>
      <c r="D16" s="375">
        <v>210355.41</v>
      </c>
      <c r="E16" s="375">
        <v>258183.48</v>
      </c>
      <c r="F16" s="376"/>
      <c r="G16" s="376"/>
      <c r="H16" s="376"/>
      <c r="I16" s="374"/>
      <c r="J16" s="374">
        <v>397668.27</v>
      </c>
      <c r="K16" s="376">
        <v>141165.51</v>
      </c>
      <c r="L16" s="376">
        <v>32442.94</v>
      </c>
      <c r="M16" s="376">
        <v>95433.67</v>
      </c>
      <c r="N16" s="377">
        <v>2062628.46</v>
      </c>
      <c r="O16" s="377">
        <v>204000</v>
      </c>
      <c r="P16" s="377">
        <f>161002.11+6541.58</f>
        <v>167543.68999999997</v>
      </c>
      <c r="Q16" s="377">
        <f>195915.09+25000</f>
        <v>220915.09</v>
      </c>
      <c r="R16" s="377">
        <v>3947985.18</v>
      </c>
      <c r="S16" s="376"/>
      <c r="T16" s="374">
        <v>2791923.53</v>
      </c>
      <c r="U16" s="376">
        <v>1605168.3</v>
      </c>
      <c r="V16" s="376">
        <v>4003.55</v>
      </c>
      <c r="W16" s="376">
        <v>629787.97</v>
      </c>
      <c r="X16" s="374"/>
      <c r="Y16" s="374">
        <v>108600</v>
      </c>
      <c r="Z16" s="376"/>
      <c r="AA16" s="376"/>
      <c r="AB16" s="374">
        <v>620000</v>
      </c>
      <c r="AC16" s="374">
        <v>5033583.54</v>
      </c>
    </row>
    <row r="17" spans="1:29" ht="12.75" customHeight="1" x14ac:dyDescent="0.15">
      <c r="A17" s="373" t="s">
        <v>308</v>
      </c>
      <c r="B17" s="374">
        <v>15376004.300000001</v>
      </c>
      <c r="C17" s="376">
        <v>9005506.6199999992</v>
      </c>
      <c r="D17" s="375">
        <v>4230317.47</v>
      </c>
      <c r="E17" s="375">
        <v>379585.94</v>
      </c>
      <c r="F17" s="375">
        <v>954832.45</v>
      </c>
      <c r="G17" s="376"/>
      <c r="H17" s="376"/>
      <c r="I17" s="374"/>
      <c r="J17" s="374">
        <v>10160708.560000001</v>
      </c>
      <c r="K17" s="376">
        <v>274500</v>
      </c>
      <c r="L17" s="376">
        <v>392320.85</v>
      </c>
      <c r="M17" s="376">
        <v>816702.35</v>
      </c>
      <c r="N17" s="374">
        <v>13557104.369999999</v>
      </c>
      <c r="O17" s="374"/>
      <c r="P17" s="377">
        <v>1619383.87</v>
      </c>
      <c r="Q17" s="377">
        <v>523080.51</v>
      </c>
      <c r="R17" s="377">
        <v>41236281.609999999</v>
      </c>
      <c r="S17" s="376"/>
      <c r="T17" s="374">
        <v>37115568.560000002</v>
      </c>
      <c r="U17" s="376">
        <v>20850194.030000001</v>
      </c>
      <c r="V17" s="375">
        <v>1737974.79</v>
      </c>
      <c r="W17" s="376">
        <v>452765.84</v>
      </c>
      <c r="X17" s="374">
        <v>6030738.0099999998</v>
      </c>
      <c r="Y17" s="381">
        <v>173255.92</v>
      </c>
      <c r="Z17" s="376"/>
      <c r="AA17" s="376"/>
      <c r="AB17" s="374"/>
      <c r="AC17" s="377">
        <v>43607154.68</v>
      </c>
    </row>
    <row r="18" spans="1:29" ht="12.75" customHeight="1" x14ac:dyDescent="0.15">
      <c r="A18" s="401" t="s">
        <v>309</v>
      </c>
      <c r="B18" s="374">
        <v>1544807</v>
      </c>
      <c r="C18" s="379">
        <v>1105384.3600000001</v>
      </c>
      <c r="D18" s="379">
        <v>221503.9</v>
      </c>
      <c r="E18" s="379">
        <v>84370.93</v>
      </c>
      <c r="F18" s="379">
        <v>34982.050000000003</v>
      </c>
      <c r="G18" s="386"/>
      <c r="H18" s="379">
        <v>42400</v>
      </c>
      <c r="I18" s="392">
        <v>6060</v>
      </c>
      <c r="J18" s="374">
        <v>1161376.8400000001</v>
      </c>
      <c r="K18" s="376">
        <v>979554.98</v>
      </c>
      <c r="L18" s="376">
        <v>81241.570000000007</v>
      </c>
      <c r="M18" s="376">
        <v>94864.69</v>
      </c>
      <c r="N18" s="374">
        <v>1175024.1599999999</v>
      </c>
      <c r="O18" s="374"/>
      <c r="P18" s="374">
        <v>270780.24</v>
      </c>
      <c r="Q18" s="374">
        <v>87261.36</v>
      </c>
      <c r="R18" s="374">
        <v>4245309.5999999996</v>
      </c>
      <c r="S18" s="376"/>
      <c r="T18" s="374">
        <v>1616189.06</v>
      </c>
      <c r="U18" s="379">
        <v>424325.6</v>
      </c>
      <c r="V18" s="379">
        <v>48070.06</v>
      </c>
      <c r="W18" s="376">
        <v>530158.07999999996</v>
      </c>
      <c r="X18" s="374"/>
      <c r="Y18" s="374">
        <v>2367915.65</v>
      </c>
      <c r="Z18" s="376"/>
      <c r="AA18" s="379">
        <v>2071615</v>
      </c>
      <c r="AB18" s="374">
        <v>300000</v>
      </c>
      <c r="AC18" s="374">
        <v>4306502.55</v>
      </c>
    </row>
    <row r="19" spans="1:29" ht="12.75" customHeight="1" x14ac:dyDescent="0.15">
      <c r="A19" s="373" t="s">
        <v>310</v>
      </c>
      <c r="B19" s="374">
        <v>391395.95</v>
      </c>
      <c r="C19" s="375">
        <v>285841.67</v>
      </c>
      <c r="D19" s="375">
        <v>60462.49</v>
      </c>
      <c r="E19" s="375">
        <v>18734.79</v>
      </c>
      <c r="F19" s="376"/>
      <c r="G19" s="376"/>
      <c r="H19" s="376"/>
      <c r="I19" s="374"/>
      <c r="J19" s="374">
        <v>177595.67</v>
      </c>
      <c r="K19" s="376"/>
      <c r="L19" s="378">
        <f>2700+5542.91</f>
        <v>8242.91</v>
      </c>
      <c r="M19" s="378">
        <f>19056.05+10000+4534.68</f>
        <v>33590.729999999996</v>
      </c>
      <c r="N19" s="377">
        <v>218029.83</v>
      </c>
      <c r="O19" s="374"/>
      <c r="P19" s="377">
        <v>59732.5</v>
      </c>
      <c r="Q19" s="377">
        <f>56814.28+9874.78</f>
        <v>66689.06</v>
      </c>
      <c r="R19" s="377">
        <v>913443.01</v>
      </c>
      <c r="S19" s="376"/>
      <c r="T19" s="374">
        <v>109055.39</v>
      </c>
      <c r="U19" s="375">
        <v>64667.19</v>
      </c>
      <c r="V19" s="375">
        <v>671.2</v>
      </c>
      <c r="W19" s="376">
        <v>1855</v>
      </c>
      <c r="X19" s="374">
        <v>117.6</v>
      </c>
      <c r="Y19" s="374">
        <v>730926.38</v>
      </c>
      <c r="Z19" s="376"/>
      <c r="AA19" s="376">
        <v>582216.86</v>
      </c>
      <c r="AC19" s="374">
        <v>1385612.62</v>
      </c>
    </row>
    <row r="20" spans="1:29" ht="12.75" customHeight="1" x14ac:dyDescent="0.15">
      <c r="A20" s="373" t="s">
        <v>311</v>
      </c>
      <c r="B20" s="374">
        <v>3140433.63</v>
      </c>
      <c r="C20" s="379">
        <v>1487921.72</v>
      </c>
      <c r="D20" s="379">
        <v>1248004.8999999999</v>
      </c>
      <c r="E20" s="379">
        <v>105636.07</v>
      </c>
      <c r="F20" s="376"/>
      <c r="G20" s="379">
        <v>34238</v>
      </c>
      <c r="H20" s="376"/>
      <c r="I20" s="392">
        <v>39999.370000000003</v>
      </c>
      <c r="J20" s="374">
        <v>1111127.94</v>
      </c>
      <c r="K20" s="376">
        <v>261056.55</v>
      </c>
      <c r="L20" s="376">
        <v>95490.43</v>
      </c>
      <c r="M20" s="376">
        <v>157513.01</v>
      </c>
      <c r="N20" s="374">
        <v>2787155.2</v>
      </c>
      <c r="O20" s="374">
        <v>100000</v>
      </c>
      <c r="P20" s="374">
        <v>641976.35</v>
      </c>
      <c r="Q20" s="374">
        <v>56740.98</v>
      </c>
      <c r="R20" s="374">
        <v>7877433.4699999997</v>
      </c>
      <c r="S20" s="410"/>
      <c r="T20" s="374">
        <v>7206117.4500000002</v>
      </c>
      <c r="U20" s="376">
        <v>3452080.54</v>
      </c>
      <c r="V20" s="376">
        <v>301841.91999999998</v>
      </c>
      <c r="W20" s="376">
        <v>610731.54</v>
      </c>
      <c r="X20" s="374">
        <v>49572.639999999999</v>
      </c>
      <c r="Y20" s="374"/>
      <c r="Z20" s="376"/>
      <c r="AA20" s="376"/>
      <c r="AB20" s="374"/>
      <c r="AC20" s="374">
        <v>10763138.18</v>
      </c>
    </row>
    <row r="21" spans="1:29" ht="12.75" customHeight="1" x14ac:dyDescent="0.15">
      <c r="A21" s="373" t="s">
        <v>312</v>
      </c>
      <c r="B21" s="374">
        <v>1961489.23</v>
      </c>
      <c r="C21" s="376">
        <v>1323806.02</v>
      </c>
      <c r="D21" s="376">
        <v>382744.22</v>
      </c>
      <c r="E21" s="375">
        <f>143225.08+847.16+19019.77</f>
        <v>163092.00999999998</v>
      </c>
      <c r="F21" s="376"/>
      <c r="G21" s="376"/>
      <c r="H21" s="375">
        <v>500</v>
      </c>
      <c r="I21" s="377">
        <v>21625.7</v>
      </c>
      <c r="J21" s="374">
        <v>523009.27</v>
      </c>
      <c r="K21" s="376">
        <v>16910</v>
      </c>
      <c r="L21" s="376">
        <v>10303.1</v>
      </c>
      <c r="M21" s="376">
        <v>34118.28</v>
      </c>
      <c r="N21" s="374">
        <v>239367.56</v>
      </c>
      <c r="O21" s="374"/>
      <c r="P21" s="374">
        <v>1537531.49</v>
      </c>
      <c r="Q21" s="374">
        <v>10000</v>
      </c>
      <c r="R21" s="374">
        <v>4293023.25</v>
      </c>
      <c r="S21" s="410"/>
      <c r="T21" s="374">
        <v>2914728.07</v>
      </c>
      <c r="U21" s="376">
        <v>2037928.16</v>
      </c>
      <c r="V21" s="376">
        <v>280534.68</v>
      </c>
      <c r="W21" s="400">
        <v>190216.69</v>
      </c>
      <c r="X21" s="374"/>
      <c r="Y21" s="399">
        <v>1023354</v>
      </c>
      <c r="Z21" s="376"/>
      <c r="AA21" s="400">
        <v>919636</v>
      </c>
      <c r="AB21" s="374">
        <v>360142.03</v>
      </c>
      <c r="AC21" s="374">
        <v>4382330.2300000004</v>
      </c>
    </row>
    <row r="22" spans="1:29" ht="12.75" customHeight="1" x14ac:dyDescent="0.15">
      <c r="A22" s="401" t="s">
        <v>313</v>
      </c>
      <c r="B22" s="374">
        <v>622775.32999999996</v>
      </c>
      <c r="C22" s="375">
        <v>460078.94</v>
      </c>
      <c r="D22" s="375">
        <v>104719.46</v>
      </c>
      <c r="E22" s="375">
        <v>6085.93</v>
      </c>
      <c r="F22" s="376"/>
      <c r="G22" s="376"/>
      <c r="H22" s="376"/>
      <c r="I22" s="377">
        <v>919.93</v>
      </c>
      <c r="J22" s="392">
        <v>146278.1</v>
      </c>
      <c r="K22" s="376">
        <v>57199</v>
      </c>
      <c r="L22" s="376">
        <v>18001.169999999998</v>
      </c>
      <c r="M22" s="376">
        <v>71077.929999999993</v>
      </c>
      <c r="N22" s="377">
        <v>208081.53</v>
      </c>
      <c r="O22" s="374"/>
      <c r="P22" s="377">
        <v>44815.08</v>
      </c>
      <c r="Q22" s="374"/>
      <c r="R22" s="374">
        <v>1022869.97</v>
      </c>
      <c r="S22" s="376"/>
      <c r="T22" s="374">
        <v>694250.07</v>
      </c>
      <c r="U22" s="375">
        <v>387522.16</v>
      </c>
      <c r="V22" s="375">
        <v>32040.91</v>
      </c>
      <c r="W22" s="406">
        <f>5000.17+138178.17</f>
        <v>143178.34000000003</v>
      </c>
      <c r="X22" s="374"/>
      <c r="Y22" s="403">
        <v>317254</v>
      </c>
      <c r="Z22" s="376"/>
      <c r="AA22" s="404">
        <v>27901</v>
      </c>
      <c r="AB22" s="374"/>
      <c r="AC22" s="374">
        <v>1025141.38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2"/>
      <c r="B2" s="4" t="s">
        <v>19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9"/>
      <c r="D3" s="10"/>
      <c r="E3" s="11"/>
      <c r="F3" s="12"/>
    </row>
    <row r="4" spans="1:6" ht="13" x14ac:dyDescent="0.15">
      <c r="A4" s="2"/>
      <c r="B4" s="14"/>
      <c r="C4" s="16"/>
      <c r="D4" s="17"/>
      <c r="E4" s="17"/>
      <c r="F4" s="17"/>
    </row>
    <row r="5" spans="1:6" ht="13" x14ac:dyDescent="0.15">
      <c r="A5" s="18">
        <v>41</v>
      </c>
      <c r="B5" s="23" t="s">
        <v>0</v>
      </c>
      <c r="C5" s="48">
        <f>SUM(C6:C13)</f>
        <v>391395.94999999995</v>
      </c>
      <c r="D5" s="30"/>
      <c r="E5" s="30"/>
      <c r="F5" s="17"/>
    </row>
    <row r="6" spans="1:6" ht="13" x14ac:dyDescent="0.15">
      <c r="A6" s="18">
        <v>411</v>
      </c>
      <c r="B6" s="26" t="s">
        <v>36</v>
      </c>
      <c r="C6" s="79">
        <v>285841.67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27">
        <v>26357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27">
        <v>60462.49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27">
        <v>18734.79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56"/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56"/>
      <c r="D11" s="17"/>
      <c r="E11" s="28"/>
      <c r="F11" s="28"/>
    </row>
    <row r="12" spans="1:6" ht="13" x14ac:dyDescent="0.15">
      <c r="A12" s="18">
        <v>417</v>
      </c>
      <c r="B12" s="26" t="s">
        <v>6</v>
      </c>
      <c r="C12" s="56"/>
      <c r="D12" s="43"/>
      <c r="E12" s="28"/>
      <c r="F12" s="28"/>
    </row>
    <row r="13" spans="1:6" ht="13" x14ac:dyDescent="0.15">
      <c r="A13" s="18">
        <v>418</v>
      </c>
      <c r="B13" s="26" t="s">
        <v>38</v>
      </c>
      <c r="C13" s="56"/>
      <c r="D13" s="43"/>
      <c r="E13" s="28"/>
      <c r="F13" s="28"/>
    </row>
    <row r="14" spans="1:6" ht="13" x14ac:dyDescent="0.15">
      <c r="A14" s="18">
        <v>42</v>
      </c>
      <c r="B14" s="53" t="s">
        <v>7</v>
      </c>
      <c r="C14" s="41"/>
      <c r="D14" s="82"/>
      <c r="E14" s="55"/>
      <c r="F14" s="55"/>
    </row>
    <row r="15" spans="1:6" ht="16.5" customHeight="1" x14ac:dyDescent="0.15">
      <c r="A15" s="59">
        <v>43</v>
      </c>
      <c r="B15" s="61" t="s">
        <v>8</v>
      </c>
      <c r="C15" s="63">
        <f>SUM(C16:C19)</f>
        <v>177595.66999999998</v>
      </c>
      <c r="D15" s="65"/>
      <c r="E15" s="63"/>
      <c r="F15" s="17"/>
    </row>
    <row r="16" spans="1:6" ht="13" x14ac:dyDescent="0.15">
      <c r="A16" s="40" t="s">
        <v>40</v>
      </c>
      <c r="B16" s="42" t="s">
        <v>9</v>
      </c>
      <c r="C16" s="67"/>
      <c r="D16" s="69"/>
      <c r="E16" s="67"/>
      <c r="F16" s="17"/>
    </row>
    <row r="17" spans="1:6" ht="13" x14ac:dyDescent="0.15">
      <c r="A17" s="40" t="s">
        <v>41</v>
      </c>
      <c r="B17" s="42" t="s">
        <v>10</v>
      </c>
      <c r="C17" s="70">
        <f>2700+5542.91</f>
        <v>8242.91</v>
      </c>
      <c r="D17" s="69"/>
      <c r="E17" s="67"/>
      <c r="F17" s="17"/>
    </row>
    <row r="18" spans="1:6" ht="13" x14ac:dyDescent="0.15">
      <c r="A18" s="40" t="s">
        <v>42</v>
      </c>
      <c r="B18" s="71" t="s">
        <v>11</v>
      </c>
      <c r="C18" s="69">
        <f>19056.05+10000+4534.68</f>
        <v>33590.729999999996</v>
      </c>
      <c r="D18" s="67"/>
      <c r="E18" s="43"/>
      <c r="F18" s="85"/>
    </row>
    <row r="19" spans="1:6" ht="13" x14ac:dyDescent="0.15">
      <c r="A19" s="40" t="s">
        <v>43</v>
      </c>
      <c r="B19" s="71" t="s">
        <v>44</v>
      </c>
      <c r="C19" s="69">
        <f>104467.71+7385.36+23908.96</f>
        <v>135762.03</v>
      </c>
      <c r="D19" s="67"/>
      <c r="E19" s="43"/>
      <c r="F19" s="104"/>
    </row>
    <row r="20" spans="1:6" ht="13" x14ac:dyDescent="0.15">
      <c r="A20" s="18">
        <v>44</v>
      </c>
      <c r="B20" s="106" t="s">
        <v>12</v>
      </c>
      <c r="C20" s="107">
        <v>218029.83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6"/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107">
        <v>59732.5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16">
        <f>56814.28+9874.78</f>
        <v>66689.06</v>
      </c>
      <c r="D23" s="17"/>
      <c r="E23" s="17"/>
      <c r="F23" s="17"/>
    </row>
    <row r="24" spans="1:6" ht="13" x14ac:dyDescent="0.15">
      <c r="A24" s="2"/>
      <c r="B24" s="23" t="s">
        <v>16</v>
      </c>
      <c r="C24" s="100">
        <v>913443.01</v>
      </c>
      <c r="D24" s="17"/>
      <c r="E24" s="17"/>
      <c r="F24" s="17"/>
    </row>
    <row r="25" spans="1:6" ht="13" x14ac:dyDescent="0.15">
      <c r="A25" s="2"/>
      <c r="B25" s="119" t="s">
        <v>59</v>
      </c>
      <c r="C25" s="128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174">
        <f>SUM(C27:C31)</f>
        <v>109055.39</v>
      </c>
      <c r="D26" s="143"/>
      <c r="E26" s="143"/>
      <c r="F26" s="14"/>
    </row>
    <row r="27" spans="1:6" ht="13" x14ac:dyDescent="0.15">
      <c r="A27" s="40">
        <v>711</v>
      </c>
      <c r="B27" s="42" t="s">
        <v>48</v>
      </c>
      <c r="C27" s="27">
        <v>64667.19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36">
        <v>671.2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79">
        <v>1855</v>
      </c>
      <c r="D29" s="43"/>
      <c r="E29" s="43"/>
      <c r="F29" s="28"/>
    </row>
    <row r="30" spans="1:6" ht="13" x14ac:dyDescent="0.15">
      <c r="A30" s="136"/>
      <c r="B30" s="42" t="s">
        <v>60</v>
      </c>
      <c r="C30" s="43">
        <f>4071.72-C29</f>
        <v>2216.7199999999998</v>
      </c>
      <c r="D30" s="43"/>
      <c r="E30" s="43"/>
      <c r="F30" s="28"/>
    </row>
    <row r="31" spans="1:6" ht="13" x14ac:dyDescent="0.15">
      <c r="A31" s="40">
        <v>715</v>
      </c>
      <c r="B31" s="42" t="s">
        <v>61</v>
      </c>
      <c r="C31" s="27">
        <v>39645.279999999999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107">
        <v>117.6</v>
      </c>
      <c r="D32" s="17"/>
      <c r="E32" s="17"/>
      <c r="F32" s="43"/>
    </row>
    <row r="33" spans="1:6" ht="18" customHeight="1" x14ac:dyDescent="0.15">
      <c r="A33" s="140">
        <v>73</v>
      </c>
      <c r="B33" s="62" t="s">
        <v>62</v>
      </c>
      <c r="C33" s="166">
        <v>545513.25</v>
      </c>
      <c r="D33" s="147"/>
      <c r="E33" s="147"/>
      <c r="F33" s="148"/>
    </row>
    <row r="34" spans="1:6" ht="13" x14ac:dyDescent="0.15">
      <c r="A34" s="18">
        <v>74</v>
      </c>
      <c r="B34" s="61" t="s">
        <v>52</v>
      </c>
      <c r="C34" s="63">
        <f>148709.52+582216.86</f>
        <v>730926.38</v>
      </c>
      <c r="D34" s="65"/>
      <c r="E34" s="65"/>
      <c r="F34" s="17"/>
    </row>
    <row r="35" spans="1:6" ht="13" x14ac:dyDescent="0.15">
      <c r="A35" s="40">
        <v>741</v>
      </c>
      <c r="B35" s="42" t="s">
        <v>53</v>
      </c>
      <c r="C35" s="63"/>
      <c r="D35" s="65"/>
      <c r="E35" s="65"/>
      <c r="F35" s="17"/>
    </row>
    <row r="36" spans="1:6" ht="13" x14ac:dyDescent="0.15">
      <c r="A36" s="40">
        <v>742</v>
      </c>
      <c r="B36" s="42" t="s">
        <v>54</v>
      </c>
      <c r="C36" s="78">
        <v>582216.86</v>
      </c>
      <c r="D36" s="69"/>
      <c r="E36" s="69"/>
      <c r="F36" s="17"/>
    </row>
    <row r="37" spans="1:6" ht="13" x14ac:dyDescent="0.15">
      <c r="A37" s="136"/>
      <c r="B37" s="42" t="s">
        <v>63</v>
      </c>
      <c r="C37" s="170">
        <f>C34-C36</f>
        <v>148709.52000000002</v>
      </c>
      <c r="D37" s="170"/>
      <c r="E37" s="170"/>
      <c r="F37" s="17"/>
    </row>
    <row r="38" spans="1:6" ht="13" x14ac:dyDescent="0.15">
      <c r="A38" s="18">
        <v>751</v>
      </c>
      <c r="B38" s="106" t="s">
        <v>58</v>
      </c>
      <c r="C38" s="16"/>
      <c r="D38" s="17"/>
      <c r="E38" s="17"/>
      <c r="F38" s="17"/>
    </row>
    <row r="39" spans="1:6" ht="13" x14ac:dyDescent="0.15">
      <c r="A39" s="2"/>
      <c r="B39" s="106" t="s">
        <v>64</v>
      </c>
      <c r="C39" s="175">
        <v>1385612.62</v>
      </c>
      <c r="D39" s="17"/>
      <c r="E39" s="17"/>
      <c r="F39" s="17"/>
    </row>
    <row r="40" spans="1:6" ht="13" x14ac:dyDescent="0.15">
      <c r="A40" s="2"/>
      <c r="B40" s="119" t="s">
        <v>65</v>
      </c>
      <c r="C40" s="128"/>
      <c r="D40" s="132"/>
      <c r="E40" s="132"/>
      <c r="F40" s="132"/>
    </row>
    <row r="41" spans="1:6" ht="13" x14ac:dyDescent="0.15">
      <c r="A41" s="2"/>
      <c r="B41" s="38" t="s">
        <v>66</v>
      </c>
      <c r="C41" s="56"/>
      <c r="D41" s="43"/>
      <c r="E41" s="43"/>
      <c r="F41" s="43"/>
    </row>
    <row r="42" spans="1:6" ht="13" x14ac:dyDescent="0.15">
      <c r="A42" s="2"/>
      <c r="B42" s="38" t="s">
        <v>67</v>
      </c>
      <c r="C42" s="56"/>
      <c r="D42" s="43"/>
      <c r="E42" s="43"/>
      <c r="F42" s="43"/>
    </row>
    <row r="43" spans="1:6" ht="13" x14ac:dyDescent="0.15">
      <c r="A43" s="2"/>
      <c r="B43" s="38" t="s">
        <v>68</v>
      </c>
      <c r="C43" s="56"/>
      <c r="D43" s="43"/>
      <c r="E43" s="43"/>
      <c r="F43" s="43"/>
    </row>
    <row r="44" spans="1:6" ht="13" x14ac:dyDescent="0.15">
      <c r="A44" s="2"/>
      <c r="B44" s="38" t="s">
        <v>69</v>
      </c>
      <c r="C44" s="56"/>
      <c r="D44" s="43"/>
      <c r="E44" s="43"/>
      <c r="F44" s="43"/>
    </row>
    <row r="45" spans="1:6" ht="13" x14ac:dyDescent="0.15">
      <c r="A45" s="2"/>
      <c r="B45" s="149"/>
      <c r="C45" s="128"/>
      <c r="D45" s="132"/>
      <c r="E45" s="132"/>
      <c r="F45" s="132"/>
    </row>
    <row r="46" spans="1:6" ht="19.5" customHeight="1" x14ac:dyDescent="0.15">
      <c r="B46" s="150"/>
      <c r="C46" s="150"/>
      <c r="D46" s="151"/>
      <c r="E46" s="150"/>
      <c r="F46" s="150"/>
    </row>
    <row r="47" spans="1:6" ht="19.5" customHeight="1" x14ac:dyDescent="0.15">
      <c r="B47" s="152" t="s">
        <v>70</v>
      </c>
      <c r="C47" s="1"/>
      <c r="D47" s="176"/>
      <c r="E47" s="1"/>
    </row>
    <row r="48" spans="1:6" ht="19.5" customHeight="1" x14ac:dyDescent="0.15">
      <c r="A48" s="2"/>
      <c r="B48" s="177" t="s">
        <v>71</v>
      </c>
      <c r="C48" s="170"/>
      <c r="D48" s="178"/>
      <c r="E48" s="170"/>
      <c r="F48" s="8"/>
    </row>
    <row r="49" spans="1:6" ht="24" customHeight="1" x14ac:dyDescent="0.15">
      <c r="A49" s="2"/>
      <c r="B49" s="179" t="s">
        <v>72</v>
      </c>
      <c r="C49" s="184">
        <v>728319.01</v>
      </c>
      <c r="D49" s="185"/>
      <c r="E49" s="185"/>
      <c r="F49" s="8"/>
    </row>
    <row r="50" spans="1:6" ht="24" customHeight="1" x14ac:dyDescent="0.15">
      <c r="A50" s="2"/>
      <c r="B50" s="179" t="s">
        <v>76</v>
      </c>
      <c r="C50" s="184">
        <v>62548.37</v>
      </c>
      <c r="D50" s="185"/>
      <c r="E50" s="185"/>
      <c r="F50" s="8"/>
    </row>
    <row r="51" spans="1:6" ht="24" customHeight="1" x14ac:dyDescent="0.15">
      <c r="A51" s="2"/>
      <c r="B51" s="179" t="s">
        <v>77</v>
      </c>
      <c r="C51" s="184">
        <v>26167.74</v>
      </c>
      <c r="D51" s="185"/>
      <c r="E51" s="185"/>
      <c r="F51" s="8"/>
    </row>
    <row r="52" spans="1:6" ht="24" customHeight="1" x14ac:dyDescent="0.15">
      <c r="A52" s="2"/>
      <c r="B52" s="186" t="s">
        <v>78</v>
      </c>
      <c r="C52" s="184">
        <v>47208.95</v>
      </c>
      <c r="D52" s="185"/>
      <c r="E52" s="185"/>
      <c r="F52" s="8"/>
    </row>
    <row r="53" spans="1:6" ht="24" customHeight="1" x14ac:dyDescent="0.15">
      <c r="A53" s="2"/>
      <c r="B53" s="179" t="s">
        <v>79</v>
      </c>
      <c r="C53" s="184">
        <v>24807.94</v>
      </c>
      <c r="D53" s="185"/>
      <c r="E53" s="185"/>
      <c r="F53" s="8"/>
    </row>
    <row r="54" spans="1:6" ht="24" customHeight="1" x14ac:dyDescent="0.15">
      <c r="A54" s="2"/>
      <c r="B54" s="187" t="s">
        <v>80</v>
      </c>
      <c r="C54" s="184">
        <v>24391</v>
      </c>
      <c r="D54" s="185"/>
      <c r="E54" s="185"/>
      <c r="F54" s="8"/>
    </row>
    <row r="55" spans="1:6" ht="24" customHeight="1" x14ac:dyDescent="0.15">
      <c r="A55" s="2"/>
      <c r="B55" s="188"/>
      <c r="C55" s="185"/>
      <c r="D55" s="185"/>
      <c r="E55" s="185"/>
      <c r="F55" s="8"/>
    </row>
    <row r="56" spans="1:6" ht="19.5" customHeight="1" x14ac:dyDescent="0.15">
      <c r="A56" s="2"/>
      <c r="B56" s="177" t="s">
        <v>81</v>
      </c>
      <c r="C56" s="189">
        <v>913443.01</v>
      </c>
      <c r="D56" s="190"/>
      <c r="E56" s="190"/>
      <c r="F56" s="8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2"/>
      <c r="B2" s="4" t="s">
        <v>21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9"/>
      <c r="D3" s="10"/>
      <c r="E3" s="11"/>
      <c r="F3" s="12"/>
    </row>
    <row r="4" spans="1:6" ht="13" x14ac:dyDescent="0.15">
      <c r="A4" s="2"/>
      <c r="B4" s="14"/>
      <c r="C4" s="16"/>
      <c r="D4" s="17"/>
      <c r="E4" s="17"/>
      <c r="F4" s="17"/>
    </row>
    <row r="5" spans="1:6" ht="13" x14ac:dyDescent="0.15">
      <c r="A5" s="18">
        <v>41</v>
      </c>
      <c r="B5" s="23" t="s">
        <v>0</v>
      </c>
      <c r="C5" s="48">
        <f>SUM(C6:C12)</f>
        <v>15376004.299999995</v>
      </c>
      <c r="D5" s="30"/>
      <c r="E5" s="30"/>
      <c r="F5" s="17"/>
    </row>
    <row r="6" spans="1:6" ht="13" x14ac:dyDescent="0.15">
      <c r="A6" s="18">
        <v>411</v>
      </c>
      <c r="B6" s="26" t="s">
        <v>36</v>
      </c>
      <c r="C6" s="27">
        <v>9005506.6199999992</v>
      </c>
      <c r="D6" s="43"/>
      <c r="E6" s="67"/>
      <c r="F6" s="28"/>
    </row>
    <row r="7" spans="1:6" ht="13" x14ac:dyDescent="0.15">
      <c r="A7" s="18">
        <v>412</v>
      </c>
      <c r="B7" s="38" t="s">
        <v>37</v>
      </c>
      <c r="C7" s="27">
        <v>709576.03</v>
      </c>
      <c r="D7" s="43"/>
      <c r="E7" s="67"/>
      <c r="F7" s="28"/>
    </row>
    <row r="8" spans="1:6" ht="13" x14ac:dyDescent="0.15">
      <c r="A8" s="18">
        <v>413</v>
      </c>
      <c r="B8" s="38" t="s">
        <v>2</v>
      </c>
      <c r="C8" s="36">
        <v>4230317.47</v>
      </c>
      <c r="D8" s="43"/>
      <c r="E8" s="69"/>
      <c r="F8" s="28"/>
    </row>
    <row r="9" spans="1:6" ht="13" x14ac:dyDescent="0.15">
      <c r="A9" s="40">
        <v>414</v>
      </c>
      <c r="B9" s="26" t="s">
        <v>3</v>
      </c>
      <c r="C9" s="36">
        <v>379585.94</v>
      </c>
      <c r="D9" s="43"/>
      <c r="E9" s="69"/>
      <c r="F9" s="28"/>
    </row>
    <row r="10" spans="1:6" ht="13" x14ac:dyDescent="0.15">
      <c r="A10" s="18">
        <v>415</v>
      </c>
      <c r="B10" s="42" t="s">
        <v>4</v>
      </c>
      <c r="C10" s="36">
        <v>954832.45</v>
      </c>
      <c r="D10" s="43"/>
      <c r="E10" s="69"/>
      <c r="F10" s="28"/>
    </row>
    <row r="11" spans="1:6" ht="13" x14ac:dyDescent="0.15">
      <c r="A11" s="18">
        <v>416</v>
      </c>
      <c r="B11" s="26" t="s">
        <v>5</v>
      </c>
      <c r="C11" s="43"/>
      <c r="D11" s="43"/>
      <c r="E11" s="69"/>
      <c r="F11" s="28"/>
    </row>
    <row r="12" spans="1:6" ht="13" x14ac:dyDescent="0.15">
      <c r="A12" s="18">
        <v>418</v>
      </c>
      <c r="B12" s="26" t="s">
        <v>38</v>
      </c>
      <c r="C12" s="36">
        <v>96185.79</v>
      </c>
      <c r="D12" s="43"/>
      <c r="E12" s="69"/>
      <c r="F12" s="28"/>
    </row>
    <row r="13" spans="1:6" ht="13" x14ac:dyDescent="0.15">
      <c r="A13" s="18">
        <v>42</v>
      </c>
      <c r="B13" s="62" t="s">
        <v>7</v>
      </c>
      <c r="C13" s="16"/>
      <c r="D13" s="43"/>
      <c r="E13" s="28"/>
      <c r="F13" s="28"/>
    </row>
    <row r="14" spans="1:6" ht="16.5" customHeight="1" x14ac:dyDescent="0.15">
      <c r="A14" s="59">
        <v>43</v>
      </c>
      <c r="B14" s="61" t="s">
        <v>8</v>
      </c>
      <c r="C14" s="63">
        <f>SUM(C15:C18)</f>
        <v>10160708.559999999</v>
      </c>
      <c r="D14" s="63"/>
      <c r="E14" s="63"/>
      <c r="F14" s="17"/>
    </row>
    <row r="15" spans="1:6" ht="13" x14ac:dyDescent="0.15">
      <c r="A15" s="40" t="s">
        <v>40</v>
      </c>
      <c r="B15" s="42" t="s">
        <v>9</v>
      </c>
      <c r="C15" s="78">
        <v>274500</v>
      </c>
      <c r="D15" s="69"/>
      <c r="E15" s="67"/>
      <c r="F15" s="17"/>
    </row>
    <row r="16" spans="1:6" ht="13" x14ac:dyDescent="0.15">
      <c r="A16" s="40" t="s">
        <v>41</v>
      </c>
      <c r="B16" s="42" t="s">
        <v>10</v>
      </c>
      <c r="C16" s="58">
        <v>392320.85</v>
      </c>
      <c r="D16" s="69"/>
      <c r="E16" s="67"/>
      <c r="F16" s="17"/>
    </row>
    <row r="17" spans="1:6" ht="13" x14ac:dyDescent="0.15">
      <c r="A17" s="40" t="s">
        <v>42</v>
      </c>
      <c r="B17" s="71" t="s">
        <v>11</v>
      </c>
      <c r="C17" s="80">
        <v>816702.35</v>
      </c>
      <c r="D17" s="67"/>
      <c r="E17" s="43"/>
      <c r="F17" s="81"/>
    </row>
    <row r="18" spans="1:6" ht="13" x14ac:dyDescent="0.15">
      <c r="A18" s="40" t="s">
        <v>43</v>
      </c>
      <c r="B18" s="71" t="s">
        <v>44</v>
      </c>
      <c r="C18" s="69">
        <f>806829.66+300000+7570355.7</f>
        <v>8677185.3599999994</v>
      </c>
      <c r="D18" s="67"/>
      <c r="E18" s="83"/>
      <c r="F18" s="81"/>
    </row>
    <row r="19" spans="1:6" ht="13" x14ac:dyDescent="0.15">
      <c r="A19" s="18">
        <v>44</v>
      </c>
      <c r="B19" s="106" t="s">
        <v>12</v>
      </c>
      <c r="C19" s="107">
        <v>13557104.369999999</v>
      </c>
      <c r="D19" s="63"/>
      <c r="E19" s="63"/>
      <c r="F19" s="17"/>
    </row>
    <row r="20" spans="1:6" ht="13" x14ac:dyDescent="0.15">
      <c r="A20" s="18">
        <v>45</v>
      </c>
      <c r="B20" s="62" t="s">
        <v>58</v>
      </c>
      <c r="C20" s="16"/>
      <c r="D20" s="17"/>
      <c r="E20" s="17"/>
      <c r="F20" s="17"/>
    </row>
    <row r="21" spans="1:6" ht="13" x14ac:dyDescent="0.15">
      <c r="A21" s="18">
        <v>46</v>
      </c>
      <c r="B21" s="23" t="s">
        <v>14</v>
      </c>
      <c r="C21" s="107">
        <v>1619383.87</v>
      </c>
      <c r="D21" s="63"/>
      <c r="E21" s="63"/>
      <c r="F21" s="17"/>
    </row>
    <row r="22" spans="1:6" ht="13" x14ac:dyDescent="0.15">
      <c r="A22" s="18">
        <v>47</v>
      </c>
      <c r="B22" s="23" t="s">
        <v>15</v>
      </c>
      <c r="C22" s="107">
        <v>523080.51</v>
      </c>
      <c r="D22" s="63"/>
      <c r="E22" s="63"/>
      <c r="F22" s="17"/>
    </row>
    <row r="23" spans="1:6" ht="13" x14ac:dyDescent="0.15">
      <c r="A23" s="2"/>
      <c r="B23" s="23" t="s">
        <v>16</v>
      </c>
      <c r="C23" s="126">
        <v>41236281.609999999</v>
      </c>
      <c r="D23" s="17"/>
      <c r="E23" s="17"/>
      <c r="F23" s="17"/>
    </row>
    <row r="24" spans="1:6" ht="13" x14ac:dyDescent="0.15">
      <c r="A24" s="2"/>
      <c r="B24" s="119" t="s">
        <v>59</v>
      </c>
      <c r="C24" s="128"/>
      <c r="D24" s="132"/>
      <c r="E24" s="132"/>
      <c r="F24" s="132"/>
    </row>
    <row r="25" spans="1:6" ht="13" x14ac:dyDescent="0.15">
      <c r="A25" s="18">
        <v>71</v>
      </c>
      <c r="B25" s="23" t="s">
        <v>46</v>
      </c>
      <c r="C25" s="172">
        <f>SUM(C26:C30)</f>
        <v>37115568.559999995</v>
      </c>
      <c r="D25" s="30"/>
      <c r="E25" s="30"/>
      <c r="F25" s="14"/>
    </row>
    <row r="26" spans="1:6" ht="13" x14ac:dyDescent="0.15">
      <c r="A26" s="40">
        <v>711</v>
      </c>
      <c r="B26" s="42" t="s">
        <v>48</v>
      </c>
      <c r="C26" s="36">
        <v>20850194.030000001</v>
      </c>
      <c r="D26" s="43"/>
      <c r="E26" s="43"/>
      <c r="F26" s="28"/>
    </row>
    <row r="27" spans="1:6" ht="13" x14ac:dyDescent="0.15">
      <c r="A27" s="40">
        <v>713</v>
      </c>
      <c r="B27" s="42" t="s">
        <v>49</v>
      </c>
      <c r="C27" s="27">
        <v>1737974.79</v>
      </c>
      <c r="D27" s="43"/>
      <c r="E27" s="43"/>
      <c r="F27" s="28"/>
    </row>
    <row r="28" spans="1:6" ht="13" x14ac:dyDescent="0.15">
      <c r="A28" s="40">
        <v>714</v>
      </c>
      <c r="B28" s="42" t="s">
        <v>50</v>
      </c>
      <c r="C28" s="56">
        <f>288091.04+164674.8</f>
        <v>452765.83999999997</v>
      </c>
      <c r="D28" s="43"/>
      <c r="E28" s="43"/>
      <c r="F28" s="28"/>
    </row>
    <row r="29" spans="1:6" ht="13" x14ac:dyDescent="0.15">
      <c r="A29" s="136"/>
      <c r="B29" s="42" t="s">
        <v>60</v>
      </c>
      <c r="C29" s="43">
        <f>10316864.17+686155.71+540181.97</f>
        <v>11543201.85</v>
      </c>
      <c r="D29" s="43"/>
      <c r="E29" s="43"/>
      <c r="F29" s="28"/>
    </row>
    <row r="30" spans="1:6" ht="13" x14ac:dyDescent="0.15">
      <c r="A30" s="40">
        <v>715</v>
      </c>
      <c r="B30" s="42" t="s">
        <v>61</v>
      </c>
      <c r="C30" s="27">
        <v>2531432.0499999998</v>
      </c>
      <c r="D30" s="43"/>
      <c r="E30" s="43"/>
      <c r="F30" s="28"/>
    </row>
    <row r="31" spans="1:6" ht="13" x14ac:dyDescent="0.15">
      <c r="A31" s="18">
        <v>72</v>
      </c>
      <c r="B31" s="146" t="s">
        <v>51</v>
      </c>
      <c r="C31" s="107">
        <v>6030738.0099999998</v>
      </c>
      <c r="D31" s="17"/>
      <c r="E31" s="17"/>
      <c r="F31" s="43"/>
    </row>
    <row r="32" spans="1:6" ht="18" customHeight="1" x14ac:dyDescent="0.15">
      <c r="A32" s="140">
        <v>73</v>
      </c>
      <c r="B32" s="62" t="s">
        <v>62</v>
      </c>
      <c r="C32" s="64">
        <v>287592.19</v>
      </c>
      <c r="D32" s="65"/>
      <c r="E32" s="65"/>
      <c r="F32" s="148"/>
    </row>
    <row r="33" spans="1:6" ht="13" x14ac:dyDescent="0.15">
      <c r="A33" s="18">
        <v>74</v>
      </c>
      <c r="B33" s="61" t="s">
        <v>52</v>
      </c>
      <c r="C33" s="145">
        <v>173255.92</v>
      </c>
      <c r="D33" s="65"/>
      <c r="E33" s="65"/>
      <c r="F33" s="17"/>
    </row>
    <row r="34" spans="1:6" ht="13" x14ac:dyDescent="0.15">
      <c r="A34" s="40">
        <v>741</v>
      </c>
      <c r="B34" s="42" t="s">
        <v>53</v>
      </c>
      <c r="C34" s="78">
        <v>173255.92</v>
      </c>
      <c r="D34" s="69"/>
      <c r="E34" s="69"/>
      <c r="F34" s="17"/>
    </row>
    <row r="35" spans="1:6" ht="13" x14ac:dyDescent="0.15">
      <c r="A35" s="40">
        <v>742</v>
      </c>
      <c r="B35" s="42" t="s">
        <v>54</v>
      </c>
      <c r="C35" s="63"/>
      <c r="D35" s="65"/>
      <c r="E35" s="65"/>
      <c r="F35" s="17"/>
    </row>
    <row r="36" spans="1:6" ht="13" x14ac:dyDescent="0.15">
      <c r="A36" s="136"/>
      <c r="B36" s="42" t="s">
        <v>63</v>
      </c>
      <c r="C36" s="63"/>
      <c r="D36" s="170"/>
      <c r="E36" s="65"/>
      <c r="F36" s="17"/>
    </row>
    <row r="37" spans="1:6" ht="13" x14ac:dyDescent="0.15">
      <c r="A37" s="18">
        <v>751</v>
      </c>
      <c r="B37" s="106" t="s">
        <v>58</v>
      </c>
      <c r="C37" s="56"/>
      <c r="D37" s="17"/>
      <c r="E37" s="43"/>
      <c r="F37" s="17"/>
    </row>
    <row r="38" spans="1:6" ht="13" x14ac:dyDescent="0.15">
      <c r="A38" s="2"/>
      <c r="B38" s="106" t="s">
        <v>64</v>
      </c>
      <c r="C38" s="126">
        <v>43607154.68</v>
      </c>
      <c r="D38" s="17"/>
      <c r="E38" s="17"/>
      <c r="F38" s="17"/>
    </row>
    <row r="39" spans="1:6" ht="13" x14ac:dyDescent="0.15">
      <c r="A39" s="2"/>
      <c r="B39" s="119" t="s">
        <v>65</v>
      </c>
      <c r="C39" s="128"/>
      <c r="D39" s="132"/>
      <c r="E39" s="132"/>
      <c r="F39" s="132"/>
    </row>
    <row r="40" spans="1:6" ht="13" x14ac:dyDescent="0.15">
      <c r="A40" s="2"/>
      <c r="B40" s="38" t="s">
        <v>66</v>
      </c>
      <c r="C40" s="56"/>
      <c r="D40" s="43"/>
      <c r="E40" s="43"/>
      <c r="F40" s="43"/>
    </row>
    <row r="41" spans="1:6" ht="13" x14ac:dyDescent="0.15">
      <c r="A41" s="2"/>
      <c r="B41" s="38" t="s">
        <v>67</v>
      </c>
      <c r="C41" s="56"/>
      <c r="D41" s="43"/>
      <c r="E41" s="43"/>
      <c r="F41" s="43"/>
    </row>
    <row r="42" spans="1:6" ht="13" x14ac:dyDescent="0.15">
      <c r="A42" s="2"/>
      <c r="B42" s="38" t="s">
        <v>68</v>
      </c>
      <c r="C42" s="56"/>
      <c r="D42" s="43"/>
      <c r="E42" s="43"/>
      <c r="F42" s="43"/>
    </row>
    <row r="43" spans="1:6" ht="13" x14ac:dyDescent="0.15">
      <c r="A43" s="2"/>
      <c r="B43" s="38" t="s">
        <v>69</v>
      </c>
      <c r="C43" s="56"/>
      <c r="D43" s="43"/>
      <c r="E43" s="43"/>
      <c r="F43" s="43"/>
    </row>
    <row r="44" spans="1:6" ht="13" x14ac:dyDescent="0.15">
      <c r="A44" s="2"/>
      <c r="B44" s="149"/>
      <c r="C44" s="128"/>
      <c r="D44" s="132"/>
      <c r="E44" s="132"/>
      <c r="F44" s="132"/>
    </row>
    <row r="45" spans="1:6" ht="19.5" customHeight="1" x14ac:dyDescent="0.15">
      <c r="B45" s="150"/>
      <c r="C45" s="150"/>
      <c r="D45" s="151"/>
      <c r="E45" s="150"/>
      <c r="F45" s="150"/>
    </row>
    <row r="46" spans="1:6" ht="19.5" customHeight="1" x14ac:dyDescent="0.15">
      <c r="B46" s="152" t="s">
        <v>70</v>
      </c>
      <c r="C46" s="1"/>
      <c r="D46" s="176"/>
      <c r="E46" s="1"/>
    </row>
    <row r="47" spans="1:6" ht="19.5" customHeight="1" x14ac:dyDescent="0.15">
      <c r="A47" s="192"/>
      <c r="B47" s="177" t="s">
        <v>71</v>
      </c>
      <c r="C47" s="92"/>
      <c r="D47" s="193"/>
      <c r="E47" s="92"/>
      <c r="F47" s="259"/>
    </row>
    <row r="48" spans="1:6" ht="24" customHeight="1" x14ac:dyDescent="0.15">
      <c r="A48" s="192"/>
      <c r="B48" s="179" t="s">
        <v>186</v>
      </c>
      <c r="C48" s="184">
        <v>633537.35</v>
      </c>
      <c r="D48" s="185"/>
      <c r="E48" s="185"/>
      <c r="F48" s="259"/>
    </row>
    <row r="49" spans="1:6" ht="24" customHeight="1" x14ac:dyDescent="0.15">
      <c r="A49" s="192"/>
      <c r="B49" s="186" t="s">
        <v>158</v>
      </c>
      <c r="C49" s="184">
        <v>71066.899999999994</v>
      </c>
      <c r="D49" s="185"/>
      <c r="E49" s="185"/>
      <c r="F49" s="259"/>
    </row>
    <row r="50" spans="1:6" ht="24" customHeight="1" x14ac:dyDescent="0.15">
      <c r="A50" s="192"/>
      <c r="B50" s="186" t="s">
        <v>187</v>
      </c>
      <c r="C50" s="184">
        <v>67285.070000000007</v>
      </c>
      <c r="D50" s="185"/>
      <c r="E50" s="185"/>
      <c r="F50" s="259"/>
    </row>
    <row r="51" spans="1:6" ht="24" customHeight="1" x14ac:dyDescent="0.15">
      <c r="A51" s="192"/>
      <c r="B51" s="186" t="s">
        <v>188</v>
      </c>
      <c r="C51" s="184">
        <v>654593.14</v>
      </c>
      <c r="D51" s="185"/>
      <c r="E51" s="185"/>
      <c r="F51" s="259"/>
    </row>
    <row r="52" spans="1:6" ht="24" customHeight="1" x14ac:dyDescent="0.15">
      <c r="A52" s="192"/>
      <c r="B52" s="186" t="s">
        <v>132</v>
      </c>
      <c r="C52" s="184">
        <v>26936728.649999999</v>
      </c>
      <c r="D52" s="185"/>
      <c r="E52" s="185"/>
      <c r="F52" s="259"/>
    </row>
    <row r="53" spans="1:6" ht="24" customHeight="1" x14ac:dyDescent="0.15">
      <c r="A53" s="192"/>
      <c r="B53" s="186" t="s">
        <v>189</v>
      </c>
      <c r="C53" s="184">
        <v>432853.07</v>
      </c>
      <c r="D53" s="185"/>
      <c r="E53" s="185"/>
      <c r="F53" s="259"/>
    </row>
    <row r="54" spans="1:6" ht="24" customHeight="1" x14ac:dyDescent="0.15">
      <c r="A54" s="192"/>
      <c r="B54" s="186" t="s">
        <v>190</v>
      </c>
      <c r="C54" s="184">
        <v>558458.77</v>
      </c>
      <c r="D54" s="185"/>
      <c r="E54" s="185"/>
      <c r="F54" s="259"/>
    </row>
    <row r="55" spans="1:6" ht="24" customHeight="1" x14ac:dyDescent="0.15">
      <c r="A55" s="192"/>
      <c r="B55" s="186" t="s">
        <v>191</v>
      </c>
      <c r="C55" s="184">
        <v>1320713.22</v>
      </c>
      <c r="D55" s="185"/>
      <c r="E55" s="185"/>
      <c r="F55" s="259"/>
    </row>
    <row r="56" spans="1:6" ht="24" customHeight="1" x14ac:dyDescent="0.15">
      <c r="A56" s="192"/>
      <c r="B56" s="186" t="s">
        <v>192</v>
      </c>
      <c r="C56" s="184">
        <v>235651.6</v>
      </c>
      <c r="D56" s="185"/>
      <c r="E56" s="185"/>
      <c r="F56" s="259"/>
    </row>
    <row r="57" spans="1:6" ht="24" customHeight="1" x14ac:dyDescent="0.15">
      <c r="A57" s="192"/>
      <c r="B57" s="179" t="s">
        <v>193</v>
      </c>
      <c r="C57" s="184">
        <v>468988.7</v>
      </c>
      <c r="D57" s="185"/>
      <c r="E57" s="185"/>
      <c r="F57" s="259"/>
    </row>
    <row r="58" spans="1:6" ht="24" customHeight="1" x14ac:dyDescent="0.15">
      <c r="A58" s="192"/>
      <c r="B58" s="186" t="s">
        <v>194</v>
      </c>
      <c r="C58" s="184">
        <v>710677.19</v>
      </c>
      <c r="D58" s="185"/>
      <c r="E58" s="185"/>
      <c r="F58" s="259"/>
    </row>
    <row r="59" spans="1:6" ht="24" customHeight="1" x14ac:dyDescent="0.15">
      <c r="A59" s="192"/>
      <c r="B59" s="186" t="s">
        <v>195</v>
      </c>
      <c r="C59" s="184">
        <v>443423.38</v>
      </c>
      <c r="D59" s="185"/>
      <c r="E59" s="185"/>
      <c r="F59" s="259"/>
    </row>
    <row r="60" spans="1:6" ht="24" customHeight="1" x14ac:dyDescent="0.15">
      <c r="A60" s="192"/>
      <c r="B60" s="186" t="s">
        <v>196</v>
      </c>
      <c r="C60" s="184">
        <v>358149.99</v>
      </c>
      <c r="D60" s="185"/>
      <c r="E60" s="185"/>
      <c r="F60" s="259"/>
    </row>
    <row r="61" spans="1:6" ht="24" customHeight="1" x14ac:dyDescent="0.15">
      <c r="A61" s="192"/>
      <c r="B61" s="186" t="s">
        <v>197</v>
      </c>
      <c r="C61" s="184">
        <v>554773.88</v>
      </c>
      <c r="D61" s="185"/>
      <c r="E61" s="185"/>
      <c r="F61" s="259"/>
    </row>
    <row r="62" spans="1:6" ht="24" customHeight="1" x14ac:dyDescent="0.15">
      <c r="A62" s="192"/>
      <c r="B62" s="186" t="s">
        <v>198</v>
      </c>
      <c r="C62" s="184">
        <v>513279.58</v>
      </c>
      <c r="D62" s="185"/>
      <c r="E62" s="185"/>
      <c r="F62" s="259"/>
    </row>
    <row r="63" spans="1:6" ht="24" customHeight="1" x14ac:dyDescent="0.15">
      <c r="A63" s="192"/>
      <c r="B63" s="186" t="s">
        <v>199</v>
      </c>
      <c r="C63" s="184">
        <v>116201.31</v>
      </c>
      <c r="D63" s="185"/>
      <c r="E63" s="185"/>
      <c r="F63" s="259"/>
    </row>
    <row r="64" spans="1:6" ht="24" customHeight="1" x14ac:dyDescent="0.15">
      <c r="A64" s="192"/>
      <c r="B64" s="186" t="s">
        <v>200</v>
      </c>
      <c r="C64" s="184">
        <v>115002.22</v>
      </c>
      <c r="D64" s="185"/>
      <c r="E64" s="185"/>
      <c r="F64" s="259"/>
    </row>
    <row r="65" spans="1:6" ht="24" customHeight="1" x14ac:dyDescent="0.15">
      <c r="A65" s="192"/>
      <c r="B65" s="186" t="s">
        <v>201</v>
      </c>
      <c r="C65" s="184">
        <v>626759.15</v>
      </c>
      <c r="D65" s="185"/>
      <c r="E65" s="185"/>
      <c r="F65" s="259"/>
    </row>
    <row r="66" spans="1:6" ht="24" customHeight="1" x14ac:dyDescent="0.15">
      <c r="A66" s="192"/>
      <c r="B66" s="179" t="s">
        <v>126</v>
      </c>
      <c r="C66" s="184">
        <v>613800.25</v>
      </c>
      <c r="D66" s="185"/>
      <c r="E66" s="185"/>
      <c r="F66" s="259"/>
    </row>
    <row r="67" spans="1:6" ht="24" customHeight="1" x14ac:dyDescent="0.15">
      <c r="A67" s="192"/>
      <c r="B67" s="186" t="s">
        <v>202</v>
      </c>
      <c r="C67" s="184">
        <v>587791.63</v>
      </c>
      <c r="D67" s="185"/>
      <c r="E67" s="185"/>
      <c r="F67" s="259"/>
    </row>
    <row r="68" spans="1:6" ht="24" customHeight="1" x14ac:dyDescent="0.15">
      <c r="A68" s="192"/>
      <c r="B68" s="186" t="s">
        <v>94</v>
      </c>
      <c r="C68" s="184">
        <v>984721.8</v>
      </c>
      <c r="D68" s="185"/>
      <c r="E68" s="185"/>
      <c r="F68" s="259"/>
    </row>
    <row r="69" spans="1:6" ht="24" customHeight="1" x14ac:dyDescent="0.15">
      <c r="A69" s="192"/>
      <c r="B69" s="186" t="s">
        <v>130</v>
      </c>
      <c r="C69" s="184">
        <v>1996540.54</v>
      </c>
      <c r="D69" s="185"/>
      <c r="E69" s="185"/>
      <c r="F69" s="259"/>
    </row>
    <row r="70" spans="1:6" ht="24" customHeight="1" x14ac:dyDescent="0.15">
      <c r="A70" s="192"/>
      <c r="B70" s="186" t="s">
        <v>91</v>
      </c>
      <c r="C70" s="184">
        <v>439815.47</v>
      </c>
      <c r="D70" s="185"/>
      <c r="E70" s="185"/>
      <c r="F70" s="259"/>
    </row>
    <row r="71" spans="1:6" ht="24" customHeight="1" x14ac:dyDescent="0.15">
      <c r="A71" s="192"/>
      <c r="B71" s="186" t="s">
        <v>131</v>
      </c>
      <c r="C71" s="184">
        <v>351006.01</v>
      </c>
      <c r="D71" s="185"/>
      <c r="E71" s="185"/>
      <c r="F71" s="259"/>
    </row>
    <row r="72" spans="1:6" ht="24" customHeight="1" x14ac:dyDescent="0.15">
      <c r="A72" s="192"/>
      <c r="B72" s="186" t="s">
        <v>129</v>
      </c>
      <c r="C72" s="184">
        <v>48431.26</v>
      </c>
      <c r="D72" s="185"/>
      <c r="E72" s="185"/>
      <c r="F72" s="259"/>
    </row>
    <row r="73" spans="1:6" ht="24" customHeight="1" x14ac:dyDescent="0.15">
      <c r="A73" s="192"/>
      <c r="B73" s="186" t="s">
        <v>95</v>
      </c>
      <c r="C73" s="184">
        <v>1396031.48</v>
      </c>
      <c r="D73" s="185"/>
      <c r="E73" s="185"/>
      <c r="F73" s="259"/>
    </row>
    <row r="74" spans="1:6" ht="19.5" customHeight="1" x14ac:dyDescent="0.15">
      <c r="A74" s="192"/>
      <c r="B74" s="262"/>
      <c r="C74" s="185"/>
      <c r="D74" s="185"/>
      <c r="E74" s="185"/>
      <c r="F74" s="259"/>
    </row>
    <row r="75" spans="1:6" ht="19.5" customHeight="1" x14ac:dyDescent="0.15">
      <c r="A75" s="192"/>
      <c r="B75" s="177" t="s">
        <v>81</v>
      </c>
      <c r="C75" s="189">
        <v>41236281.609999999</v>
      </c>
      <c r="D75" s="245"/>
      <c r="E75" s="245"/>
      <c r="F75" s="25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2"/>
      <c r="B2" s="4" t="s">
        <v>22</v>
      </c>
      <c r="C2" s="4">
        <v>2012</v>
      </c>
      <c r="D2" s="5"/>
      <c r="E2" s="5"/>
      <c r="F2" s="6"/>
      <c r="G2" s="8"/>
    </row>
    <row r="3" spans="1:7" ht="13" x14ac:dyDescent="0.15">
      <c r="A3" s="2"/>
      <c r="B3" s="7" t="s">
        <v>23</v>
      </c>
      <c r="C3" s="9"/>
      <c r="D3" s="10"/>
      <c r="E3" s="11"/>
      <c r="F3" s="12"/>
      <c r="G3" s="8"/>
    </row>
    <row r="4" spans="1:7" ht="13" x14ac:dyDescent="0.15">
      <c r="A4" s="2"/>
      <c r="B4" s="14"/>
      <c r="C4" s="16"/>
      <c r="D4" s="17"/>
      <c r="E4" s="17"/>
      <c r="F4" s="17"/>
      <c r="G4" s="8"/>
    </row>
    <row r="5" spans="1:7" ht="13" x14ac:dyDescent="0.15">
      <c r="A5" s="18">
        <v>41</v>
      </c>
      <c r="B5" s="23" t="s">
        <v>0</v>
      </c>
      <c r="C5" s="114">
        <f>SUM(C6:C13)</f>
        <v>895229.66999999993</v>
      </c>
      <c r="D5" s="30"/>
      <c r="E5" s="30"/>
      <c r="F5" s="17"/>
      <c r="G5" s="8"/>
    </row>
    <row r="6" spans="1:7" ht="13" x14ac:dyDescent="0.15">
      <c r="A6" s="18">
        <v>411</v>
      </c>
      <c r="B6" s="26" t="s">
        <v>36</v>
      </c>
      <c r="C6" s="27">
        <v>365968.73</v>
      </c>
      <c r="D6" s="17"/>
      <c r="E6" s="17"/>
      <c r="F6" s="28"/>
      <c r="G6" s="8"/>
    </row>
    <row r="7" spans="1:7" ht="13" x14ac:dyDescent="0.15">
      <c r="A7" s="18">
        <v>412</v>
      </c>
      <c r="B7" s="38" t="s">
        <v>37</v>
      </c>
      <c r="C7" s="27">
        <v>60722.05</v>
      </c>
      <c r="D7" s="17"/>
      <c r="E7" s="17"/>
      <c r="F7" s="28"/>
      <c r="G7" s="8"/>
    </row>
    <row r="8" spans="1:7" ht="13" x14ac:dyDescent="0.15">
      <c r="A8" s="18">
        <v>413</v>
      </c>
      <c r="B8" s="38" t="s">
        <v>2</v>
      </c>
      <c r="C8" s="27">
        <v>210355.41</v>
      </c>
      <c r="D8" s="17"/>
      <c r="E8" s="17"/>
      <c r="F8" s="28"/>
      <c r="G8" s="8"/>
    </row>
    <row r="9" spans="1:7" ht="13" x14ac:dyDescent="0.15">
      <c r="A9" s="40">
        <v>414</v>
      </c>
      <c r="B9" s="26" t="s">
        <v>3</v>
      </c>
      <c r="C9" s="97">
        <v>258183.48</v>
      </c>
      <c r="D9" s="17"/>
      <c r="E9" s="17"/>
      <c r="F9" s="28"/>
      <c r="G9" s="8"/>
    </row>
    <row r="10" spans="1:7" ht="13" x14ac:dyDescent="0.15">
      <c r="A10" s="18">
        <v>415</v>
      </c>
      <c r="B10" s="42" t="s">
        <v>4</v>
      </c>
      <c r="C10" s="56"/>
      <c r="D10" s="17"/>
      <c r="E10" s="28"/>
      <c r="F10" s="28"/>
      <c r="G10" s="8"/>
    </row>
    <row r="11" spans="1:7" ht="13" x14ac:dyDescent="0.15">
      <c r="A11" s="18">
        <v>416</v>
      </c>
      <c r="B11" s="26" t="s">
        <v>5</v>
      </c>
      <c r="C11" s="56"/>
      <c r="D11" s="17"/>
      <c r="E11" s="28"/>
      <c r="F11" s="28"/>
      <c r="G11" s="8"/>
    </row>
    <row r="12" spans="1:7" ht="13" x14ac:dyDescent="0.15">
      <c r="A12" s="18">
        <v>417</v>
      </c>
      <c r="B12" s="26" t="s">
        <v>6</v>
      </c>
      <c r="C12" s="56"/>
      <c r="D12" s="43"/>
      <c r="E12" s="28"/>
      <c r="F12" s="28"/>
      <c r="G12" s="8"/>
    </row>
    <row r="13" spans="1:7" ht="13" x14ac:dyDescent="0.15">
      <c r="A13" s="18">
        <v>418</v>
      </c>
      <c r="B13" s="26" t="s">
        <v>38</v>
      </c>
      <c r="C13" s="56"/>
      <c r="D13" s="43"/>
      <c r="E13" s="28"/>
      <c r="F13" s="28"/>
      <c r="G13" s="8"/>
    </row>
    <row r="14" spans="1:7" ht="13" x14ac:dyDescent="0.15">
      <c r="A14" s="18">
        <v>42</v>
      </c>
      <c r="B14" s="53" t="s">
        <v>7</v>
      </c>
      <c r="C14" s="41"/>
      <c r="D14" s="82"/>
      <c r="E14" s="55"/>
      <c r="F14" s="55"/>
      <c r="G14" s="8"/>
    </row>
    <row r="15" spans="1:7" ht="13" x14ac:dyDescent="0.15">
      <c r="A15" s="59">
        <v>43</v>
      </c>
      <c r="B15" s="61" t="s">
        <v>8</v>
      </c>
      <c r="C15" s="63">
        <f>SUM(C16:C19)</f>
        <v>397668.27</v>
      </c>
      <c r="D15" s="65"/>
      <c r="E15" s="63"/>
      <c r="F15" s="17"/>
      <c r="G15" s="8"/>
    </row>
    <row r="16" spans="1:7" ht="13" x14ac:dyDescent="0.15">
      <c r="A16" s="40" t="s">
        <v>40</v>
      </c>
      <c r="B16" s="42" t="s">
        <v>9</v>
      </c>
      <c r="C16" s="67">
        <f>22744.1+66718.61+51702.8</f>
        <v>141165.51</v>
      </c>
      <c r="D16" s="69"/>
      <c r="E16" s="67"/>
      <c r="F16" s="17"/>
      <c r="G16" s="8"/>
    </row>
    <row r="17" spans="1:7" ht="28.5" customHeight="1" x14ac:dyDescent="0.15">
      <c r="A17" s="40" t="s">
        <v>41</v>
      </c>
      <c r="B17" s="42" t="s">
        <v>10</v>
      </c>
      <c r="C17" s="70">
        <f>15432.8+17010.14</f>
        <v>32442.94</v>
      </c>
      <c r="D17" s="69"/>
      <c r="E17" s="67"/>
      <c r="F17" s="17"/>
      <c r="G17" s="8"/>
    </row>
    <row r="18" spans="1:7" ht="13" x14ac:dyDescent="0.15">
      <c r="A18" s="40" t="s">
        <v>42</v>
      </c>
      <c r="B18" s="71" t="s">
        <v>11</v>
      </c>
      <c r="C18" s="69">
        <f>70066.3+9600+15767.37</f>
        <v>95433.67</v>
      </c>
      <c r="D18" s="67"/>
      <c r="E18" s="43"/>
      <c r="F18" s="85"/>
    </row>
    <row r="19" spans="1:7" ht="13" x14ac:dyDescent="0.15">
      <c r="A19" s="40" t="s">
        <v>43</v>
      </c>
      <c r="B19" s="71" t="s">
        <v>44</v>
      </c>
      <c r="C19" s="69">
        <f>397668.27-C16-C17-C18</f>
        <v>128626.15000000001</v>
      </c>
      <c r="D19" s="67"/>
      <c r="E19" s="43"/>
      <c r="F19" s="104"/>
    </row>
    <row r="20" spans="1:7" ht="13" x14ac:dyDescent="0.15">
      <c r="A20" s="18">
        <v>44</v>
      </c>
      <c r="B20" s="106" t="s">
        <v>12</v>
      </c>
      <c r="C20" s="107">
        <v>2062628.46</v>
      </c>
      <c r="D20" s="17"/>
      <c r="E20" s="22"/>
      <c r="F20" s="17"/>
      <c r="G20" s="104"/>
    </row>
    <row r="21" spans="1:7" ht="13" x14ac:dyDescent="0.15">
      <c r="A21" s="18">
        <v>45</v>
      </c>
      <c r="B21" s="62" t="s">
        <v>58</v>
      </c>
      <c r="C21" s="107">
        <v>204000</v>
      </c>
      <c r="D21" s="17"/>
      <c r="E21" s="17"/>
      <c r="F21" s="17"/>
      <c r="G21" s="17"/>
    </row>
    <row r="22" spans="1:7" ht="13" x14ac:dyDescent="0.15">
      <c r="A22" s="18">
        <v>46</v>
      </c>
      <c r="B22" s="23" t="s">
        <v>14</v>
      </c>
      <c r="C22" s="16">
        <f>161002.11+6541.58</f>
        <v>167543.68999999997</v>
      </c>
      <c r="D22" s="121"/>
      <c r="E22" s="122"/>
      <c r="F22" s="17"/>
      <c r="G22" s="85"/>
    </row>
    <row r="23" spans="1:7" ht="13" x14ac:dyDescent="0.15">
      <c r="A23" s="18">
        <v>47</v>
      </c>
      <c r="B23" s="23" t="s">
        <v>15</v>
      </c>
      <c r="C23" s="16">
        <f>195915.09+25000</f>
        <v>220915.09</v>
      </c>
      <c r="D23" s="17"/>
      <c r="E23" s="17"/>
      <c r="F23" s="17"/>
      <c r="G23" s="8"/>
    </row>
    <row r="24" spans="1:7" ht="13" x14ac:dyDescent="0.15">
      <c r="A24" s="2"/>
      <c r="B24" s="23" t="s">
        <v>16</v>
      </c>
      <c r="C24" s="144">
        <v>3947985.18</v>
      </c>
      <c r="D24" s="17"/>
      <c r="E24" s="17"/>
      <c r="F24" s="17"/>
      <c r="G24" s="8"/>
    </row>
    <row r="25" spans="1:7" ht="13" x14ac:dyDescent="0.15">
      <c r="A25" s="2"/>
      <c r="B25" s="119" t="s">
        <v>59</v>
      </c>
      <c r="C25" s="128"/>
      <c r="D25" s="132"/>
      <c r="E25" s="132"/>
      <c r="F25" s="132"/>
      <c r="G25" s="8"/>
    </row>
    <row r="26" spans="1:7" ht="13" x14ac:dyDescent="0.15">
      <c r="A26" s="18">
        <v>71</v>
      </c>
      <c r="B26" s="23" t="s">
        <v>46</v>
      </c>
      <c r="C26" s="217">
        <f>SUM(C27:C31)</f>
        <v>2791923.5300000003</v>
      </c>
      <c r="D26" s="143"/>
      <c r="E26" s="143"/>
      <c r="F26" s="14"/>
      <c r="G26" s="8"/>
    </row>
    <row r="27" spans="1:7" ht="13" x14ac:dyDescent="0.15">
      <c r="A27" s="40">
        <v>711</v>
      </c>
      <c r="B27" s="42" t="s">
        <v>48</v>
      </c>
      <c r="C27" s="36">
        <v>1605168.3</v>
      </c>
      <c r="D27" s="43"/>
      <c r="E27" s="43"/>
      <c r="F27" s="28"/>
      <c r="G27" s="8"/>
    </row>
    <row r="28" spans="1:7" ht="13" x14ac:dyDescent="0.15">
      <c r="A28" s="40">
        <v>713</v>
      </c>
      <c r="B28" s="42" t="s">
        <v>49</v>
      </c>
      <c r="C28" s="36">
        <v>4003.55</v>
      </c>
      <c r="D28" s="43"/>
      <c r="E28" s="43"/>
      <c r="F28" s="28"/>
      <c r="G28" s="8"/>
    </row>
    <row r="29" spans="1:7" ht="13" x14ac:dyDescent="0.15">
      <c r="A29" s="40">
        <v>714</v>
      </c>
      <c r="B29" s="42" t="s">
        <v>50</v>
      </c>
      <c r="C29" s="43">
        <f>341733.59+288054.38</f>
        <v>629787.97</v>
      </c>
      <c r="D29" s="43"/>
      <c r="E29" s="43"/>
      <c r="F29" s="28"/>
      <c r="G29" s="8"/>
    </row>
    <row r="30" spans="1:7" ht="13" x14ac:dyDescent="0.15">
      <c r="A30" s="2"/>
      <c r="B30" s="42" t="s">
        <v>60</v>
      </c>
      <c r="C30" s="43">
        <f>1286.7+3713.5+16793.4+319.12</f>
        <v>22112.720000000001</v>
      </c>
      <c r="D30" s="43"/>
      <c r="E30" s="43"/>
      <c r="F30" s="28"/>
      <c r="G30" s="8"/>
    </row>
    <row r="31" spans="1:7" ht="13" x14ac:dyDescent="0.15">
      <c r="A31" s="40">
        <v>715</v>
      </c>
      <c r="B31" s="42" t="s">
        <v>61</v>
      </c>
      <c r="C31" s="27">
        <v>530850.99</v>
      </c>
      <c r="D31" s="43"/>
      <c r="E31" s="43"/>
      <c r="F31" s="28"/>
      <c r="G31" s="8"/>
    </row>
    <row r="32" spans="1:7" ht="13" x14ac:dyDescent="0.15">
      <c r="A32" s="18">
        <v>72</v>
      </c>
      <c r="B32" s="146" t="s">
        <v>51</v>
      </c>
      <c r="C32" s="16"/>
      <c r="D32" s="43"/>
      <c r="E32" s="43"/>
      <c r="F32" s="43"/>
      <c r="G32" s="8"/>
    </row>
    <row r="33" spans="1:7" ht="13" x14ac:dyDescent="0.15">
      <c r="A33" s="140">
        <v>73</v>
      </c>
      <c r="B33" s="62" t="s">
        <v>62</v>
      </c>
      <c r="C33" s="219">
        <f>1989.94+1511070.07</f>
        <v>1513060.01</v>
      </c>
      <c r="D33" s="219"/>
      <c r="E33" s="237"/>
      <c r="F33" s="148"/>
      <c r="G33" s="8"/>
    </row>
    <row r="34" spans="1:7" ht="13" x14ac:dyDescent="0.15">
      <c r="A34" s="18">
        <v>74</v>
      </c>
      <c r="B34" s="61" t="s">
        <v>52</v>
      </c>
      <c r="C34" s="63">
        <f>SUM(C35:C37)</f>
        <v>108600</v>
      </c>
      <c r="D34" s="65"/>
      <c r="E34" s="65"/>
      <c r="F34" s="17"/>
      <c r="G34" s="8"/>
    </row>
    <row r="35" spans="1:7" ht="13" x14ac:dyDescent="0.15">
      <c r="A35" s="40">
        <v>741</v>
      </c>
      <c r="B35" s="42" t="s">
        <v>53</v>
      </c>
      <c r="C35" s="63"/>
      <c r="D35" s="65"/>
      <c r="E35" s="65"/>
      <c r="F35" s="17"/>
      <c r="G35" s="8"/>
    </row>
    <row r="36" spans="1:7" ht="13" x14ac:dyDescent="0.15">
      <c r="A36" s="40">
        <v>742</v>
      </c>
      <c r="B36" s="42" t="s">
        <v>54</v>
      </c>
      <c r="C36" s="67"/>
      <c r="D36" s="69"/>
      <c r="E36" s="69"/>
      <c r="F36" s="17"/>
      <c r="G36" s="8"/>
    </row>
    <row r="37" spans="1:7" ht="13" x14ac:dyDescent="0.15">
      <c r="A37" s="2"/>
      <c r="B37" s="42" t="s">
        <v>63</v>
      </c>
      <c r="C37" s="161">
        <v>108600</v>
      </c>
      <c r="D37" s="170"/>
      <c r="E37" s="170"/>
      <c r="F37" s="17"/>
      <c r="G37" s="8"/>
    </row>
    <row r="38" spans="1:7" ht="13" x14ac:dyDescent="0.15">
      <c r="A38" s="18">
        <v>751</v>
      </c>
      <c r="B38" s="106" t="s">
        <v>58</v>
      </c>
      <c r="C38" s="107">
        <v>620000</v>
      </c>
      <c r="D38" s="17"/>
      <c r="E38" s="17"/>
      <c r="F38" s="17"/>
      <c r="G38" s="8"/>
    </row>
    <row r="39" spans="1:7" ht="13" x14ac:dyDescent="0.15">
      <c r="A39" s="2"/>
      <c r="B39" s="106" t="s">
        <v>64</v>
      </c>
      <c r="C39" s="100">
        <v>5033583.54</v>
      </c>
      <c r="D39" s="17"/>
      <c r="E39" s="17"/>
      <c r="F39" s="17"/>
      <c r="G39" s="8"/>
    </row>
    <row r="40" spans="1:7" ht="13" x14ac:dyDescent="0.15">
      <c r="A40" s="2"/>
      <c r="B40" s="119" t="s">
        <v>65</v>
      </c>
      <c r="C40" s="128"/>
      <c r="D40" s="132"/>
      <c r="E40" s="132"/>
      <c r="F40" s="132"/>
      <c r="G40" s="8"/>
    </row>
    <row r="41" spans="1:7" ht="13" x14ac:dyDescent="0.15">
      <c r="A41" s="2"/>
      <c r="B41" s="38" t="s">
        <v>66</v>
      </c>
      <c r="C41" s="56"/>
      <c r="D41" s="43"/>
      <c r="E41" s="43"/>
      <c r="F41" s="43"/>
      <c r="G41" s="8"/>
    </row>
    <row r="42" spans="1:7" ht="13" x14ac:dyDescent="0.15">
      <c r="A42" s="2"/>
      <c r="B42" s="38" t="s">
        <v>67</v>
      </c>
      <c r="C42" s="56"/>
      <c r="D42" s="43"/>
      <c r="E42" s="43"/>
      <c r="F42" s="43"/>
      <c r="G42" s="8"/>
    </row>
    <row r="43" spans="1:7" ht="13" x14ac:dyDescent="0.15">
      <c r="A43" s="2"/>
      <c r="B43" s="38" t="s">
        <v>68</v>
      </c>
      <c r="C43" s="56"/>
      <c r="D43" s="43"/>
      <c r="E43" s="43"/>
      <c r="F43" s="43"/>
      <c r="G43" s="8"/>
    </row>
    <row r="44" spans="1:7" ht="13" x14ac:dyDescent="0.15">
      <c r="A44" s="2"/>
      <c r="B44" s="38" t="s">
        <v>69</v>
      </c>
      <c r="C44" s="56"/>
      <c r="D44" s="43"/>
      <c r="E44" s="43"/>
      <c r="F44" s="43"/>
      <c r="G44" s="8"/>
    </row>
    <row r="45" spans="1:7" ht="13" x14ac:dyDescent="0.15">
      <c r="A45" s="2"/>
      <c r="B45" s="149"/>
      <c r="C45" s="128"/>
      <c r="D45" s="132"/>
      <c r="E45" s="132"/>
      <c r="F45" s="132"/>
      <c r="G45" s="8"/>
    </row>
    <row r="46" spans="1:7" ht="19.5" customHeight="1" x14ac:dyDescent="0.15">
      <c r="B46" s="150"/>
      <c r="C46" s="150"/>
      <c r="D46" s="151"/>
      <c r="E46" s="150"/>
      <c r="F46" s="150"/>
    </row>
    <row r="47" spans="1:7" ht="19.5" customHeight="1" x14ac:dyDescent="0.15">
      <c r="B47" s="152" t="s">
        <v>70</v>
      </c>
      <c r="C47" s="1"/>
      <c r="D47" s="176"/>
      <c r="E47" s="1"/>
    </row>
    <row r="48" spans="1:7" ht="27.75" customHeight="1" x14ac:dyDescent="0.15">
      <c r="A48" s="2"/>
      <c r="B48" s="240" t="s">
        <v>71</v>
      </c>
      <c r="C48" s="283"/>
      <c r="D48" s="283"/>
      <c r="E48" s="285"/>
      <c r="F48" s="8"/>
    </row>
    <row r="49" spans="1:6" ht="27.75" customHeight="1" x14ac:dyDescent="0.15">
      <c r="A49" s="2"/>
      <c r="B49" s="254" t="s">
        <v>99</v>
      </c>
      <c r="C49" s="286"/>
      <c r="D49" s="185"/>
      <c r="E49" s="185"/>
      <c r="F49" s="8"/>
    </row>
    <row r="50" spans="1:6" ht="27.75" customHeight="1" x14ac:dyDescent="0.15">
      <c r="A50" s="2"/>
      <c r="B50" s="254" t="s">
        <v>158</v>
      </c>
      <c r="C50" s="185"/>
      <c r="D50" s="185"/>
      <c r="E50" s="185"/>
      <c r="F50" s="8"/>
    </row>
    <row r="51" spans="1:6" ht="27.75" customHeight="1" x14ac:dyDescent="0.15">
      <c r="A51" s="2"/>
      <c r="B51" s="254" t="s">
        <v>78</v>
      </c>
      <c r="C51" s="185"/>
      <c r="D51" s="185"/>
      <c r="E51" s="185"/>
      <c r="F51" s="8"/>
    </row>
    <row r="52" spans="1:6" ht="27.75" customHeight="1" x14ac:dyDescent="0.15">
      <c r="A52" s="2"/>
      <c r="B52" s="254" t="s">
        <v>160</v>
      </c>
      <c r="C52" s="185"/>
      <c r="D52" s="185"/>
      <c r="E52" s="185"/>
      <c r="F52" s="8"/>
    </row>
    <row r="53" spans="1:6" ht="27.75" customHeight="1" x14ac:dyDescent="0.15">
      <c r="A53" s="2"/>
      <c r="B53" s="254" t="s">
        <v>122</v>
      </c>
      <c r="C53" s="185"/>
      <c r="D53" s="185"/>
      <c r="E53" s="185"/>
      <c r="F53" s="8"/>
    </row>
    <row r="54" spans="1:6" ht="27.75" customHeight="1" x14ac:dyDescent="0.15">
      <c r="A54" s="2"/>
      <c r="B54" s="254" t="s">
        <v>217</v>
      </c>
      <c r="C54" s="185"/>
      <c r="D54" s="185"/>
      <c r="E54" s="185"/>
      <c r="F54" s="8"/>
    </row>
    <row r="55" spans="1:6" ht="27.75" customHeight="1" x14ac:dyDescent="0.15">
      <c r="A55" s="2"/>
      <c r="B55" s="313"/>
      <c r="C55" s="185"/>
      <c r="D55" s="185"/>
      <c r="E55" s="185"/>
      <c r="F55" s="8"/>
    </row>
    <row r="56" spans="1:6" ht="27.75" customHeight="1" x14ac:dyDescent="0.15">
      <c r="A56" s="2"/>
      <c r="B56" s="240" t="s">
        <v>81</v>
      </c>
      <c r="C56" s="314"/>
      <c r="D56" s="314"/>
      <c r="E56" s="314"/>
      <c r="F56" s="8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9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2"/>
      <c r="B2" s="4" t="s">
        <v>24</v>
      </c>
      <c r="C2" s="33">
        <v>2012</v>
      </c>
      <c r="D2" s="74"/>
      <c r="E2" s="74"/>
      <c r="F2" s="75"/>
      <c r="G2" s="8"/>
    </row>
    <row r="3" spans="1:7" ht="13" x14ac:dyDescent="0.15">
      <c r="A3" s="2"/>
      <c r="B3" s="7" t="s">
        <v>23</v>
      </c>
      <c r="C3" s="76"/>
      <c r="D3" s="77"/>
      <c r="E3" s="103"/>
      <c r="F3" s="108"/>
      <c r="G3" s="8"/>
    </row>
    <row r="4" spans="1:7" ht="13" x14ac:dyDescent="0.15">
      <c r="A4" s="2"/>
      <c r="B4" s="14"/>
      <c r="C4" s="41"/>
      <c r="D4" s="22"/>
      <c r="E4" s="22"/>
      <c r="F4" s="22"/>
      <c r="G4" s="8"/>
    </row>
    <row r="5" spans="1:7" ht="13" x14ac:dyDescent="0.15">
      <c r="A5" s="18">
        <v>41</v>
      </c>
      <c r="B5" s="23" t="s">
        <v>0</v>
      </c>
      <c r="C5" s="110">
        <f>SUM(C6:C13)</f>
        <v>4676232</v>
      </c>
      <c r="D5" s="91"/>
      <c r="E5" s="91"/>
      <c r="F5" s="22"/>
      <c r="G5" s="8"/>
    </row>
    <row r="6" spans="1:7" ht="13" x14ac:dyDescent="0.15">
      <c r="A6" s="18">
        <v>411</v>
      </c>
      <c r="B6" s="26" t="s">
        <v>36</v>
      </c>
      <c r="C6" s="51">
        <v>1762384.13</v>
      </c>
      <c r="D6" s="22"/>
      <c r="E6" s="22"/>
      <c r="F6" s="55"/>
      <c r="G6" s="8"/>
    </row>
    <row r="7" spans="1:7" ht="13" x14ac:dyDescent="0.15">
      <c r="A7" s="18">
        <v>412</v>
      </c>
      <c r="B7" s="38" t="s">
        <v>37</v>
      </c>
      <c r="C7" s="51">
        <v>106524.7</v>
      </c>
      <c r="D7" s="22"/>
      <c r="E7" s="22"/>
      <c r="F7" s="55"/>
      <c r="G7" s="8"/>
    </row>
    <row r="8" spans="1:7" ht="13" x14ac:dyDescent="0.15">
      <c r="A8" s="18">
        <v>413</v>
      </c>
      <c r="B8" s="38" t="s">
        <v>2</v>
      </c>
      <c r="C8" s="51">
        <v>1008573.57</v>
      </c>
      <c r="D8" s="22"/>
      <c r="E8" s="22"/>
      <c r="F8" s="55"/>
      <c r="G8" s="8"/>
    </row>
    <row r="9" spans="1:7" ht="13" x14ac:dyDescent="0.15">
      <c r="A9" s="40">
        <v>414</v>
      </c>
      <c r="B9" s="26" t="s">
        <v>3</v>
      </c>
      <c r="C9" s="51">
        <v>938041.22</v>
      </c>
      <c r="D9" s="22"/>
      <c r="E9" s="22"/>
      <c r="F9" s="55"/>
      <c r="G9" s="8"/>
    </row>
    <row r="10" spans="1:7" ht="13" x14ac:dyDescent="0.15">
      <c r="A10" s="18">
        <v>415</v>
      </c>
      <c r="B10" s="42" t="s">
        <v>4</v>
      </c>
      <c r="C10" s="51">
        <v>440248.91</v>
      </c>
      <c r="D10" s="22"/>
      <c r="E10" s="22"/>
      <c r="F10" s="55"/>
      <c r="G10" s="8"/>
    </row>
    <row r="11" spans="1:7" ht="13" x14ac:dyDescent="0.15">
      <c r="A11" s="18">
        <v>416</v>
      </c>
      <c r="B11" s="26" t="s">
        <v>5</v>
      </c>
      <c r="C11" s="51">
        <v>69578.92</v>
      </c>
      <c r="D11" s="22"/>
      <c r="E11" s="22"/>
      <c r="F11" s="55"/>
      <c r="G11" s="8"/>
    </row>
    <row r="12" spans="1:7" ht="13" x14ac:dyDescent="0.15">
      <c r="A12" s="18">
        <v>417</v>
      </c>
      <c r="B12" s="26" t="s">
        <v>6</v>
      </c>
      <c r="C12" s="51">
        <v>261783.55</v>
      </c>
      <c r="D12" s="22"/>
      <c r="E12" s="22"/>
      <c r="F12" s="55"/>
      <c r="G12" s="8"/>
    </row>
    <row r="13" spans="1:7" ht="13" x14ac:dyDescent="0.15">
      <c r="A13" s="18">
        <v>418</v>
      </c>
      <c r="B13" s="26" t="s">
        <v>38</v>
      </c>
      <c r="C13" s="51">
        <v>89097</v>
      </c>
      <c r="D13" s="22"/>
      <c r="E13" s="22"/>
      <c r="F13" s="55"/>
      <c r="G13" s="8"/>
    </row>
    <row r="14" spans="1:7" ht="13" x14ac:dyDescent="0.15">
      <c r="A14" s="18">
        <v>42</v>
      </c>
      <c r="B14" s="62" t="s">
        <v>7</v>
      </c>
      <c r="C14" s="112">
        <v>13695.55</v>
      </c>
      <c r="D14" s="22"/>
      <c r="E14" s="22"/>
      <c r="F14" s="55"/>
      <c r="G14" s="8"/>
    </row>
    <row r="15" spans="1:7" ht="16.5" customHeight="1" x14ac:dyDescent="0.15">
      <c r="A15" s="59">
        <v>43</v>
      </c>
      <c r="B15" s="61" t="s">
        <v>8</v>
      </c>
      <c r="C15" s="95">
        <f>SUM(C16:C19)</f>
        <v>627077.63</v>
      </c>
      <c r="D15" s="94"/>
      <c r="E15" s="95"/>
      <c r="F15" s="22"/>
      <c r="G15" s="8"/>
    </row>
    <row r="16" spans="1:7" ht="13" x14ac:dyDescent="0.15">
      <c r="A16" s="40" t="s">
        <v>40</v>
      </c>
      <c r="B16" s="42" t="s">
        <v>9</v>
      </c>
      <c r="C16" s="161">
        <v>14948</v>
      </c>
      <c r="D16" s="178"/>
      <c r="E16" s="170"/>
      <c r="F16" s="22"/>
      <c r="G16" s="8"/>
    </row>
    <row r="17" spans="1:9" ht="31.5" customHeight="1" x14ac:dyDescent="0.15">
      <c r="A17" s="40" t="s">
        <v>41</v>
      </c>
      <c r="B17" s="42" t="s">
        <v>10</v>
      </c>
      <c r="C17" s="60">
        <v>183211.33</v>
      </c>
      <c r="D17" s="178"/>
      <c r="E17" s="170"/>
      <c r="F17" s="22"/>
      <c r="G17" s="8"/>
    </row>
    <row r="18" spans="1:9" ht="13" x14ac:dyDescent="0.15">
      <c r="A18" s="40" t="s">
        <v>42</v>
      </c>
      <c r="B18" s="71" t="s">
        <v>11</v>
      </c>
      <c r="C18" s="211">
        <v>408643.28</v>
      </c>
      <c r="D18" s="170"/>
      <c r="E18" s="82"/>
      <c r="F18" s="85"/>
    </row>
    <row r="19" spans="1:9" ht="13" x14ac:dyDescent="0.15">
      <c r="A19" s="40" t="s">
        <v>43</v>
      </c>
      <c r="B19" s="71" t="s">
        <v>44</v>
      </c>
      <c r="C19" s="211">
        <v>20275.02</v>
      </c>
      <c r="D19" s="170"/>
      <c r="E19" s="82"/>
      <c r="F19" s="104"/>
    </row>
    <row r="20" spans="1:9" ht="13" x14ac:dyDescent="0.15">
      <c r="A20" s="18">
        <v>44</v>
      </c>
      <c r="B20" s="106" t="s">
        <v>12</v>
      </c>
      <c r="C20" s="112">
        <v>2536447.9</v>
      </c>
      <c r="D20" s="22"/>
      <c r="E20" s="22"/>
      <c r="F20" s="22"/>
      <c r="G20" s="8"/>
    </row>
    <row r="21" spans="1:9" ht="13" x14ac:dyDescent="0.15">
      <c r="A21" s="18">
        <v>45</v>
      </c>
      <c r="B21" s="62" t="s">
        <v>58</v>
      </c>
      <c r="C21" s="41"/>
      <c r="D21" s="22"/>
      <c r="E21" s="22"/>
      <c r="F21" s="22"/>
      <c r="G21" s="8"/>
    </row>
    <row r="22" spans="1:9" ht="13" x14ac:dyDescent="0.15">
      <c r="A22" s="18">
        <v>46</v>
      </c>
      <c r="B22" s="23" t="s">
        <v>14</v>
      </c>
      <c r="C22" s="112">
        <v>710153.93</v>
      </c>
      <c r="D22" s="22"/>
      <c r="E22" s="22"/>
      <c r="F22" s="22"/>
      <c r="G22" s="8"/>
    </row>
    <row r="23" spans="1:9" ht="13" x14ac:dyDescent="0.15">
      <c r="A23" s="18">
        <v>47</v>
      </c>
      <c r="B23" s="23" t="s">
        <v>15</v>
      </c>
      <c r="C23" s="112">
        <v>146260.22</v>
      </c>
      <c r="D23" s="22"/>
      <c r="E23" s="22"/>
      <c r="F23" s="22"/>
      <c r="G23" s="8"/>
    </row>
    <row r="24" spans="1:9" ht="13" x14ac:dyDescent="0.15">
      <c r="A24" s="2"/>
      <c r="B24" s="23" t="s">
        <v>16</v>
      </c>
      <c r="C24" s="213">
        <v>8709867.2300000004</v>
      </c>
      <c r="D24" s="194"/>
      <c r="E24" s="194"/>
      <c r="F24" s="22"/>
      <c r="G24" s="8"/>
    </row>
    <row r="25" spans="1:9" ht="13" x14ac:dyDescent="0.15">
      <c r="A25" s="2"/>
      <c r="B25" s="119" t="s">
        <v>59</v>
      </c>
      <c r="C25" s="37"/>
      <c r="D25" s="181"/>
      <c r="E25" s="181"/>
      <c r="F25" s="181"/>
      <c r="G25" s="8"/>
    </row>
    <row r="26" spans="1:9" ht="14.25" customHeight="1" x14ac:dyDescent="0.15">
      <c r="A26" s="18">
        <v>71</v>
      </c>
      <c r="B26" s="23" t="s">
        <v>46</v>
      </c>
      <c r="C26" s="34">
        <f>SUM(C27:C31)</f>
        <v>5598840.1699999999</v>
      </c>
      <c r="D26" s="91"/>
      <c r="E26" s="91"/>
      <c r="F26" s="215"/>
      <c r="G26" s="366"/>
      <c r="H26" s="367"/>
      <c r="I26" s="367"/>
    </row>
    <row r="27" spans="1:9" ht="13" x14ac:dyDescent="0.15">
      <c r="A27" s="40">
        <v>711</v>
      </c>
      <c r="B27" s="42" t="s">
        <v>48</v>
      </c>
      <c r="C27" s="79">
        <v>3707426.06</v>
      </c>
      <c r="D27" s="82"/>
      <c r="E27" s="82"/>
      <c r="F27" s="55"/>
      <c r="G27" s="216"/>
      <c r="H27" s="241"/>
      <c r="I27" s="241"/>
    </row>
    <row r="28" spans="1:9" ht="13" x14ac:dyDescent="0.15">
      <c r="A28" s="40">
        <v>713</v>
      </c>
      <c r="B28" s="42" t="s">
        <v>49</v>
      </c>
      <c r="C28" s="79">
        <v>81925.72</v>
      </c>
      <c r="D28" s="82"/>
      <c r="E28" s="82"/>
      <c r="F28" s="55"/>
      <c r="G28" s="234"/>
      <c r="H28" s="235"/>
      <c r="I28" s="235"/>
    </row>
    <row r="29" spans="1:9" ht="13" x14ac:dyDescent="0.15">
      <c r="A29" s="40">
        <v>714</v>
      </c>
      <c r="B29" s="42" t="s">
        <v>50</v>
      </c>
      <c r="C29" s="82">
        <f>110762.53+880123.9</f>
        <v>990886.43</v>
      </c>
      <c r="D29" s="82"/>
      <c r="E29" s="82"/>
      <c r="F29" s="55"/>
      <c r="G29" s="8"/>
    </row>
    <row r="30" spans="1:9" ht="13" x14ac:dyDescent="0.15">
      <c r="A30" s="136"/>
      <c r="B30" s="42" t="s">
        <v>60</v>
      </c>
      <c r="C30" s="83">
        <f>1583.11+478907.38+65399.13+14784.43</f>
        <v>560674.05000000005</v>
      </c>
      <c r="D30" s="82"/>
      <c r="E30" s="82"/>
      <c r="F30" s="55"/>
      <c r="G30" s="8"/>
    </row>
    <row r="31" spans="1:9" ht="13" x14ac:dyDescent="0.15">
      <c r="A31" s="40">
        <v>715</v>
      </c>
      <c r="B31" s="42" t="s">
        <v>61</v>
      </c>
      <c r="C31" s="51">
        <v>257927.91</v>
      </c>
      <c r="D31" s="82"/>
      <c r="E31" s="82"/>
      <c r="F31" s="55"/>
      <c r="G31" s="8"/>
    </row>
    <row r="32" spans="1:9" ht="13" x14ac:dyDescent="0.15">
      <c r="A32" s="18">
        <v>72</v>
      </c>
      <c r="B32" s="146" t="s">
        <v>51</v>
      </c>
      <c r="C32" s="41"/>
      <c r="D32" s="82"/>
      <c r="E32" s="22"/>
      <c r="F32" s="82"/>
      <c r="G32" s="8"/>
    </row>
    <row r="33" spans="1:8" ht="18" customHeight="1" x14ac:dyDescent="0.15">
      <c r="A33" s="140">
        <v>73</v>
      </c>
      <c r="B33" s="62" t="s">
        <v>62</v>
      </c>
      <c r="C33" s="281">
        <v>915243.17</v>
      </c>
      <c r="D33" s="258"/>
      <c r="E33" s="258"/>
      <c r="F33" s="282"/>
      <c r="G33" s="8"/>
    </row>
    <row r="34" spans="1:8" ht="13" x14ac:dyDescent="0.15">
      <c r="A34" s="18">
        <v>74</v>
      </c>
      <c r="B34" s="61" t="s">
        <v>52</v>
      </c>
      <c r="C34" s="284">
        <v>2235225.92</v>
      </c>
      <c r="D34" s="94"/>
      <c r="E34" s="94"/>
      <c r="F34" s="22"/>
      <c r="G34" s="8"/>
    </row>
    <row r="35" spans="1:8" ht="13" x14ac:dyDescent="0.15">
      <c r="A35" s="40" t="s">
        <v>96</v>
      </c>
      <c r="B35" s="42" t="s">
        <v>53</v>
      </c>
      <c r="C35" s="170"/>
      <c r="D35" s="178"/>
      <c r="E35" s="178"/>
      <c r="F35" s="22"/>
      <c r="G35" s="8"/>
    </row>
    <row r="36" spans="1:8" ht="13" x14ac:dyDescent="0.15">
      <c r="A36" s="40" t="s">
        <v>97</v>
      </c>
      <c r="B36" s="42" t="s">
        <v>54</v>
      </c>
      <c r="C36" s="161">
        <v>1547150.49</v>
      </c>
      <c r="D36" s="178"/>
      <c r="E36" s="178"/>
      <c r="F36" s="22"/>
      <c r="G36" s="8"/>
    </row>
    <row r="37" spans="1:8" ht="13" x14ac:dyDescent="0.15">
      <c r="A37" s="136"/>
      <c r="B37" s="42" t="s">
        <v>63</v>
      </c>
      <c r="C37" s="170">
        <f>C34-C36</f>
        <v>688075.42999999993</v>
      </c>
      <c r="D37" s="170"/>
      <c r="E37" s="170"/>
      <c r="F37" s="22"/>
      <c r="G37" s="8"/>
    </row>
    <row r="38" spans="1:8" ht="13" x14ac:dyDescent="0.15">
      <c r="A38" s="18">
        <v>751</v>
      </c>
      <c r="B38" s="106" t="s">
        <v>58</v>
      </c>
      <c r="C38" s="112">
        <v>22889.66</v>
      </c>
      <c r="D38" s="22"/>
      <c r="E38" s="22"/>
      <c r="F38" s="22"/>
      <c r="G38" s="8"/>
    </row>
    <row r="39" spans="1:8" ht="13" x14ac:dyDescent="0.15">
      <c r="A39" s="2"/>
      <c r="B39" s="106" t="s">
        <v>64</v>
      </c>
      <c r="C39" s="311">
        <v>8772198.9199999999</v>
      </c>
      <c r="D39" s="194"/>
      <c r="E39" s="194"/>
      <c r="F39" s="22"/>
      <c r="G39" s="8"/>
      <c r="H39" s="98"/>
    </row>
    <row r="40" spans="1:8" ht="13" x14ac:dyDescent="0.15">
      <c r="A40" s="2"/>
      <c r="B40" s="119" t="s">
        <v>65</v>
      </c>
      <c r="C40" s="37"/>
      <c r="D40" s="181"/>
      <c r="E40" s="181"/>
      <c r="F40" s="181"/>
      <c r="G40" s="8"/>
    </row>
    <row r="41" spans="1:8" ht="13" x14ac:dyDescent="0.15">
      <c r="A41" s="2"/>
      <c r="B41" s="38" t="s">
        <v>66</v>
      </c>
      <c r="C41" s="83"/>
      <c r="D41" s="82"/>
      <c r="E41" s="82"/>
      <c r="F41" s="82"/>
      <c r="G41" s="8"/>
    </row>
    <row r="42" spans="1:8" ht="13" x14ac:dyDescent="0.15">
      <c r="A42" s="2"/>
      <c r="B42" s="38" t="s">
        <v>67</v>
      </c>
      <c r="C42" s="83"/>
      <c r="D42" s="82"/>
      <c r="E42" s="82"/>
      <c r="F42" s="82"/>
      <c r="G42" s="8"/>
    </row>
    <row r="43" spans="1:8" ht="13" x14ac:dyDescent="0.15">
      <c r="A43" s="2"/>
      <c r="B43" s="38" t="s">
        <v>68</v>
      </c>
      <c r="C43" s="83"/>
      <c r="D43" s="82"/>
      <c r="E43" s="82"/>
      <c r="F43" s="82"/>
      <c r="G43" s="8"/>
    </row>
    <row r="44" spans="1:8" ht="13" x14ac:dyDescent="0.15">
      <c r="A44" s="2"/>
      <c r="B44" s="38" t="s">
        <v>69</v>
      </c>
      <c r="C44" s="83"/>
      <c r="D44" s="82"/>
      <c r="E44" s="82"/>
      <c r="F44" s="82"/>
      <c r="G44" s="8"/>
    </row>
    <row r="45" spans="1:8" ht="13" x14ac:dyDescent="0.15">
      <c r="A45" s="2"/>
      <c r="B45" s="149"/>
      <c r="C45" s="83"/>
      <c r="D45" s="82"/>
      <c r="E45" s="82"/>
      <c r="F45" s="82"/>
      <c r="G45" s="8"/>
    </row>
    <row r="46" spans="1:8" ht="19.5" customHeight="1" x14ac:dyDescent="0.15">
      <c r="B46" s="150"/>
      <c r="C46" s="150"/>
      <c r="D46" s="151"/>
      <c r="E46" s="150"/>
      <c r="F46" s="150"/>
    </row>
    <row r="47" spans="1:8" ht="19.5" customHeight="1" x14ac:dyDescent="0.15">
      <c r="B47" s="152" t="s">
        <v>70</v>
      </c>
      <c r="C47" s="1"/>
      <c r="D47" s="176"/>
      <c r="E47" s="1"/>
    </row>
    <row r="48" spans="1:8" ht="19.5" customHeight="1" x14ac:dyDescent="0.15">
      <c r="A48" s="2"/>
      <c r="B48" s="236" t="s">
        <v>71</v>
      </c>
      <c r="C48" s="231">
        <f>SUM(C49:C68)</f>
        <v>6188504.0900000017</v>
      </c>
      <c r="D48" s="96"/>
      <c r="E48" s="185"/>
      <c r="F48" s="8"/>
    </row>
    <row r="49" spans="1:6" ht="24" customHeight="1" x14ac:dyDescent="0.15">
      <c r="A49" s="2"/>
      <c r="B49" s="179" t="s">
        <v>247</v>
      </c>
      <c r="C49" s="184">
        <v>343694.07</v>
      </c>
      <c r="D49" s="185"/>
      <c r="E49" s="185"/>
      <c r="F49" s="8"/>
    </row>
    <row r="50" spans="1:6" ht="24" customHeight="1" x14ac:dyDescent="0.15">
      <c r="A50" s="2"/>
      <c r="B50" s="179" t="s">
        <v>248</v>
      </c>
      <c r="C50" s="184">
        <v>172595.89</v>
      </c>
      <c r="D50" s="185"/>
      <c r="E50" s="185"/>
      <c r="F50" s="8"/>
    </row>
    <row r="51" spans="1:6" ht="24" customHeight="1" x14ac:dyDescent="0.15">
      <c r="A51" s="2"/>
      <c r="B51" s="186" t="s">
        <v>172</v>
      </c>
      <c r="C51" s="184">
        <v>96224.45</v>
      </c>
      <c r="D51" s="185"/>
      <c r="E51" s="185"/>
      <c r="F51" s="8"/>
    </row>
    <row r="52" spans="1:6" ht="24" customHeight="1" x14ac:dyDescent="0.15">
      <c r="A52" s="2"/>
      <c r="B52" s="186" t="s">
        <v>249</v>
      </c>
      <c r="C52" s="184">
        <v>55519.38</v>
      </c>
      <c r="D52" s="185"/>
      <c r="E52" s="185"/>
      <c r="F52" s="8"/>
    </row>
    <row r="53" spans="1:6" ht="24" customHeight="1" x14ac:dyDescent="0.15">
      <c r="A53" s="2"/>
      <c r="B53" s="186" t="s">
        <v>86</v>
      </c>
      <c r="C53" s="184">
        <v>480667.11</v>
      </c>
      <c r="D53" s="185"/>
      <c r="E53" s="185"/>
      <c r="F53" s="8"/>
    </row>
    <row r="54" spans="1:6" ht="24" customHeight="1" x14ac:dyDescent="0.15">
      <c r="A54" s="2"/>
      <c r="B54" s="186" t="s">
        <v>132</v>
      </c>
      <c r="C54" s="184">
        <v>1521918.53</v>
      </c>
      <c r="D54" s="185"/>
      <c r="E54" s="185"/>
      <c r="F54" s="8"/>
    </row>
    <row r="55" spans="1:6" ht="24" customHeight="1" x14ac:dyDescent="0.15">
      <c r="A55" s="2"/>
      <c r="B55" s="179" t="s">
        <v>250</v>
      </c>
      <c r="C55" s="184">
        <v>247407.76</v>
      </c>
      <c r="D55" s="185"/>
      <c r="E55" s="185"/>
      <c r="F55" s="8"/>
    </row>
    <row r="56" spans="1:6" ht="24" customHeight="1" x14ac:dyDescent="0.15">
      <c r="A56" s="2"/>
      <c r="B56" s="186" t="s">
        <v>92</v>
      </c>
      <c r="C56" s="184">
        <v>129711.67999999999</v>
      </c>
      <c r="D56" s="185"/>
      <c r="E56" s="185"/>
      <c r="F56" s="8"/>
    </row>
    <row r="57" spans="1:6" ht="24" customHeight="1" x14ac:dyDescent="0.15">
      <c r="A57" s="2"/>
      <c r="B57" s="186" t="s">
        <v>251</v>
      </c>
      <c r="C57" s="184">
        <v>1251913.21</v>
      </c>
      <c r="D57" s="185"/>
      <c r="E57" s="185"/>
      <c r="F57" s="8"/>
    </row>
    <row r="58" spans="1:6" ht="24" customHeight="1" x14ac:dyDescent="0.15">
      <c r="A58" s="2"/>
      <c r="B58" s="186" t="s">
        <v>252</v>
      </c>
      <c r="C58" s="184">
        <v>685595.16</v>
      </c>
      <c r="D58" s="185"/>
      <c r="E58" s="185"/>
      <c r="F58" s="8"/>
    </row>
    <row r="59" spans="1:6" ht="24" customHeight="1" x14ac:dyDescent="0.15">
      <c r="A59" s="2"/>
      <c r="B59" s="186" t="s">
        <v>189</v>
      </c>
      <c r="C59" s="184">
        <v>75272.2</v>
      </c>
      <c r="D59" s="185"/>
      <c r="E59" s="185"/>
      <c r="F59" s="8"/>
    </row>
    <row r="60" spans="1:6" ht="24" customHeight="1" x14ac:dyDescent="0.15">
      <c r="A60" s="2"/>
      <c r="B60" s="186" t="s">
        <v>91</v>
      </c>
      <c r="C60" s="184">
        <v>137645.35999999999</v>
      </c>
      <c r="D60" s="185"/>
      <c r="E60" s="185"/>
      <c r="F60" s="8"/>
    </row>
    <row r="61" spans="1:6" ht="24" customHeight="1" x14ac:dyDescent="0.15">
      <c r="A61" s="2"/>
      <c r="B61" s="186" t="s">
        <v>154</v>
      </c>
      <c r="C61" s="184">
        <v>56730.87</v>
      </c>
      <c r="D61" s="185"/>
      <c r="E61" s="185"/>
      <c r="F61" s="8"/>
    </row>
    <row r="62" spans="1:6" ht="24" customHeight="1" x14ac:dyDescent="0.15">
      <c r="A62" s="2"/>
      <c r="B62" s="186" t="s">
        <v>253</v>
      </c>
      <c r="C62" s="184">
        <v>101600.36</v>
      </c>
      <c r="D62" s="185"/>
      <c r="E62" s="185"/>
      <c r="F62" s="8"/>
    </row>
    <row r="63" spans="1:6" ht="24" customHeight="1" x14ac:dyDescent="0.15">
      <c r="A63" s="2"/>
      <c r="B63" s="186" t="s">
        <v>94</v>
      </c>
      <c r="C63" s="184">
        <v>170429.82</v>
      </c>
      <c r="D63" s="185"/>
      <c r="E63" s="185"/>
      <c r="F63" s="8"/>
    </row>
    <row r="64" spans="1:6" ht="24" customHeight="1" x14ac:dyDescent="0.15">
      <c r="A64" s="2"/>
      <c r="B64" s="186" t="s">
        <v>95</v>
      </c>
      <c r="C64" s="184">
        <v>238542.43</v>
      </c>
      <c r="D64" s="185"/>
      <c r="E64" s="185"/>
      <c r="F64" s="8"/>
    </row>
    <row r="65" spans="1:6" ht="24" customHeight="1" x14ac:dyDescent="0.15">
      <c r="A65" s="2"/>
      <c r="B65" s="186" t="s">
        <v>254</v>
      </c>
      <c r="C65" s="184">
        <v>61487.13</v>
      </c>
      <c r="D65" s="185"/>
      <c r="E65" s="185"/>
      <c r="F65" s="8"/>
    </row>
    <row r="66" spans="1:6" ht="24" customHeight="1" x14ac:dyDescent="0.15">
      <c r="A66" s="2"/>
      <c r="B66" s="186" t="s">
        <v>255</v>
      </c>
      <c r="C66" s="184">
        <v>226774.19</v>
      </c>
      <c r="D66" s="185"/>
      <c r="E66" s="185"/>
      <c r="F66" s="8"/>
    </row>
    <row r="67" spans="1:6" ht="24" customHeight="1" x14ac:dyDescent="0.15">
      <c r="A67" s="2"/>
      <c r="B67" s="186" t="s">
        <v>256</v>
      </c>
      <c r="C67" s="184">
        <v>97897.04</v>
      </c>
      <c r="D67" s="185"/>
      <c r="E67" s="185"/>
      <c r="F67" s="8"/>
    </row>
    <row r="68" spans="1:6" ht="24" customHeight="1" x14ac:dyDescent="0.15">
      <c r="A68" s="2"/>
      <c r="B68" s="186" t="s">
        <v>142</v>
      </c>
      <c r="C68" s="184">
        <v>36877.449999999997</v>
      </c>
      <c r="D68" s="185"/>
      <c r="E68" s="185"/>
      <c r="F68" s="8"/>
    </row>
    <row r="69" spans="1:6" ht="24" customHeight="1" x14ac:dyDescent="0.15">
      <c r="A69" s="2"/>
      <c r="B69" s="228"/>
      <c r="C69" s="185"/>
      <c r="D69" s="185"/>
      <c r="E69" s="185"/>
      <c r="F69" s="8"/>
    </row>
    <row r="70" spans="1:6" ht="24" customHeight="1" x14ac:dyDescent="0.15">
      <c r="A70" s="2"/>
      <c r="B70" s="139" t="s">
        <v>118</v>
      </c>
      <c r="C70" s="250">
        <v>2521363.14</v>
      </c>
      <c r="D70" s="185"/>
      <c r="E70" s="185"/>
      <c r="F70" s="8"/>
    </row>
    <row r="71" spans="1:6" ht="19.5" customHeight="1" x14ac:dyDescent="0.15">
      <c r="A71" s="2"/>
      <c r="B71" s="188"/>
      <c r="C71" s="185"/>
      <c r="D71" s="185"/>
      <c r="E71" s="185"/>
      <c r="F71" s="8"/>
    </row>
    <row r="72" spans="1:6" ht="19.5" customHeight="1" x14ac:dyDescent="0.15">
      <c r="A72" s="2"/>
      <c r="B72" s="236" t="s">
        <v>81</v>
      </c>
      <c r="C72" s="190">
        <f>C70+C48</f>
        <v>8709867.2300000023</v>
      </c>
      <c r="D72" s="245"/>
      <c r="E72" s="328"/>
      <c r="F72" s="8"/>
    </row>
  </sheetData>
  <mergeCells count="1">
    <mergeCell ref="G26:I2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2"/>
      <c r="B2" s="4" t="s">
        <v>26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9"/>
      <c r="D3" s="10"/>
      <c r="E3" s="11"/>
      <c r="F3" s="12"/>
    </row>
    <row r="4" spans="1:6" ht="13" x14ac:dyDescent="0.15">
      <c r="A4" s="2"/>
      <c r="B4" s="14"/>
      <c r="C4" s="16"/>
      <c r="D4" s="17"/>
      <c r="E4" s="17"/>
      <c r="F4" s="17"/>
    </row>
    <row r="5" spans="1:6" ht="13" x14ac:dyDescent="0.15">
      <c r="A5" s="18">
        <v>41</v>
      </c>
      <c r="B5" s="23" t="s">
        <v>0</v>
      </c>
      <c r="C5" s="48">
        <f>SUM(C6:C13)</f>
        <v>1169671.75</v>
      </c>
      <c r="D5" s="30"/>
      <c r="E5" s="30"/>
      <c r="F5" s="17"/>
    </row>
    <row r="6" spans="1:6" ht="13" x14ac:dyDescent="0.15">
      <c r="A6" s="18">
        <v>411</v>
      </c>
      <c r="B6" s="26" t="s">
        <v>36</v>
      </c>
      <c r="C6" s="27">
        <v>650408.77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27">
        <v>240864.73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27">
        <v>151031.22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27">
        <v>57413.73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56"/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27">
        <v>1296</v>
      </c>
      <c r="D11" s="17"/>
      <c r="E11" s="17"/>
      <c r="F11" s="28"/>
    </row>
    <row r="12" spans="1:6" ht="13" x14ac:dyDescent="0.15">
      <c r="A12" s="18">
        <v>417</v>
      </c>
      <c r="B12" s="26" t="s">
        <v>6</v>
      </c>
      <c r="C12" s="27">
        <v>17178.990000000002</v>
      </c>
      <c r="D12" s="17"/>
      <c r="E12" s="17"/>
      <c r="F12" s="28"/>
    </row>
    <row r="13" spans="1:6" ht="13" x14ac:dyDescent="0.15">
      <c r="A13" s="18">
        <v>418</v>
      </c>
      <c r="B13" s="26" t="s">
        <v>38</v>
      </c>
      <c r="C13" s="27">
        <v>51478.31</v>
      </c>
      <c r="D13" s="17"/>
      <c r="E13" s="17"/>
      <c r="F13" s="28"/>
    </row>
    <row r="14" spans="1:6" ht="13" x14ac:dyDescent="0.15">
      <c r="A14" s="18">
        <v>42</v>
      </c>
      <c r="B14" s="53" t="s">
        <v>7</v>
      </c>
      <c r="C14" s="41">
        <f>462+58929.43</f>
        <v>59391.43</v>
      </c>
      <c r="D14" s="22"/>
      <c r="E14" s="22"/>
      <c r="F14" s="55"/>
    </row>
    <row r="15" spans="1:6" ht="16.5" customHeight="1" x14ac:dyDescent="0.15">
      <c r="A15" s="59">
        <v>43</v>
      </c>
      <c r="B15" s="61" t="s">
        <v>8</v>
      </c>
      <c r="C15" s="63">
        <f>SUM(C16:C19)</f>
        <v>318158.95999999996</v>
      </c>
      <c r="D15" s="65"/>
      <c r="E15" s="63"/>
      <c r="F15" s="17"/>
    </row>
    <row r="16" spans="1:6" ht="13" x14ac:dyDescent="0.15">
      <c r="A16" s="40" t="s">
        <v>40</v>
      </c>
      <c r="B16" s="42" t="s">
        <v>9</v>
      </c>
      <c r="C16" s="67">
        <f>141347.68+48381+3011.4+630+2700+3000+3231.55+10772.72</f>
        <v>213074.34999999998</v>
      </c>
      <c r="D16" s="69"/>
      <c r="E16" s="67"/>
      <c r="F16" s="17"/>
    </row>
    <row r="17" spans="1:6" ht="31.5" customHeight="1" x14ac:dyDescent="0.15">
      <c r="A17" s="40" t="s">
        <v>41</v>
      </c>
      <c r="B17" s="42" t="s">
        <v>10</v>
      </c>
      <c r="C17" s="70">
        <f>6820+23086.76+11937.27+1000+23900+2000+3999.28+3865+4000</f>
        <v>80608.31</v>
      </c>
      <c r="D17" s="69"/>
      <c r="E17" s="67"/>
      <c r="F17" s="17"/>
    </row>
    <row r="18" spans="1:6" ht="13" x14ac:dyDescent="0.15">
      <c r="A18" s="40" t="s">
        <v>42</v>
      </c>
      <c r="B18" s="71" t="s">
        <v>11</v>
      </c>
      <c r="C18" s="69"/>
      <c r="D18" s="67"/>
      <c r="E18" s="43"/>
      <c r="F18" s="85"/>
    </row>
    <row r="19" spans="1:6" ht="13" x14ac:dyDescent="0.15">
      <c r="A19" s="40" t="s">
        <v>43</v>
      </c>
      <c r="B19" s="71" t="s">
        <v>44</v>
      </c>
      <c r="C19" s="69">
        <f>6000+18476.3</f>
        <v>24476.3</v>
      </c>
      <c r="D19" s="67"/>
      <c r="E19" s="43"/>
      <c r="F19" s="104"/>
    </row>
    <row r="20" spans="1:6" ht="13" x14ac:dyDescent="0.15">
      <c r="A20" s="18">
        <v>44</v>
      </c>
      <c r="B20" s="106" t="s">
        <v>12</v>
      </c>
      <c r="C20" s="107">
        <v>698661.44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6"/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16">
        <f>50603.51+166978.2</f>
        <v>217581.71000000002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107">
        <v>32780.620000000003</v>
      </c>
      <c r="D23" s="17"/>
      <c r="E23" s="17"/>
      <c r="F23" s="17"/>
    </row>
    <row r="24" spans="1:6" ht="13" x14ac:dyDescent="0.15">
      <c r="A24" s="2"/>
      <c r="B24" s="23" t="s">
        <v>16</v>
      </c>
      <c r="C24" s="126">
        <v>2496245.91</v>
      </c>
      <c r="D24" s="17"/>
      <c r="E24" s="17"/>
      <c r="F24" s="17"/>
    </row>
    <row r="25" spans="1:6" ht="13" x14ac:dyDescent="0.15">
      <c r="A25" s="2"/>
      <c r="B25" s="119" t="s">
        <v>59</v>
      </c>
      <c r="C25" s="128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163">
        <f>SUM(C27:C31)</f>
        <v>1071513.6599999999</v>
      </c>
      <c r="D26" s="143"/>
      <c r="E26" s="143"/>
      <c r="F26" s="14"/>
    </row>
    <row r="27" spans="1:6" ht="13" x14ac:dyDescent="0.15">
      <c r="A27" s="40">
        <v>711</v>
      </c>
      <c r="B27" s="42" t="s">
        <v>48</v>
      </c>
      <c r="C27" s="36">
        <v>307799.73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36">
        <v>211835.49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43">
        <f>375.21+5779.34+50260.05+16464</f>
        <v>72878.600000000006</v>
      </c>
      <c r="D29" s="43"/>
      <c r="E29" s="43"/>
      <c r="F29" s="28"/>
    </row>
    <row r="30" spans="1:6" ht="13" x14ac:dyDescent="0.15">
      <c r="A30" s="136"/>
      <c r="B30" s="42" t="s">
        <v>60</v>
      </c>
      <c r="C30" s="43">
        <f>69877.4+330926.94+13230.3</f>
        <v>414034.63999999996</v>
      </c>
      <c r="D30" s="43"/>
      <c r="E30" s="43"/>
      <c r="F30" s="28"/>
    </row>
    <row r="31" spans="1:6" ht="13" x14ac:dyDescent="0.15">
      <c r="A31" s="40">
        <v>715</v>
      </c>
      <c r="B31" s="42" t="s">
        <v>61</v>
      </c>
      <c r="C31" s="27">
        <v>64965.2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107">
        <v>5779.57</v>
      </c>
      <c r="D32" s="17"/>
      <c r="E32" s="17"/>
      <c r="F32" s="43"/>
    </row>
    <row r="33" spans="1:6" ht="18" customHeight="1" x14ac:dyDescent="0.15">
      <c r="A33" s="140">
        <v>73</v>
      </c>
      <c r="B33" s="62" t="s">
        <v>62</v>
      </c>
      <c r="C33" s="166">
        <v>5045.04</v>
      </c>
      <c r="D33" s="147"/>
      <c r="E33" s="147"/>
      <c r="F33" s="148"/>
    </row>
    <row r="34" spans="1:6" ht="13" x14ac:dyDescent="0.15">
      <c r="A34" s="18">
        <v>74</v>
      </c>
      <c r="B34" s="61" t="s">
        <v>52</v>
      </c>
      <c r="C34" s="63">
        <f>SUM(C35:C37)</f>
        <v>1185883.6000000001</v>
      </c>
      <c r="D34" s="65"/>
      <c r="E34" s="65"/>
      <c r="F34" s="17"/>
    </row>
    <row r="35" spans="1:6" ht="13" x14ac:dyDescent="0.15">
      <c r="A35" s="40">
        <v>741</v>
      </c>
      <c r="B35" s="42" t="s">
        <v>53</v>
      </c>
      <c r="C35" s="168">
        <v>152108.15</v>
      </c>
      <c r="D35" s="69"/>
      <c r="E35" s="69"/>
      <c r="F35" s="17"/>
    </row>
    <row r="36" spans="1:6" ht="13" x14ac:dyDescent="0.15">
      <c r="A36" s="40">
        <v>742</v>
      </c>
      <c r="B36" s="42" t="s">
        <v>54</v>
      </c>
      <c r="C36" s="78">
        <v>790166</v>
      </c>
      <c r="D36" s="69"/>
      <c r="E36" s="69"/>
      <c r="F36" s="17"/>
    </row>
    <row r="37" spans="1:6" ht="13" x14ac:dyDescent="0.15">
      <c r="A37" s="136"/>
      <c r="B37" s="42" t="s">
        <v>63</v>
      </c>
      <c r="C37" s="161">
        <v>243609.45</v>
      </c>
      <c r="D37" s="65"/>
      <c r="E37" s="65"/>
      <c r="F37" s="17"/>
    </row>
    <row r="38" spans="1:6" ht="13" x14ac:dyDescent="0.15">
      <c r="A38" s="18">
        <v>751</v>
      </c>
      <c r="B38" s="106" t="s">
        <v>58</v>
      </c>
      <c r="C38" s="107">
        <v>300000</v>
      </c>
      <c r="D38" s="17"/>
      <c r="E38" s="17"/>
      <c r="F38" s="17"/>
    </row>
    <row r="39" spans="1:6" ht="13" x14ac:dyDescent="0.15">
      <c r="A39" s="2"/>
      <c r="B39" s="106" t="s">
        <v>64</v>
      </c>
      <c r="C39" s="126">
        <v>2568221.87</v>
      </c>
      <c r="D39" s="17"/>
      <c r="E39" s="17"/>
      <c r="F39" s="17"/>
    </row>
    <row r="40" spans="1:6" ht="13" x14ac:dyDescent="0.15">
      <c r="A40" s="2"/>
      <c r="B40" s="119" t="s">
        <v>65</v>
      </c>
      <c r="C40" s="128"/>
      <c r="D40" s="132"/>
      <c r="E40" s="132"/>
      <c r="F40" s="132"/>
    </row>
    <row r="41" spans="1:6" ht="13" x14ac:dyDescent="0.15">
      <c r="A41" s="2"/>
      <c r="B41" s="38" t="s">
        <v>66</v>
      </c>
      <c r="C41" s="56"/>
      <c r="D41" s="43"/>
      <c r="E41" s="43"/>
      <c r="F41" s="43"/>
    </row>
    <row r="42" spans="1:6" ht="13" x14ac:dyDescent="0.15">
      <c r="A42" s="2"/>
      <c r="B42" s="38" t="s">
        <v>67</v>
      </c>
      <c r="C42" s="56"/>
      <c r="D42" s="43"/>
      <c r="E42" s="43"/>
      <c r="F42" s="43"/>
    </row>
    <row r="43" spans="1:6" ht="13" x14ac:dyDescent="0.15">
      <c r="A43" s="2"/>
      <c r="B43" s="38" t="s">
        <v>68</v>
      </c>
      <c r="C43" s="56"/>
      <c r="D43" s="43"/>
      <c r="E43" s="43"/>
      <c r="F43" s="43"/>
    </row>
    <row r="44" spans="1:6" ht="13" x14ac:dyDescent="0.15">
      <c r="A44" s="2"/>
      <c r="B44" s="38" t="s">
        <v>69</v>
      </c>
      <c r="C44" s="56"/>
      <c r="D44" s="43"/>
      <c r="E44" s="43"/>
      <c r="F44" s="43"/>
    </row>
    <row r="45" spans="1:6" ht="13" x14ac:dyDescent="0.15">
      <c r="A45" s="2"/>
      <c r="B45" s="149"/>
      <c r="C45" s="128"/>
      <c r="D45" s="132"/>
      <c r="E45" s="132"/>
      <c r="F45" s="132"/>
    </row>
    <row r="46" spans="1:6" ht="19.5" customHeight="1" x14ac:dyDescent="0.15">
      <c r="B46" s="150"/>
      <c r="C46" s="150"/>
      <c r="D46" s="151"/>
      <c r="E46" s="150"/>
      <c r="F46" s="150"/>
    </row>
    <row r="47" spans="1:6" ht="19.5" customHeight="1" x14ac:dyDescent="0.15">
      <c r="B47" s="152" t="s">
        <v>70</v>
      </c>
      <c r="C47" s="1"/>
      <c r="D47" s="176"/>
      <c r="E47" s="1"/>
    </row>
    <row r="48" spans="1:6" ht="19.5" customHeight="1" x14ac:dyDescent="0.15">
      <c r="A48" s="2"/>
      <c r="B48" s="197" t="s">
        <v>71</v>
      </c>
      <c r="C48" s="253"/>
      <c r="D48" s="253"/>
      <c r="E48" s="253"/>
      <c r="F48" s="8"/>
    </row>
    <row r="49" spans="1:6" ht="24" customHeight="1" x14ac:dyDescent="0.15">
      <c r="A49" s="2"/>
      <c r="B49" s="254" t="s">
        <v>84</v>
      </c>
      <c r="C49" s="185"/>
      <c r="D49" s="185"/>
      <c r="E49" s="185"/>
      <c r="F49" s="8"/>
    </row>
    <row r="50" spans="1:6" ht="24" customHeight="1" x14ac:dyDescent="0.15">
      <c r="A50" s="2"/>
      <c r="B50" s="254" t="s">
        <v>172</v>
      </c>
      <c r="C50" s="185"/>
      <c r="D50" s="185"/>
      <c r="E50" s="185"/>
      <c r="F50" s="8"/>
    </row>
    <row r="51" spans="1:6" ht="24" customHeight="1" x14ac:dyDescent="0.15">
      <c r="A51" s="2"/>
      <c r="B51" s="255" t="s">
        <v>173</v>
      </c>
      <c r="C51" s="185"/>
      <c r="D51" s="185"/>
      <c r="E51" s="185"/>
      <c r="F51" s="8"/>
    </row>
    <row r="52" spans="1:6" ht="24" customHeight="1" x14ac:dyDescent="0.15">
      <c r="A52" s="2"/>
      <c r="B52" s="255" t="s">
        <v>159</v>
      </c>
      <c r="C52" s="185"/>
      <c r="D52" s="185"/>
      <c r="E52" s="185"/>
      <c r="F52" s="8"/>
    </row>
    <row r="53" spans="1:6" ht="24" customHeight="1" x14ac:dyDescent="0.15">
      <c r="A53" s="2"/>
      <c r="B53" s="255" t="s">
        <v>174</v>
      </c>
      <c r="C53" s="185"/>
      <c r="D53" s="185"/>
      <c r="E53" s="185"/>
      <c r="F53" s="8"/>
    </row>
    <row r="54" spans="1:6" ht="24" customHeight="1" x14ac:dyDescent="0.15">
      <c r="A54" s="2"/>
      <c r="B54" s="255" t="s">
        <v>175</v>
      </c>
      <c r="C54" s="185"/>
      <c r="D54" s="185"/>
      <c r="E54" s="185"/>
      <c r="F54" s="8"/>
    </row>
    <row r="55" spans="1:6" ht="24" customHeight="1" x14ac:dyDescent="0.15">
      <c r="A55" s="2"/>
      <c r="B55" s="254" t="s">
        <v>176</v>
      </c>
      <c r="C55" s="185"/>
      <c r="D55" s="185"/>
      <c r="E55" s="185"/>
      <c r="F55" s="8"/>
    </row>
    <row r="56" spans="1:6" ht="24" customHeight="1" x14ac:dyDescent="0.15">
      <c r="A56" s="2"/>
      <c r="B56" s="255" t="s">
        <v>125</v>
      </c>
      <c r="C56" s="185"/>
      <c r="D56" s="185"/>
      <c r="E56" s="185"/>
      <c r="F56" s="8"/>
    </row>
    <row r="57" spans="1:6" ht="31.5" customHeight="1" x14ac:dyDescent="0.15">
      <c r="A57" s="2"/>
      <c r="B57" s="254" t="s">
        <v>177</v>
      </c>
      <c r="C57" s="238"/>
      <c r="D57" s="238"/>
      <c r="E57" s="238"/>
      <c r="F57" s="8"/>
    </row>
    <row r="58" spans="1:6" ht="24" customHeight="1" x14ac:dyDescent="0.15">
      <c r="A58" s="2"/>
      <c r="B58" s="255" t="s">
        <v>178</v>
      </c>
      <c r="C58" s="185"/>
      <c r="D58" s="185"/>
      <c r="E58" s="185"/>
      <c r="F58" s="8"/>
    </row>
    <row r="59" spans="1:6" ht="24" customHeight="1" x14ac:dyDescent="0.15">
      <c r="A59" s="2"/>
      <c r="B59" s="255" t="s">
        <v>144</v>
      </c>
      <c r="C59" s="185"/>
      <c r="D59" s="185"/>
      <c r="E59" s="185"/>
      <c r="F59" s="8"/>
    </row>
    <row r="60" spans="1:6" ht="24" customHeight="1" x14ac:dyDescent="0.15">
      <c r="A60" s="2"/>
      <c r="B60" s="255" t="s">
        <v>91</v>
      </c>
      <c r="C60" s="185"/>
      <c r="D60" s="185"/>
      <c r="E60" s="185"/>
      <c r="F60" s="8"/>
    </row>
    <row r="61" spans="1:6" ht="24" customHeight="1" x14ac:dyDescent="0.15">
      <c r="A61" s="2"/>
      <c r="B61" s="255" t="s">
        <v>179</v>
      </c>
      <c r="C61" s="185"/>
      <c r="D61" s="185"/>
      <c r="E61" s="185"/>
      <c r="F61" s="8"/>
    </row>
    <row r="62" spans="1:6" ht="24" customHeight="1" x14ac:dyDescent="0.15">
      <c r="A62" s="2"/>
      <c r="B62" s="255" t="s">
        <v>180</v>
      </c>
      <c r="C62" s="185"/>
      <c r="D62" s="185"/>
      <c r="E62" s="185"/>
      <c r="F62" s="8"/>
    </row>
    <row r="63" spans="1:6" ht="24" customHeight="1" x14ac:dyDescent="0.15">
      <c r="A63" s="2"/>
      <c r="B63" s="255" t="s">
        <v>181</v>
      </c>
      <c r="C63" s="185"/>
      <c r="D63" s="185"/>
      <c r="E63" s="185"/>
      <c r="F63" s="8"/>
    </row>
    <row r="64" spans="1:6" ht="24" customHeight="1" x14ac:dyDescent="0.15">
      <c r="A64" s="2"/>
      <c r="B64" s="255" t="s">
        <v>182</v>
      </c>
      <c r="C64" s="185"/>
      <c r="D64" s="185"/>
      <c r="E64" s="185"/>
      <c r="F64" s="8"/>
    </row>
    <row r="65" spans="1:6" ht="24" customHeight="1" x14ac:dyDescent="0.15">
      <c r="A65" s="2"/>
      <c r="B65" s="255" t="s">
        <v>183</v>
      </c>
      <c r="C65" s="185"/>
      <c r="D65" s="185"/>
      <c r="E65" s="185"/>
      <c r="F65" s="8"/>
    </row>
    <row r="66" spans="1:6" ht="24" customHeight="1" x14ac:dyDescent="0.15">
      <c r="A66" s="2"/>
      <c r="B66" s="255" t="s">
        <v>106</v>
      </c>
      <c r="C66" s="185"/>
      <c r="D66" s="185"/>
      <c r="E66" s="185"/>
      <c r="F66" s="8"/>
    </row>
    <row r="67" spans="1:6" ht="24" customHeight="1" x14ac:dyDescent="0.15">
      <c r="A67" s="2"/>
      <c r="B67" s="255" t="s">
        <v>184</v>
      </c>
      <c r="C67" s="185"/>
      <c r="D67" s="185"/>
      <c r="E67" s="185"/>
      <c r="F67" s="8"/>
    </row>
    <row r="68" spans="1:6" ht="24" customHeight="1" x14ac:dyDescent="0.15">
      <c r="A68" s="2"/>
      <c r="B68" s="255" t="s">
        <v>185</v>
      </c>
      <c r="C68" s="185"/>
      <c r="D68" s="185"/>
      <c r="E68" s="185"/>
      <c r="F68" s="8"/>
    </row>
    <row r="69" spans="1:6" ht="24" customHeight="1" x14ac:dyDescent="0.15">
      <c r="A69" s="2"/>
      <c r="B69" s="272"/>
      <c r="C69" s="185"/>
      <c r="D69" s="185"/>
      <c r="E69" s="185"/>
      <c r="F69" s="8"/>
    </row>
    <row r="70" spans="1:6" ht="24" customHeight="1" x14ac:dyDescent="0.15">
      <c r="A70" s="2"/>
      <c r="B70" s="274" t="s">
        <v>236</v>
      </c>
      <c r="C70" s="253"/>
      <c r="D70" s="253"/>
      <c r="E70" s="253"/>
      <c r="F70" s="8"/>
    </row>
    <row r="71" spans="1:6" ht="19.5" customHeight="1" x14ac:dyDescent="0.15">
      <c r="A71" s="2"/>
      <c r="B71" s="276"/>
      <c r="C71" s="253"/>
      <c r="D71" s="253"/>
      <c r="E71" s="253"/>
      <c r="F71" s="8"/>
    </row>
    <row r="72" spans="1:6" ht="19.5" customHeight="1" x14ac:dyDescent="0.15">
      <c r="A72" s="2"/>
      <c r="B72" s="277" t="s">
        <v>81</v>
      </c>
      <c r="C72" s="278"/>
      <c r="D72" s="278"/>
      <c r="E72" s="278"/>
      <c r="F72" s="8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7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8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2"/>
      <c r="B2" s="4" t="s">
        <v>27</v>
      </c>
      <c r="C2" s="4">
        <v>2012</v>
      </c>
      <c r="D2" s="5"/>
      <c r="E2" s="5"/>
      <c r="F2" s="6"/>
      <c r="G2" s="8"/>
    </row>
    <row r="3" spans="1:7" ht="13" x14ac:dyDescent="0.15">
      <c r="A3" s="2"/>
      <c r="B3" s="7" t="s">
        <v>23</v>
      </c>
      <c r="C3" s="9"/>
      <c r="D3" s="10"/>
      <c r="E3" s="11"/>
      <c r="F3" s="12"/>
      <c r="G3" s="8"/>
    </row>
    <row r="4" spans="1:7" ht="13" x14ac:dyDescent="0.15">
      <c r="A4" s="2"/>
      <c r="B4" s="14"/>
      <c r="C4" s="16"/>
      <c r="D4" s="17"/>
      <c r="E4" s="17"/>
      <c r="F4" s="17"/>
      <c r="G4" s="8"/>
    </row>
    <row r="5" spans="1:7" ht="13" x14ac:dyDescent="0.15">
      <c r="A5" s="18">
        <v>41</v>
      </c>
      <c r="B5" s="23" t="s">
        <v>0</v>
      </c>
      <c r="C5" s="49">
        <f>SUM(C6:C13)</f>
        <v>2619920.89</v>
      </c>
      <c r="D5" s="30"/>
      <c r="E5" s="30"/>
      <c r="F5" s="17"/>
      <c r="G5" s="8"/>
    </row>
    <row r="6" spans="1:7" ht="13" x14ac:dyDescent="0.15">
      <c r="A6" s="18">
        <v>411</v>
      </c>
      <c r="B6" s="26" t="s">
        <v>36</v>
      </c>
      <c r="C6" s="27">
        <v>1699859.43</v>
      </c>
      <c r="D6" s="43"/>
      <c r="E6" s="43"/>
      <c r="F6" s="28"/>
      <c r="G6" s="8"/>
    </row>
    <row r="7" spans="1:7" ht="13" x14ac:dyDescent="0.15">
      <c r="A7" s="18">
        <v>412</v>
      </c>
      <c r="B7" s="38" t="s">
        <v>37</v>
      </c>
      <c r="C7" s="27">
        <v>172079.49</v>
      </c>
      <c r="D7" s="43"/>
      <c r="E7" s="43"/>
      <c r="F7" s="28"/>
      <c r="G7" s="8"/>
    </row>
    <row r="8" spans="1:7" ht="13" x14ac:dyDescent="0.15">
      <c r="A8" s="18">
        <v>413</v>
      </c>
      <c r="B8" s="38" t="s">
        <v>2</v>
      </c>
      <c r="C8" s="51">
        <v>557704.49</v>
      </c>
      <c r="D8" s="43"/>
      <c r="E8" s="43"/>
      <c r="F8" s="28"/>
      <c r="G8" s="8"/>
    </row>
    <row r="9" spans="1:7" ht="13" x14ac:dyDescent="0.15">
      <c r="A9" s="40">
        <v>414</v>
      </c>
      <c r="B9" s="26" t="s">
        <v>3</v>
      </c>
      <c r="C9" s="27">
        <v>17064.11</v>
      </c>
      <c r="D9" s="43"/>
      <c r="E9" s="43"/>
      <c r="F9" s="28"/>
      <c r="G9" s="8"/>
    </row>
    <row r="10" spans="1:7" ht="13" x14ac:dyDescent="0.15">
      <c r="A10" s="18">
        <v>415</v>
      </c>
      <c r="B10" s="42" t="s">
        <v>4</v>
      </c>
      <c r="C10" s="27">
        <v>73127.64</v>
      </c>
      <c r="D10" s="43"/>
      <c r="E10" s="43"/>
      <c r="F10" s="28"/>
      <c r="G10" s="8"/>
    </row>
    <row r="11" spans="1:7" ht="13" x14ac:dyDescent="0.15">
      <c r="A11" s="18">
        <v>416</v>
      </c>
      <c r="B11" s="26" t="s">
        <v>5</v>
      </c>
      <c r="C11" s="56"/>
      <c r="D11" s="43"/>
      <c r="E11" s="43"/>
      <c r="F11" s="28"/>
      <c r="G11" s="8"/>
    </row>
    <row r="12" spans="1:7" ht="13" x14ac:dyDescent="0.15">
      <c r="A12" s="18">
        <v>417</v>
      </c>
      <c r="B12" s="26" t="s">
        <v>6</v>
      </c>
      <c r="C12" s="27">
        <v>29999.98</v>
      </c>
      <c r="D12" s="43"/>
      <c r="E12" s="43"/>
      <c r="F12" s="28"/>
      <c r="G12" s="8"/>
    </row>
    <row r="13" spans="1:7" ht="13" x14ac:dyDescent="0.15">
      <c r="A13" s="18">
        <v>418</v>
      </c>
      <c r="B13" s="26" t="s">
        <v>38</v>
      </c>
      <c r="C13" s="27">
        <v>70085.75</v>
      </c>
      <c r="D13" s="43"/>
      <c r="E13" s="43"/>
      <c r="F13" s="28"/>
      <c r="G13" s="8"/>
    </row>
    <row r="14" spans="1:7" ht="13" x14ac:dyDescent="0.15">
      <c r="A14" s="18">
        <v>42</v>
      </c>
      <c r="B14" s="62" t="s">
        <v>7</v>
      </c>
      <c r="C14" s="107">
        <v>18112.599999999999</v>
      </c>
      <c r="D14" s="17"/>
      <c r="E14" s="17"/>
      <c r="F14" s="28"/>
      <c r="G14" s="8"/>
    </row>
    <row r="15" spans="1:7" ht="16.5" customHeight="1" x14ac:dyDescent="0.15">
      <c r="A15" s="59">
        <v>43</v>
      </c>
      <c r="B15" s="61" t="s">
        <v>8</v>
      </c>
      <c r="C15" s="63">
        <f>SUM(C16:C19)</f>
        <v>5941795.6399999987</v>
      </c>
      <c r="D15" s="65"/>
      <c r="E15" s="63"/>
      <c r="F15" s="17"/>
      <c r="G15" s="8"/>
    </row>
    <row r="16" spans="1:7" ht="13" x14ac:dyDescent="0.15">
      <c r="A16" s="40" t="s">
        <v>40</v>
      </c>
      <c r="B16" s="42" t="s">
        <v>9</v>
      </c>
      <c r="C16" s="67">
        <f>19994.27+34224.32+25832.79+96989.86+298266.19+300000+262000+9316.14+180811.3+10000+78000.25+7000+96293.34</f>
        <v>1418728.46</v>
      </c>
      <c r="D16" s="69"/>
      <c r="E16" s="67"/>
      <c r="F16" s="17"/>
      <c r="G16" s="8"/>
    </row>
    <row r="17" spans="1:8" ht="13" x14ac:dyDescent="0.15">
      <c r="A17" s="40" t="s">
        <v>41</v>
      </c>
      <c r="B17" s="42" t="s">
        <v>10</v>
      </c>
      <c r="C17" s="70">
        <f>19792.64+5000+37148.5+96865.92</f>
        <v>158807.06</v>
      </c>
      <c r="D17" s="69"/>
      <c r="E17" s="67"/>
      <c r="F17" s="17"/>
      <c r="G17" s="8"/>
    </row>
    <row r="18" spans="1:8" ht="13" x14ac:dyDescent="0.15">
      <c r="A18" s="40" t="s">
        <v>42</v>
      </c>
      <c r="B18" s="71" t="s">
        <v>11</v>
      </c>
      <c r="C18" s="69">
        <f>24140+5007.5</f>
        <v>29147.5</v>
      </c>
      <c r="D18" s="67"/>
      <c r="E18" s="43"/>
      <c r="F18" s="85"/>
    </row>
    <row r="19" spans="1:8" ht="15" customHeight="1" x14ac:dyDescent="0.15">
      <c r="A19" s="40" t="s">
        <v>43</v>
      </c>
      <c r="B19" s="71" t="s">
        <v>44</v>
      </c>
      <c r="C19" s="69">
        <f>14540+25000+2000+3600+10000+99999.6+35000.04+400000+337639.1+44914.42+421352.21+763544.11+7995.32+13861.13+426778.84+1708887.85+20000</f>
        <v>4335112.6199999992</v>
      </c>
      <c r="D19" s="67"/>
      <c r="E19" s="43"/>
      <c r="F19" s="104"/>
    </row>
    <row r="20" spans="1:8" ht="13" x14ac:dyDescent="0.15">
      <c r="A20" s="18">
        <v>44</v>
      </c>
      <c r="B20" s="106" t="s">
        <v>12</v>
      </c>
      <c r="C20" s="107">
        <v>292854.78999999998</v>
      </c>
      <c r="D20" s="17"/>
      <c r="E20" s="17"/>
      <c r="F20" s="17"/>
      <c r="G20" s="8"/>
    </row>
    <row r="21" spans="1:8" ht="13" x14ac:dyDescent="0.15">
      <c r="A21" s="18">
        <v>45</v>
      </c>
      <c r="B21" s="62" t="s">
        <v>58</v>
      </c>
      <c r="C21" s="107">
        <v>30000</v>
      </c>
      <c r="D21" s="17"/>
      <c r="E21" s="17"/>
      <c r="F21" s="17"/>
      <c r="G21" s="8"/>
    </row>
    <row r="22" spans="1:8" ht="13" x14ac:dyDescent="0.15">
      <c r="A22" s="18">
        <v>46</v>
      </c>
      <c r="B22" s="23" t="s">
        <v>14</v>
      </c>
      <c r="C22" s="16">
        <f>968666.36+2684452.61</f>
        <v>3653118.9699999997</v>
      </c>
      <c r="D22" s="17"/>
      <c r="E22" s="17"/>
      <c r="F22" s="17"/>
      <c r="G22" s="8"/>
    </row>
    <row r="23" spans="1:8" ht="13" x14ac:dyDescent="0.15">
      <c r="A23" s="18">
        <v>47</v>
      </c>
      <c r="B23" s="23" t="s">
        <v>15</v>
      </c>
      <c r="C23" s="16">
        <f>45791.8+21000</f>
        <v>66791.8</v>
      </c>
      <c r="D23" s="17"/>
      <c r="E23" s="17"/>
      <c r="F23" s="17"/>
      <c r="G23" s="8"/>
    </row>
    <row r="24" spans="1:8" ht="13" x14ac:dyDescent="0.15">
      <c r="A24" s="2"/>
      <c r="B24" s="23" t="s">
        <v>16</v>
      </c>
      <c r="C24" s="126">
        <v>12622594.98</v>
      </c>
      <c r="D24" s="17"/>
      <c r="E24" s="17"/>
      <c r="F24" s="17"/>
      <c r="G24" s="8"/>
    </row>
    <row r="25" spans="1:8" ht="13" x14ac:dyDescent="0.15">
      <c r="A25" s="2"/>
      <c r="B25" s="119" t="s">
        <v>59</v>
      </c>
      <c r="C25" s="128"/>
      <c r="D25" s="132"/>
      <c r="E25" s="132"/>
      <c r="F25" s="132"/>
      <c r="G25" s="8"/>
    </row>
    <row r="26" spans="1:8" ht="13" x14ac:dyDescent="0.15">
      <c r="A26" s="18">
        <v>71</v>
      </c>
      <c r="B26" s="23" t="s">
        <v>46</v>
      </c>
      <c r="C26" s="34">
        <f>SUM(C27:C31)</f>
        <v>12817923.379999999</v>
      </c>
      <c r="D26" s="30"/>
      <c r="E26" s="30"/>
      <c r="F26" s="14"/>
      <c r="G26" s="8"/>
    </row>
    <row r="27" spans="1:8" ht="13" x14ac:dyDescent="0.15">
      <c r="A27" s="40">
        <v>711</v>
      </c>
      <c r="B27" s="42" t="s">
        <v>48</v>
      </c>
      <c r="C27" s="36">
        <v>5574376.7300000004</v>
      </c>
      <c r="D27" s="43"/>
      <c r="E27" s="43"/>
      <c r="F27" s="28"/>
      <c r="G27" s="8"/>
    </row>
    <row r="28" spans="1:8" ht="13" x14ac:dyDescent="0.15">
      <c r="A28" s="40">
        <v>713</v>
      </c>
      <c r="B28" s="42" t="s">
        <v>49</v>
      </c>
      <c r="C28" s="36">
        <v>276639.93</v>
      </c>
      <c r="D28" s="43"/>
      <c r="E28" s="43"/>
      <c r="F28" s="28"/>
      <c r="G28" s="8"/>
    </row>
    <row r="29" spans="1:8" ht="13" x14ac:dyDescent="0.15">
      <c r="A29" s="40">
        <v>714</v>
      </c>
      <c r="B29" s="42" t="s">
        <v>50</v>
      </c>
      <c r="C29" s="43">
        <f>39726.9+205064.66</f>
        <v>244791.56</v>
      </c>
      <c r="D29" s="43"/>
      <c r="E29" s="43"/>
      <c r="F29" s="28"/>
      <c r="G29" s="8"/>
    </row>
    <row r="30" spans="1:8" ht="13" x14ac:dyDescent="0.15">
      <c r="A30" s="136"/>
      <c r="B30" s="42" t="s">
        <v>60</v>
      </c>
      <c r="C30" s="43">
        <f>5569683.27-C29</f>
        <v>5324891.71</v>
      </c>
      <c r="D30" s="43"/>
      <c r="E30" s="43"/>
      <c r="F30" s="28"/>
      <c r="G30" s="8"/>
    </row>
    <row r="31" spans="1:8" ht="13" x14ac:dyDescent="0.15">
      <c r="A31" s="40">
        <v>715</v>
      </c>
      <c r="B31" s="42" t="s">
        <v>61</v>
      </c>
      <c r="C31" s="27">
        <v>1397223.45</v>
      </c>
      <c r="D31" s="43"/>
      <c r="E31" s="43"/>
      <c r="F31" s="28"/>
      <c r="G31" s="8"/>
      <c r="H31" s="98">
        <f>SUM(D27:D35)</f>
        <v>0</v>
      </c>
    </row>
    <row r="32" spans="1:8" ht="13" x14ac:dyDescent="0.15">
      <c r="A32" s="18">
        <v>72</v>
      </c>
      <c r="B32" s="146" t="s">
        <v>51</v>
      </c>
      <c r="C32" s="107">
        <v>243105.51</v>
      </c>
      <c r="D32" s="17"/>
      <c r="E32" s="17"/>
      <c r="F32" s="43"/>
      <c r="G32" s="8"/>
    </row>
    <row r="33" spans="1:7" ht="18" customHeight="1" x14ac:dyDescent="0.15">
      <c r="A33" s="140">
        <v>73</v>
      </c>
      <c r="B33" s="62" t="s">
        <v>62</v>
      </c>
      <c r="C33" s="147">
        <f>34099.53+67017.96</f>
        <v>101117.49</v>
      </c>
      <c r="D33" s="147"/>
      <c r="E33" s="147"/>
      <c r="F33" s="148"/>
      <c r="G33" s="8"/>
    </row>
    <row r="34" spans="1:7" ht="13" x14ac:dyDescent="0.15">
      <c r="A34" s="18">
        <v>74</v>
      </c>
      <c r="B34" s="61" t="s">
        <v>52</v>
      </c>
      <c r="C34" s="63">
        <f>SUM(C35:C37)</f>
        <v>262000</v>
      </c>
      <c r="D34" s="65"/>
      <c r="E34" s="65"/>
      <c r="F34" s="17"/>
      <c r="G34" s="8"/>
    </row>
    <row r="35" spans="1:7" ht="13" x14ac:dyDescent="0.15">
      <c r="A35" s="40">
        <v>741</v>
      </c>
      <c r="B35" s="42" t="s">
        <v>53</v>
      </c>
      <c r="C35" s="63"/>
      <c r="D35" s="94"/>
      <c r="E35" s="65"/>
      <c r="F35" s="17"/>
      <c r="G35" s="8"/>
    </row>
    <row r="36" spans="1:7" ht="13" x14ac:dyDescent="0.15">
      <c r="A36" s="40">
        <v>742</v>
      </c>
      <c r="B36" s="42" t="s">
        <v>54</v>
      </c>
      <c r="C36" s="63"/>
      <c r="D36" s="65"/>
      <c r="E36" s="65"/>
      <c r="F36" s="17"/>
      <c r="G36" s="8"/>
    </row>
    <row r="37" spans="1:7" ht="13" x14ac:dyDescent="0.15">
      <c r="A37" s="136"/>
      <c r="B37" s="42" t="s">
        <v>63</v>
      </c>
      <c r="C37" s="78">
        <v>262000</v>
      </c>
      <c r="D37" s="65"/>
      <c r="E37" s="65"/>
      <c r="F37" s="17"/>
      <c r="G37" s="8"/>
    </row>
    <row r="38" spans="1:7" ht="13" x14ac:dyDescent="0.15">
      <c r="A38" s="18">
        <v>751</v>
      </c>
      <c r="B38" s="106" t="s">
        <v>58</v>
      </c>
      <c r="C38" s="107">
        <v>0</v>
      </c>
      <c r="D38" s="22"/>
      <c r="E38" s="17"/>
      <c r="F38" s="17"/>
      <c r="G38" s="8"/>
    </row>
    <row r="39" spans="1:7" ht="13" x14ac:dyDescent="0.15">
      <c r="A39" s="2"/>
      <c r="B39" s="106" t="s">
        <v>64</v>
      </c>
      <c r="C39" s="100">
        <v>13424146.380000001</v>
      </c>
      <c r="D39" s="17"/>
      <c r="E39" s="17"/>
      <c r="F39" s="17"/>
      <c r="G39" s="8"/>
    </row>
    <row r="40" spans="1:7" ht="13" x14ac:dyDescent="0.15">
      <c r="A40" s="2"/>
      <c r="B40" s="119" t="s">
        <v>65</v>
      </c>
      <c r="C40" s="128"/>
      <c r="D40" s="132"/>
      <c r="E40" s="132"/>
      <c r="F40" s="132"/>
      <c r="G40" s="8"/>
    </row>
    <row r="41" spans="1:7" ht="13" x14ac:dyDescent="0.15">
      <c r="A41" s="2"/>
      <c r="B41" s="38" t="s">
        <v>66</v>
      </c>
      <c r="C41" s="56"/>
      <c r="D41" s="43"/>
      <c r="E41" s="43"/>
      <c r="F41" s="43"/>
      <c r="G41" s="8"/>
    </row>
    <row r="42" spans="1:7" ht="13" x14ac:dyDescent="0.15">
      <c r="A42" s="2"/>
      <c r="B42" s="38" t="s">
        <v>67</v>
      </c>
      <c r="C42" s="56"/>
      <c r="D42" s="43"/>
      <c r="E42" s="43"/>
      <c r="F42" s="43"/>
      <c r="G42" s="8"/>
    </row>
    <row r="43" spans="1:7" ht="13" x14ac:dyDescent="0.15">
      <c r="A43" s="2"/>
      <c r="B43" s="38" t="s">
        <v>68</v>
      </c>
      <c r="C43" s="56"/>
      <c r="D43" s="43"/>
      <c r="E43" s="43"/>
      <c r="F43" s="43"/>
      <c r="G43" s="8"/>
    </row>
    <row r="44" spans="1:7" ht="13" x14ac:dyDescent="0.15">
      <c r="A44" s="2"/>
      <c r="B44" s="38" t="s">
        <v>69</v>
      </c>
      <c r="C44" s="56"/>
      <c r="D44" s="43"/>
      <c r="E44" s="43"/>
      <c r="F44" s="43"/>
      <c r="G44" s="8"/>
    </row>
    <row r="45" spans="1:7" ht="13" x14ac:dyDescent="0.15">
      <c r="A45" s="2"/>
      <c r="B45" s="149"/>
      <c r="C45" s="128"/>
      <c r="D45" s="132"/>
      <c r="E45" s="132"/>
      <c r="F45" s="132"/>
      <c r="G45" s="8"/>
    </row>
    <row r="46" spans="1:7" ht="19.5" customHeight="1" x14ac:dyDescent="0.15">
      <c r="B46" s="150"/>
      <c r="C46" s="150"/>
      <c r="D46" s="151"/>
      <c r="E46" s="150"/>
      <c r="F46" s="150"/>
    </row>
    <row r="47" spans="1:7" ht="19.5" customHeight="1" x14ac:dyDescent="0.15">
      <c r="B47" s="152" t="s">
        <v>70</v>
      </c>
      <c r="C47" s="1"/>
      <c r="D47" s="176"/>
      <c r="E47" s="1"/>
    </row>
    <row r="48" spans="1:7" ht="19.5" customHeight="1" x14ac:dyDescent="0.15">
      <c r="A48" s="2"/>
      <c r="B48" s="236" t="s">
        <v>71</v>
      </c>
      <c r="C48" s="231"/>
      <c r="D48" s="185"/>
      <c r="E48" s="242"/>
      <c r="F48" s="8"/>
    </row>
    <row r="49" spans="1:6" ht="24" customHeight="1" x14ac:dyDescent="0.15">
      <c r="A49" s="2"/>
      <c r="B49" s="179" t="s">
        <v>145</v>
      </c>
      <c r="C49" s="184">
        <v>205761.75</v>
      </c>
      <c r="D49" s="185"/>
      <c r="E49" s="242"/>
      <c r="F49" s="8"/>
    </row>
    <row r="50" spans="1:6" ht="24" customHeight="1" x14ac:dyDescent="0.15">
      <c r="A50" s="2"/>
      <c r="B50" s="179" t="s">
        <v>146</v>
      </c>
      <c r="C50" s="184">
        <v>262256.34999999998</v>
      </c>
      <c r="D50" s="185"/>
      <c r="E50" s="242"/>
      <c r="F50" s="8"/>
    </row>
    <row r="51" spans="1:6" ht="24" customHeight="1" x14ac:dyDescent="0.15">
      <c r="A51" s="2"/>
      <c r="B51" s="186" t="s">
        <v>147</v>
      </c>
      <c r="C51" s="184">
        <v>54290.85</v>
      </c>
      <c r="D51" s="185"/>
      <c r="E51" s="242"/>
      <c r="F51" s="8"/>
    </row>
    <row r="52" spans="1:6" ht="24" customHeight="1" x14ac:dyDescent="0.15">
      <c r="A52" s="2"/>
      <c r="B52" s="186" t="s">
        <v>86</v>
      </c>
      <c r="C52" s="184">
        <v>392538.69</v>
      </c>
      <c r="D52" s="185"/>
      <c r="E52" s="242"/>
      <c r="F52" s="8"/>
    </row>
    <row r="53" spans="1:6" ht="31.5" customHeight="1" x14ac:dyDescent="0.15">
      <c r="A53" s="2"/>
      <c r="B53" s="179" t="s">
        <v>148</v>
      </c>
      <c r="C53" s="184">
        <v>146957.96</v>
      </c>
      <c r="D53" s="185"/>
      <c r="E53" s="242"/>
      <c r="F53" s="8"/>
    </row>
    <row r="54" spans="1:6" ht="24" customHeight="1" x14ac:dyDescent="0.15">
      <c r="A54" s="2"/>
      <c r="B54" s="179" t="s">
        <v>149</v>
      </c>
      <c r="C54" s="184">
        <v>5296096.5999999996</v>
      </c>
      <c r="D54" s="185"/>
      <c r="E54" s="242"/>
      <c r="F54" s="8"/>
    </row>
    <row r="55" spans="1:6" ht="24" customHeight="1" x14ac:dyDescent="0.15">
      <c r="A55" s="2"/>
      <c r="B55" s="186" t="s">
        <v>150</v>
      </c>
      <c r="C55" s="184">
        <v>47380.42</v>
      </c>
      <c r="D55" s="185"/>
      <c r="E55" s="242"/>
      <c r="F55" s="8"/>
    </row>
    <row r="56" spans="1:6" ht="24" customHeight="1" x14ac:dyDescent="0.15">
      <c r="A56" s="2"/>
      <c r="B56" s="186" t="s">
        <v>151</v>
      </c>
      <c r="C56" s="184">
        <v>88319.89</v>
      </c>
      <c r="D56" s="185"/>
      <c r="E56" s="242"/>
      <c r="F56" s="8"/>
    </row>
    <row r="57" spans="1:6" ht="24" customHeight="1" x14ac:dyDescent="0.15">
      <c r="A57" s="2"/>
      <c r="B57" s="186" t="s">
        <v>152</v>
      </c>
      <c r="C57" s="184">
        <v>1450668.35</v>
      </c>
      <c r="D57" s="185"/>
      <c r="E57" s="242"/>
      <c r="F57" s="8"/>
    </row>
    <row r="58" spans="1:6" ht="24" customHeight="1" x14ac:dyDescent="0.15">
      <c r="A58" s="2"/>
      <c r="B58" s="186" t="s">
        <v>130</v>
      </c>
      <c r="C58" s="184">
        <v>243113.2</v>
      </c>
      <c r="D58" s="185"/>
      <c r="E58" s="242"/>
      <c r="F58" s="8"/>
    </row>
    <row r="59" spans="1:6" ht="24" customHeight="1" x14ac:dyDescent="0.15">
      <c r="A59" s="2"/>
      <c r="B59" s="186" t="s">
        <v>153</v>
      </c>
      <c r="C59" s="184">
        <v>13896.58</v>
      </c>
      <c r="D59" s="185"/>
      <c r="E59" s="242"/>
      <c r="F59" s="8"/>
    </row>
    <row r="60" spans="1:6" ht="24" customHeight="1" x14ac:dyDescent="0.15">
      <c r="A60" s="2"/>
      <c r="B60" s="186" t="s">
        <v>94</v>
      </c>
      <c r="C60" s="184">
        <v>190853.5</v>
      </c>
      <c r="D60" s="185"/>
      <c r="E60" s="242"/>
      <c r="F60" s="8"/>
    </row>
    <row r="61" spans="1:6" ht="24" customHeight="1" x14ac:dyDescent="0.15">
      <c r="A61" s="2"/>
      <c r="B61" s="186" t="s">
        <v>95</v>
      </c>
      <c r="C61" s="184">
        <v>384182.21</v>
      </c>
      <c r="D61" s="185"/>
      <c r="E61" s="242"/>
      <c r="F61" s="8"/>
    </row>
    <row r="62" spans="1:6" ht="24" customHeight="1" x14ac:dyDescent="0.15">
      <c r="A62" s="2"/>
      <c r="B62" s="186" t="s">
        <v>154</v>
      </c>
      <c r="C62" s="184">
        <v>33766.26</v>
      </c>
      <c r="D62" s="185"/>
      <c r="E62" s="242"/>
      <c r="F62" s="8"/>
    </row>
    <row r="63" spans="1:6" ht="24" customHeight="1" x14ac:dyDescent="0.15">
      <c r="A63" s="2"/>
      <c r="B63" s="186" t="s">
        <v>155</v>
      </c>
      <c r="C63" s="184">
        <v>67539.100000000006</v>
      </c>
      <c r="D63" s="185"/>
      <c r="E63" s="242"/>
      <c r="F63" s="8"/>
    </row>
    <row r="64" spans="1:6" ht="24" customHeight="1" x14ac:dyDescent="0.15">
      <c r="A64" s="2"/>
      <c r="B64" s="186" t="s">
        <v>156</v>
      </c>
      <c r="C64" s="184">
        <v>3744972.98</v>
      </c>
      <c r="D64" s="185"/>
      <c r="E64" s="242"/>
      <c r="F64" s="8"/>
    </row>
    <row r="65" spans="1:6" ht="19.5" customHeight="1" x14ac:dyDescent="0.15">
      <c r="A65" s="2"/>
      <c r="B65" s="188"/>
      <c r="C65" s="185"/>
      <c r="D65" s="185"/>
      <c r="E65" s="242"/>
      <c r="F65" s="8"/>
    </row>
    <row r="66" spans="1:6" ht="19.5" customHeight="1" x14ac:dyDescent="0.15">
      <c r="A66" s="2"/>
      <c r="B66" s="236" t="s">
        <v>81</v>
      </c>
      <c r="C66" s="189">
        <v>12622594.98</v>
      </c>
      <c r="D66" s="245"/>
      <c r="E66" s="245"/>
      <c r="F66" s="8"/>
    </row>
    <row r="67" spans="1:6" ht="19.5" customHeight="1" x14ac:dyDescent="0.15">
      <c r="B67" s="150"/>
      <c r="C67" s="150"/>
      <c r="D67" s="151"/>
      <c r="E67" s="15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5" width="16.83203125" customWidth="1"/>
    <col min="6" max="6" width="15.5" customWidth="1"/>
  </cols>
  <sheetData>
    <row r="1" spans="1:6" ht="27.75" customHeight="1" x14ac:dyDescent="0.15">
      <c r="B1" s="1"/>
      <c r="C1" s="1"/>
      <c r="D1" s="1"/>
      <c r="E1" s="1"/>
    </row>
    <row r="2" spans="1:6" ht="13" x14ac:dyDescent="0.15">
      <c r="A2" s="2"/>
      <c r="B2" s="4" t="s">
        <v>28</v>
      </c>
      <c r="C2" s="4">
        <v>2012</v>
      </c>
      <c r="D2" s="5"/>
      <c r="E2" s="5"/>
      <c r="F2" s="8"/>
    </row>
    <row r="3" spans="1:6" ht="13" x14ac:dyDescent="0.15">
      <c r="A3" s="2"/>
      <c r="B3" s="7" t="s">
        <v>23</v>
      </c>
      <c r="C3" s="66"/>
      <c r="D3" s="68"/>
      <c r="E3" s="115"/>
    </row>
    <row r="4" spans="1:6" ht="13" x14ac:dyDescent="0.15">
      <c r="A4" s="2"/>
      <c r="B4" s="14"/>
      <c r="C4" s="116"/>
      <c r="D4" s="116"/>
      <c r="E4" s="16"/>
      <c r="F4" s="8"/>
    </row>
    <row r="5" spans="1:6" ht="13" x14ac:dyDescent="0.15">
      <c r="A5" s="18">
        <v>41</v>
      </c>
      <c r="B5" s="23" t="s">
        <v>0</v>
      </c>
      <c r="C5" s="117">
        <f>SUM(C6:C13)</f>
        <v>5334738.9800000004</v>
      </c>
      <c r="D5" s="154"/>
      <c r="E5" s="156"/>
      <c r="F5" s="8"/>
    </row>
    <row r="6" spans="1:6" ht="13" x14ac:dyDescent="0.15">
      <c r="A6" s="18">
        <v>411</v>
      </c>
      <c r="B6" s="26" t="s">
        <v>36</v>
      </c>
      <c r="C6" s="80">
        <v>2599283.63</v>
      </c>
      <c r="D6" s="67"/>
      <c r="E6" s="56"/>
      <c r="F6" s="8"/>
    </row>
    <row r="7" spans="1:6" ht="13" x14ac:dyDescent="0.15">
      <c r="A7" s="18">
        <v>412</v>
      </c>
      <c r="B7" s="38" t="s">
        <v>37</v>
      </c>
      <c r="C7" s="80">
        <v>177469.57</v>
      </c>
      <c r="D7" s="67"/>
      <c r="E7" s="56"/>
      <c r="F7" s="8"/>
    </row>
    <row r="8" spans="1:6" ht="13" x14ac:dyDescent="0.15">
      <c r="A8" s="18">
        <v>413</v>
      </c>
      <c r="B8" s="38" t="s">
        <v>2</v>
      </c>
      <c r="C8" s="79">
        <v>1068699.3400000001</v>
      </c>
      <c r="D8" s="67"/>
      <c r="E8" s="56"/>
      <c r="F8" s="8"/>
    </row>
    <row r="9" spans="1:6" ht="13" x14ac:dyDescent="0.15">
      <c r="A9" s="40">
        <v>414</v>
      </c>
      <c r="B9" s="26" t="s">
        <v>3</v>
      </c>
      <c r="C9" s="80">
        <v>1489286.44</v>
      </c>
      <c r="D9" s="67"/>
      <c r="E9" s="56"/>
      <c r="F9" s="8"/>
    </row>
    <row r="10" spans="1:6" ht="13" x14ac:dyDescent="0.15">
      <c r="A10" s="18">
        <v>415</v>
      </c>
      <c r="B10" s="42" t="s">
        <v>4</v>
      </c>
      <c r="C10" s="158"/>
      <c r="D10" s="159"/>
      <c r="E10" s="56"/>
      <c r="F10" s="8"/>
    </row>
    <row r="11" spans="1:6" ht="13" x14ac:dyDescent="0.15">
      <c r="A11" s="18">
        <v>416</v>
      </c>
      <c r="B11" s="26" t="s">
        <v>5</v>
      </c>
      <c r="C11" s="69"/>
      <c r="D11" s="67"/>
      <c r="E11" s="56"/>
      <c r="F11" s="8"/>
    </row>
    <row r="12" spans="1:6" ht="13" x14ac:dyDescent="0.15">
      <c r="A12" s="18">
        <v>417</v>
      </c>
      <c r="B12" s="26" t="s">
        <v>6</v>
      </c>
      <c r="C12" s="69"/>
      <c r="D12" s="67"/>
      <c r="E12" s="56"/>
      <c r="F12" s="8"/>
    </row>
    <row r="13" spans="1:6" ht="13" x14ac:dyDescent="0.15">
      <c r="A13" s="18">
        <v>418</v>
      </c>
      <c r="B13" s="26" t="s">
        <v>38</v>
      </c>
      <c r="C13" s="69"/>
      <c r="D13" s="67"/>
      <c r="E13" s="56"/>
      <c r="F13" s="8"/>
    </row>
    <row r="14" spans="1:6" ht="13" x14ac:dyDescent="0.15">
      <c r="A14" s="18">
        <v>42</v>
      </c>
      <c r="B14" s="62" t="s">
        <v>7</v>
      </c>
      <c r="C14" s="147"/>
      <c r="D14" s="160"/>
      <c r="E14" s="41"/>
      <c r="F14" s="8"/>
    </row>
    <row r="15" spans="1:6" ht="16.5" customHeight="1" x14ac:dyDescent="0.15">
      <c r="A15" s="59">
        <v>43</v>
      </c>
      <c r="B15" s="61" t="s">
        <v>8</v>
      </c>
      <c r="C15" s="147">
        <f>SUM(C16:C19)</f>
        <v>1074458.0599999998</v>
      </c>
      <c r="D15" s="147"/>
      <c r="E15" s="63"/>
      <c r="F15" s="8"/>
    </row>
    <row r="16" spans="1:6" ht="13" x14ac:dyDescent="0.15">
      <c r="A16" s="40" t="s">
        <v>40</v>
      </c>
      <c r="B16" s="42" t="s">
        <v>9</v>
      </c>
      <c r="C16" s="162">
        <v>479463.74</v>
      </c>
      <c r="D16" s="158"/>
      <c r="E16" s="67"/>
      <c r="F16" s="8"/>
    </row>
    <row r="17" spans="1:6" ht="31.5" customHeight="1" x14ac:dyDescent="0.15">
      <c r="A17" s="40" t="s">
        <v>41</v>
      </c>
      <c r="B17" s="42" t="s">
        <v>10</v>
      </c>
      <c r="C17" s="204">
        <v>259841.09</v>
      </c>
      <c r="D17" s="206"/>
      <c r="E17" s="67"/>
      <c r="F17" s="8"/>
    </row>
    <row r="18" spans="1:6" ht="13" x14ac:dyDescent="0.15">
      <c r="A18" s="40" t="s">
        <v>42</v>
      </c>
      <c r="B18" s="71" t="s">
        <v>11</v>
      </c>
      <c r="C18" s="80">
        <v>209163.06</v>
      </c>
      <c r="D18" s="69"/>
      <c r="E18" s="69"/>
      <c r="F18" s="8"/>
    </row>
    <row r="19" spans="1:6" ht="13" x14ac:dyDescent="0.15">
      <c r="A19" s="40" t="s">
        <v>43</v>
      </c>
      <c r="B19" s="71" t="s">
        <v>44</v>
      </c>
      <c r="C19" s="80">
        <v>125990.17</v>
      </c>
      <c r="D19" s="69"/>
      <c r="E19" s="69"/>
      <c r="F19" s="8"/>
    </row>
    <row r="20" spans="1:6" ht="13" x14ac:dyDescent="0.15">
      <c r="A20" s="18">
        <v>44</v>
      </c>
      <c r="B20" s="106" t="s">
        <v>12</v>
      </c>
      <c r="C20" s="208">
        <v>1077157.3700000001</v>
      </c>
      <c r="D20" s="63"/>
      <c r="E20" s="16"/>
      <c r="F20" s="8"/>
    </row>
    <row r="21" spans="1:6" ht="13" x14ac:dyDescent="0.15">
      <c r="A21" s="18">
        <v>45</v>
      </c>
      <c r="B21" s="62" t="s">
        <v>58</v>
      </c>
      <c r="C21" s="209">
        <v>606239.27</v>
      </c>
      <c r="D21" s="210"/>
      <c r="E21" s="16"/>
      <c r="F21" s="8"/>
    </row>
    <row r="22" spans="1:6" ht="13" x14ac:dyDescent="0.15">
      <c r="A22" s="18">
        <v>46</v>
      </c>
      <c r="B22" s="23" t="s">
        <v>14</v>
      </c>
      <c r="C22" s="208">
        <v>2694181.99</v>
      </c>
      <c r="D22" s="63"/>
      <c r="E22" s="16"/>
      <c r="F22" s="8"/>
    </row>
    <row r="23" spans="1:6" ht="13" x14ac:dyDescent="0.15">
      <c r="A23" s="18">
        <v>47</v>
      </c>
      <c r="B23" s="23" t="s">
        <v>15</v>
      </c>
      <c r="C23" s="208">
        <v>117828.56</v>
      </c>
      <c r="D23" s="63"/>
      <c r="E23" s="16"/>
      <c r="F23" s="8"/>
    </row>
    <row r="24" spans="1:6" ht="13" x14ac:dyDescent="0.15">
      <c r="A24" s="2"/>
      <c r="B24" s="23" t="s">
        <v>16</v>
      </c>
      <c r="C24" s="248">
        <v>10904604.23</v>
      </c>
      <c r="D24" s="63"/>
      <c r="E24" s="16"/>
      <c r="F24" s="8"/>
    </row>
    <row r="25" spans="1:6" ht="13" x14ac:dyDescent="0.15">
      <c r="A25" s="2"/>
      <c r="B25" s="119" t="s">
        <v>59</v>
      </c>
      <c r="C25" s="279"/>
      <c r="D25" s="279"/>
      <c r="E25" s="128"/>
      <c r="F25" s="8"/>
    </row>
    <row r="26" spans="1:6" ht="13" x14ac:dyDescent="0.15">
      <c r="A26" s="18">
        <v>71</v>
      </c>
      <c r="B26" s="23" t="s">
        <v>46</v>
      </c>
      <c r="C26" s="316">
        <f>SUM(C27:C31)</f>
        <v>10971394.470000001</v>
      </c>
      <c r="D26" s="317"/>
      <c r="E26" s="30"/>
      <c r="F26" s="8"/>
    </row>
    <row r="27" spans="1:6" ht="13" x14ac:dyDescent="0.15">
      <c r="A27" s="40">
        <v>711</v>
      </c>
      <c r="B27" s="42" t="s">
        <v>48</v>
      </c>
      <c r="C27" s="162">
        <v>6224008.8300000001</v>
      </c>
      <c r="D27" s="158"/>
      <c r="E27" s="43"/>
      <c r="F27" s="8"/>
    </row>
    <row r="28" spans="1:6" ht="13" x14ac:dyDescent="0.15">
      <c r="A28" s="40">
        <v>713</v>
      </c>
      <c r="B28" s="42" t="s">
        <v>49</v>
      </c>
      <c r="C28" s="162">
        <v>403350.46</v>
      </c>
      <c r="D28" s="158"/>
      <c r="E28" s="43"/>
      <c r="F28" s="8"/>
    </row>
    <row r="29" spans="1:6" ht="13" x14ac:dyDescent="0.15">
      <c r="A29" s="40">
        <v>714</v>
      </c>
      <c r="B29" s="42" t="s">
        <v>50</v>
      </c>
      <c r="C29" s="162">
        <v>116393.47</v>
      </c>
      <c r="D29" s="158"/>
      <c r="E29" s="43"/>
      <c r="F29" s="8"/>
    </row>
    <row r="30" spans="1:6" ht="13" x14ac:dyDescent="0.15">
      <c r="A30" s="136"/>
      <c r="B30" s="42" t="s">
        <v>60</v>
      </c>
      <c r="C30" s="162">
        <v>3303649.82</v>
      </c>
      <c r="D30" s="158"/>
      <c r="E30" s="43"/>
      <c r="F30" s="8"/>
    </row>
    <row r="31" spans="1:6" ht="13" x14ac:dyDescent="0.15">
      <c r="A31" s="40">
        <v>715</v>
      </c>
      <c r="B31" s="42" t="s">
        <v>61</v>
      </c>
      <c r="C31" s="162">
        <v>923991.89</v>
      </c>
      <c r="D31" s="158"/>
      <c r="E31" s="56"/>
      <c r="F31" s="8"/>
    </row>
    <row r="32" spans="1:6" ht="13" x14ac:dyDescent="0.15">
      <c r="A32" s="18">
        <v>72</v>
      </c>
      <c r="B32" s="146" t="s">
        <v>51</v>
      </c>
      <c r="C32" s="94"/>
      <c r="D32" s="94"/>
      <c r="E32" s="41"/>
      <c r="F32" s="8"/>
    </row>
    <row r="33" spans="1:6" ht="18" customHeight="1" x14ac:dyDescent="0.15">
      <c r="A33" s="140">
        <v>73</v>
      </c>
      <c r="B33" s="62" t="s">
        <v>62</v>
      </c>
      <c r="C33" s="147"/>
      <c r="D33" s="147"/>
      <c r="E33" s="256"/>
      <c r="F33" s="8"/>
    </row>
    <row r="34" spans="1:6" ht="13" x14ac:dyDescent="0.15">
      <c r="A34" s="18">
        <v>74</v>
      </c>
      <c r="B34" s="61" t="s">
        <v>52</v>
      </c>
      <c r="C34" s="147">
        <f>SUM(C35:C37)</f>
        <v>10725</v>
      </c>
      <c r="D34" s="147"/>
      <c r="E34" s="63"/>
      <c r="F34" s="8"/>
    </row>
    <row r="35" spans="1:6" ht="13" x14ac:dyDescent="0.15">
      <c r="A35" s="40">
        <v>741</v>
      </c>
      <c r="B35" s="42" t="s">
        <v>53</v>
      </c>
      <c r="C35" s="158"/>
      <c r="D35" s="158"/>
      <c r="E35" s="63"/>
      <c r="F35" s="8"/>
    </row>
    <row r="36" spans="1:6" ht="13" x14ac:dyDescent="0.15">
      <c r="A36" s="40">
        <v>742</v>
      </c>
      <c r="B36" s="42" t="s">
        <v>54</v>
      </c>
      <c r="C36" s="158"/>
      <c r="D36" s="158"/>
      <c r="E36" s="63"/>
      <c r="F36" s="8"/>
    </row>
    <row r="37" spans="1:6" ht="13" x14ac:dyDescent="0.15">
      <c r="A37" s="136"/>
      <c r="B37" s="42" t="s">
        <v>63</v>
      </c>
      <c r="C37" s="319">
        <v>10725</v>
      </c>
      <c r="D37" s="158"/>
      <c r="E37" s="63"/>
      <c r="F37" s="8"/>
    </row>
    <row r="38" spans="1:6" ht="13" x14ac:dyDescent="0.15">
      <c r="A38" s="18">
        <v>751</v>
      </c>
      <c r="B38" s="106" t="s">
        <v>58</v>
      </c>
      <c r="C38" s="208">
        <v>0</v>
      </c>
      <c r="D38" s="65"/>
      <c r="E38" s="16"/>
      <c r="F38" s="8"/>
    </row>
    <row r="39" spans="1:6" ht="13" x14ac:dyDescent="0.15">
      <c r="A39" s="2"/>
      <c r="B39" s="106" t="s">
        <v>64</v>
      </c>
      <c r="C39" s="320">
        <v>10982119.470000001</v>
      </c>
      <c r="D39" s="65"/>
      <c r="E39" s="16"/>
      <c r="F39" s="8"/>
    </row>
    <row r="40" spans="1:6" ht="13" x14ac:dyDescent="0.15">
      <c r="A40" s="2"/>
      <c r="B40" s="119" t="s">
        <v>65</v>
      </c>
      <c r="C40" s="279"/>
      <c r="D40" s="279"/>
      <c r="E40" s="128"/>
      <c r="F40" s="8"/>
    </row>
    <row r="41" spans="1:6" ht="13" x14ac:dyDescent="0.15">
      <c r="A41" s="2"/>
      <c r="B41" s="38" t="s">
        <v>66</v>
      </c>
      <c r="C41" s="325"/>
      <c r="D41" s="325"/>
      <c r="E41" s="56"/>
      <c r="F41" s="8"/>
    </row>
    <row r="42" spans="1:6" ht="13" x14ac:dyDescent="0.15">
      <c r="A42" s="2"/>
      <c r="B42" s="38" t="s">
        <v>67</v>
      </c>
      <c r="C42" s="325"/>
      <c r="D42" s="325"/>
      <c r="E42" s="56"/>
      <c r="F42" s="8"/>
    </row>
    <row r="43" spans="1:6" ht="13" x14ac:dyDescent="0.15">
      <c r="A43" s="2"/>
      <c r="B43" s="38" t="s">
        <v>68</v>
      </c>
      <c r="C43" s="325"/>
      <c r="D43" s="325"/>
      <c r="E43" s="56"/>
      <c r="F43" s="8"/>
    </row>
    <row r="44" spans="1:6" ht="13" x14ac:dyDescent="0.15">
      <c r="A44" s="2"/>
      <c r="B44" s="38" t="s">
        <v>69</v>
      </c>
      <c r="C44" s="325"/>
      <c r="D44" s="325"/>
      <c r="E44" s="56"/>
      <c r="F44" s="8"/>
    </row>
    <row r="45" spans="1:6" ht="13" x14ac:dyDescent="0.15">
      <c r="A45" s="2"/>
      <c r="B45" s="149"/>
      <c r="C45" s="327"/>
      <c r="D45" s="327"/>
      <c r="E45" s="128"/>
      <c r="F45" s="8"/>
    </row>
    <row r="46" spans="1:6" ht="20.25" customHeight="1" x14ac:dyDescent="0.15">
      <c r="B46" s="150"/>
      <c r="C46" s="150"/>
      <c r="D46" s="150"/>
      <c r="E46" s="150"/>
    </row>
    <row r="47" spans="1:6" ht="19.5" customHeight="1" x14ac:dyDescent="0.15">
      <c r="B47" s="152" t="s">
        <v>70</v>
      </c>
      <c r="C47" s="1"/>
      <c r="D47" s="1"/>
      <c r="E47" s="1"/>
    </row>
    <row r="48" spans="1:6" ht="19.5" customHeight="1" x14ac:dyDescent="0.15">
      <c r="A48" s="2"/>
      <c r="B48" s="177" t="s">
        <v>71</v>
      </c>
      <c r="C48" s="231">
        <f>SUM(C50:C68)</f>
        <v>9859498.3099999987</v>
      </c>
      <c r="D48" s="185"/>
      <c r="E48" s="185"/>
      <c r="F48" s="8"/>
    </row>
    <row r="49" spans="1:6" ht="24" customHeight="1" x14ac:dyDescent="0.15">
      <c r="A49" s="2"/>
      <c r="B49" s="347"/>
      <c r="C49" s="238"/>
      <c r="D49" s="238"/>
      <c r="E49" s="185"/>
      <c r="F49" s="8"/>
    </row>
    <row r="50" spans="1:6" ht="24" customHeight="1" x14ac:dyDescent="0.15">
      <c r="A50" s="2"/>
      <c r="B50" s="179" t="s">
        <v>128</v>
      </c>
      <c r="C50" s="289">
        <v>345348.52</v>
      </c>
      <c r="D50" s="238"/>
      <c r="E50" s="185"/>
      <c r="F50" s="8"/>
    </row>
    <row r="51" spans="1:6" ht="24" customHeight="1" x14ac:dyDescent="0.15">
      <c r="A51" s="2"/>
      <c r="B51" s="179" t="s">
        <v>272</v>
      </c>
      <c r="C51" s="289">
        <v>279826.86</v>
      </c>
      <c r="D51" s="238"/>
      <c r="E51" s="185"/>
      <c r="F51" s="8"/>
    </row>
    <row r="52" spans="1:6" ht="24" customHeight="1" x14ac:dyDescent="0.15">
      <c r="A52" s="2"/>
      <c r="B52" s="186" t="s">
        <v>273</v>
      </c>
      <c r="C52" s="184">
        <v>695707.83</v>
      </c>
      <c r="D52" s="185"/>
      <c r="E52" s="185"/>
      <c r="F52" s="8"/>
    </row>
    <row r="53" spans="1:6" ht="24" customHeight="1" x14ac:dyDescent="0.15">
      <c r="A53" s="2"/>
      <c r="B53" s="186" t="s">
        <v>189</v>
      </c>
      <c r="C53" s="184">
        <v>201175.45</v>
      </c>
      <c r="D53" s="185"/>
      <c r="E53" s="185"/>
      <c r="F53" s="8"/>
    </row>
    <row r="54" spans="1:6" ht="24" customHeight="1" x14ac:dyDescent="0.15">
      <c r="A54" s="2"/>
      <c r="B54" s="186" t="s">
        <v>94</v>
      </c>
      <c r="C54" s="184">
        <v>123337.41</v>
      </c>
      <c r="D54" s="185"/>
      <c r="E54" s="185"/>
      <c r="F54" s="8"/>
    </row>
    <row r="55" spans="1:6" ht="24" customHeight="1" x14ac:dyDescent="0.15">
      <c r="A55" s="2"/>
      <c r="B55" s="179" t="s">
        <v>274</v>
      </c>
      <c r="C55" s="289">
        <v>1539796.74</v>
      </c>
      <c r="D55" s="238"/>
      <c r="E55" s="185"/>
      <c r="F55" s="8"/>
    </row>
    <row r="56" spans="1:6" ht="24" customHeight="1" x14ac:dyDescent="0.15">
      <c r="A56" s="2"/>
      <c r="B56" s="179" t="s">
        <v>275</v>
      </c>
      <c r="C56" s="289">
        <v>233080.37</v>
      </c>
      <c r="D56" s="238"/>
      <c r="E56" s="185"/>
      <c r="F56" s="8"/>
    </row>
    <row r="57" spans="1:6" ht="24" customHeight="1" x14ac:dyDescent="0.15">
      <c r="A57" s="2"/>
      <c r="B57" s="179" t="s">
        <v>276</v>
      </c>
      <c r="C57" s="289">
        <v>3694561.03</v>
      </c>
      <c r="D57" s="238"/>
      <c r="E57" s="185"/>
      <c r="F57" s="8"/>
    </row>
    <row r="58" spans="1:6" ht="24" customHeight="1" x14ac:dyDescent="0.15">
      <c r="A58" s="2"/>
      <c r="B58" s="179" t="s">
        <v>91</v>
      </c>
      <c r="C58" s="184">
        <v>75456.27</v>
      </c>
      <c r="D58" s="238"/>
      <c r="E58" s="185"/>
      <c r="F58" s="8"/>
    </row>
    <row r="59" spans="1:6" ht="24" customHeight="1" x14ac:dyDescent="0.15">
      <c r="A59" s="2"/>
      <c r="B59" s="186" t="s">
        <v>252</v>
      </c>
      <c r="C59" s="184">
        <v>1362428.91</v>
      </c>
      <c r="D59" s="185"/>
      <c r="E59" s="352"/>
      <c r="F59" s="8"/>
    </row>
    <row r="60" spans="1:6" ht="24" customHeight="1" x14ac:dyDescent="0.15">
      <c r="A60" s="2"/>
      <c r="B60" s="186" t="s">
        <v>280</v>
      </c>
      <c r="C60" s="184">
        <v>36394.379999999997</v>
      </c>
      <c r="D60" s="185"/>
      <c r="E60" s="185"/>
      <c r="F60" s="8"/>
    </row>
    <row r="61" spans="1:6" ht="24" customHeight="1" x14ac:dyDescent="0.15">
      <c r="A61" s="2"/>
      <c r="B61" s="186" t="s">
        <v>95</v>
      </c>
      <c r="C61" s="184">
        <v>365150.91</v>
      </c>
      <c r="D61" s="185"/>
      <c r="E61" s="185"/>
      <c r="F61" s="8"/>
    </row>
    <row r="62" spans="1:6" ht="24" customHeight="1" x14ac:dyDescent="0.15">
      <c r="A62" s="2"/>
      <c r="B62" s="186" t="s">
        <v>281</v>
      </c>
      <c r="C62" s="184">
        <v>53913.55</v>
      </c>
      <c r="D62" s="185"/>
      <c r="E62" s="185"/>
      <c r="F62" s="8"/>
    </row>
    <row r="63" spans="1:6" ht="24" customHeight="1" x14ac:dyDescent="0.15">
      <c r="A63" s="2"/>
      <c r="B63" s="186" t="s">
        <v>282</v>
      </c>
      <c r="C63" s="184">
        <v>234066.12</v>
      </c>
      <c r="D63" s="185"/>
      <c r="E63" s="185"/>
      <c r="F63" s="8"/>
    </row>
    <row r="64" spans="1:6" ht="24" customHeight="1" x14ac:dyDescent="0.15">
      <c r="A64" s="2"/>
      <c r="B64" s="186" t="s">
        <v>283</v>
      </c>
      <c r="C64" s="184">
        <v>106091.99</v>
      </c>
      <c r="D64" s="185"/>
      <c r="E64" s="185"/>
      <c r="F64" s="8"/>
    </row>
    <row r="65" spans="1:6" ht="24" customHeight="1" x14ac:dyDescent="0.15">
      <c r="A65" s="2"/>
      <c r="B65" s="186" t="s">
        <v>284</v>
      </c>
      <c r="C65" s="184">
        <v>279439.27</v>
      </c>
      <c r="D65" s="185"/>
      <c r="E65" s="185"/>
      <c r="F65" s="8"/>
    </row>
    <row r="66" spans="1:6" ht="24" customHeight="1" x14ac:dyDescent="0.15">
      <c r="A66" s="2"/>
      <c r="B66" s="186" t="s">
        <v>285</v>
      </c>
      <c r="C66" s="184">
        <v>101300</v>
      </c>
      <c r="D66" s="185"/>
      <c r="E66" s="185"/>
      <c r="F66" s="8"/>
    </row>
    <row r="67" spans="1:6" ht="24" customHeight="1" x14ac:dyDescent="0.15">
      <c r="A67" s="2"/>
      <c r="B67" s="186" t="s">
        <v>286</v>
      </c>
      <c r="C67" s="184">
        <v>109042.26</v>
      </c>
      <c r="D67" s="185"/>
      <c r="E67" s="185"/>
      <c r="F67" s="8"/>
    </row>
    <row r="68" spans="1:6" ht="24" customHeight="1" x14ac:dyDescent="0.15">
      <c r="A68" s="2"/>
      <c r="B68" s="186" t="s">
        <v>287</v>
      </c>
      <c r="C68" s="184">
        <v>23380.44</v>
      </c>
      <c r="D68" s="185"/>
      <c r="E68" s="185"/>
      <c r="F68" s="8"/>
    </row>
    <row r="69" spans="1:6" ht="24" customHeight="1" x14ac:dyDescent="0.15">
      <c r="A69" s="2"/>
      <c r="B69" s="228"/>
      <c r="C69" s="185"/>
      <c r="D69" s="185"/>
      <c r="E69" s="185"/>
      <c r="F69" s="8"/>
    </row>
    <row r="70" spans="1:6" ht="24" customHeight="1" x14ac:dyDescent="0.15">
      <c r="A70" s="2"/>
      <c r="B70" s="186" t="s">
        <v>118</v>
      </c>
      <c r="C70" s="250">
        <v>1045105.92</v>
      </c>
      <c r="D70" s="185"/>
      <c r="E70" s="185"/>
      <c r="F70" s="8"/>
    </row>
    <row r="71" spans="1:6" ht="24" customHeight="1" x14ac:dyDescent="0.15">
      <c r="A71" s="2"/>
      <c r="B71" s="228"/>
      <c r="C71" s="185"/>
      <c r="D71" s="185"/>
      <c r="E71" s="185"/>
      <c r="F71" s="8"/>
    </row>
    <row r="72" spans="1:6" ht="24" customHeight="1" x14ac:dyDescent="0.15">
      <c r="A72" s="2"/>
      <c r="B72" s="186" t="s">
        <v>81</v>
      </c>
      <c r="C72" s="231">
        <f>C70+C48</f>
        <v>10904604.229999999</v>
      </c>
      <c r="D72" s="185"/>
      <c r="E72" s="185"/>
      <c r="F72" s="8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3"/>
      <c r="D1" s="1"/>
      <c r="E1" s="1"/>
      <c r="F1" s="1"/>
    </row>
    <row r="2" spans="1:6" ht="13" x14ac:dyDescent="0.15">
      <c r="A2" s="2"/>
      <c r="B2" s="4" t="s">
        <v>29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13"/>
      <c r="D3" s="10"/>
      <c r="E3" s="11"/>
      <c r="F3" s="12"/>
    </row>
    <row r="4" spans="1:6" ht="13" x14ac:dyDescent="0.15">
      <c r="A4" s="2"/>
      <c r="B4" s="14"/>
      <c r="C4" s="15"/>
      <c r="D4" s="17"/>
      <c r="E4" s="17"/>
      <c r="F4" s="17"/>
    </row>
    <row r="5" spans="1:6" ht="13" x14ac:dyDescent="0.15">
      <c r="A5" s="18">
        <v>41</v>
      </c>
      <c r="B5" s="23" t="s">
        <v>0</v>
      </c>
      <c r="C5" s="57">
        <f>SUM(C6:C13)</f>
        <v>1806902.0599999998</v>
      </c>
      <c r="D5" s="17"/>
      <c r="E5" s="17"/>
      <c r="F5" s="17"/>
    </row>
    <row r="6" spans="1:6" ht="13" x14ac:dyDescent="0.15">
      <c r="A6" s="18">
        <v>411</v>
      </c>
      <c r="B6" s="26" t="s">
        <v>36</v>
      </c>
      <c r="C6" s="58">
        <v>969822.87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58">
        <v>149987.97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60">
        <v>447356.74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58">
        <v>34866.239999999998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58">
        <v>0</v>
      </c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58">
        <v>5810.4</v>
      </c>
      <c r="D11" s="17"/>
      <c r="E11" s="17"/>
      <c r="F11" s="28"/>
    </row>
    <row r="12" spans="1:6" ht="13" x14ac:dyDescent="0.15">
      <c r="A12" s="18">
        <v>417</v>
      </c>
      <c r="B12" s="26" t="s">
        <v>6</v>
      </c>
      <c r="C12" s="58">
        <v>80736.929999999993</v>
      </c>
      <c r="D12" s="17"/>
      <c r="E12" s="17"/>
      <c r="F12" s="28"/>
    </row>
    <row r="13" spans="1:6" ht="13" x14ac:dyDescent="0.15">
      <c r="A13" s="18">
        <v>418</v>
      </c>
      <c r="B13" s="26" t="s">
        <v>38</v>
      </c>
      <c r="C13" s="58">
        <v>118320.91</v>
      </c>
      <c r="D13" s="17"/>
      <c r="E13" s="17"/>
      <c r="F13" s="28"/>
    </row>
    <row r="14" spans="1:6" ht="13" x14ac:dyDescent="0.15">
      <c r="A14" s="18">
        <v>42</v>
      </c>
      <c r="B14" s="62" t="s">
        <v>7</v>
      </c>
      <c r="C14" s="64">
        <v>8642.01</v>
      </c>
      <c r="D14" s="17"/>
      <c r="E14" s="17"/>
      <c r="F14" s="28"/>
    </row>
    <row r="15" spans="1:6" ht="16.5" customHeight="1" x14ac:dyDescent="0.15">
      <c r="A15" s="59">
        <v>43</v>
      </c>
      <c r="B15" s="61" t="s">
        <v>8</v>
      </c>
      <c r="C15" s="64">
        <v>791316.74</v>
      </c>
      <c r="D15" s="65"/>
      <c r="E15" s="63"/>
      <c r="F15" s="17"/>
    </row>
    <row r="16" spans="1:6" ht="13" x14ac:dyDescent="0.15">
      <c r="A16" s="40" t="s">
        <v>40</v>
      </c>
      <c r="B16" s="42" t="s">
        <v>9</v>
      </c>
      <c r="C16" s="70">
        <f>271270.42+86316.59</f>
        <v>357587.01</v>
      </c>
      <c r="D16" s="43"/>
      <c r="E16" s="43"/>
      <c r="F16" s="17"/>
    </row>
    <row r="17" spans="1:6" ht="31.5" customHeight="1" x14ac:dyDescent="0.15">
      <c r="A17" s="40" t="s">
        <v>41</v>
      </c>
      <c r="B17" s="42" t="s">
        <v>10</v>
      </c>
      <c r="C17" s="58">
        <v>95259.67</v>
      </c>
      <c r="D17" s="67"/>
      <c r="E17" s="67"/>
      <c r="F17" s="17"/>
    </row>
    <row r="18" spans="1:6" ht="13" x14ac:dyDescent="0.15">
      <c r="A18" s="40" t="s">
        <v>42</v>
      </c>
      <c r="B18" s="71" t="s">
        <v>11</v>
      </c>
      <c r="C18" s="58">
        <v>135848.06</v>
      </c>
      <c r="D18" s="43"/>
      <c r="E18" s="43"/>
      <c r="F18" s="85"/>
    </row>
    <row r="19" spans="1:6" ht="13" x14ac:dyDescent="0.15">
      <c r="A19" s="40" t="s">
        <v>43</v>
      </c>
      <c r="B19" s="71" t="s">
        <v>44</v>
      </c>
      <c r="C19" s="58">
        <v>202622</v>
      </c>
      <c r="D19" s="43"/>
      <c r="E19" s="43"/>
      <c r="F19" s="104"/>
    </row>
    <row r="20" spans="1:6" ht="13" x14ac:dyDescent="0.15">
      <c r="A20" s="18">
        <v>44</v>
      </c>
      <c r="B20" s="106" t="s">
        <v>12</v>
      </c>
      <c r="C20" s="64">
        <v>905572.25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5"/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64">
        <v>162349.16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64">
        <v>3013.15</v>
      </c>
      <c r="D23" s="17"/>
      <c r="E23" s="17"/>
      <c r="F23" s="17"/>
    </row>
    <row r="24" spans="1:6" ht="13" x14ac:dyDescent="0.15">
      <c r="A24" s="2"/>
      <c r="B24" s="23" t="s">
        <v>16</v>
      </c>
      <c r="C24" s="118">
        <v>3677795.37</v>
      </c>
      <c r="D24" s="17"/>
      <c r="E24" s="17"/>
      <c r="F24" s="17"/>
    </row>
    <row r="25" spans="1:6" ht="13" x14ac:dyDescent="0.15">
      <c r="A25" s="2"/>
      <c r="B25" s="119" t="s">
        <v>59</v>
      </c>
      <c r="C25" s="120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214">
        <f>SUM(C27:C31)</f>
        <v>1826317.9800000002</v>
      </c>
      <c r="D26" s="17"/>
      <c r="E26" s="17"/>
      <c r="F26" s="14"/>
    </row>
    <row r="27" spans="1:6" ht="13" x14ac:dyDescent="0.15">
      <c r="A27" s="40">
        <v>711</v>
      </c>
      <c r="B27" s="42" t="s">
        <v>48</v>
      </c>
      <c r="C27" s="111">
        <v>926777.86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111">
        <v>56924.91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111">
        <v>350674.31</v>
      </c>
      <c r="D29" s="43"/>
      <c r="E29" s="43"/>
      <c r="F29" s="28"/>
    </row>
    <row r="30" spans="1:6" ht="13" x14ac:dyDescent="0.15">
      <c r="A30" s="136"/>
      <c r="B30" s="42" t="s">
        <v>60</v>
      </c>
      <c r="C30" s="243">
        <f>138679.96+133214.66</f>
        <v>271894.62</v>
      </c>
      <c r="D30" s="43"/>
      <c r="E30" s="43"/>
      <c r="F30" s="28"/>
    </row>
    <row r="31" spans="1:6" ht="13" x14ac:dyDescent="0.15">
      <c r="A31" s="40">
        <v>715</v>
      </c>
      <c r="B31" s="42" t="s">
        <v>61</v>
      </c>
      <c r="C31" s="58">
        <v>220046.28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15"/>
      <c r="D32" s="17"/>
      <c r="E32" s="17"/>
      <c r="F32" s="43"/>
    </row>
    <row r="33" spans="1:6" ht="18" customHeight="1" x14ac:dyDescent="0.15">
      <c r="A33" s="140">
        <v>73</v>
      </c>
      <c r="B33" s="62" t="s">
        <v>62</v>
      </c>
      <c r="C33" s="64">
        <v>493327.25</v>
      </c>
      <c r="D33" s="65"/>
      <c r="E33" s="65"/>
      <c r="F33" s="148"/>
    </row>
    <row r="34" spans="1:6" ht="13" x14ac:dyDescent="0.15">
      <c r="A34" s="18">
        <v>74</v>
      </c>
      <c r="B34" s="61" t="s">
        <v>52</v>
      </c>
      <c r="C34" s="64">
        <v>1524196.94</v>
      </c>
      <c r="D34" s="17"/>
      <c r="E34" s="17"/>
      <c r="F34" s="17"/>
    </row>
    <row r="35" spans="1:6" ht="13" x14ac:dyDescent="0.15">
      <c r="A35" s="40">
        <v>741</v>
      </c>
      <c r="B35" s="42" t="s">
        <v>53</v>
      </c>
      <c r="C35" s="58">
        <v>56255.71</v>
      </c>
      <c r="D35" s="43"/>
      <c r="E35" s="43"/>
      <c r="F35" s="17"/>
    </row>
    <row r="36" spans="1:6" ht="13" x14ac:dyDescent="0.15">
      <c r="A36" s="40">
        <v>742</v>
      </c>
      <c r="B36" s="42" t="s">
        <v>54</v>
      </c>
      <c r="C36" s="58">
        <v>1258828.6100000001</v>
      </c>
      <c r="D36" s="43"/>
      <c r="E36" s="43"/>
      <c r="F36" s="17"/>
    </row>
    <row r="37" spans="1:6" ht="13" x14ac:dyDescent="0.15">
      <c r="A37" s="136"/>
      <c r="B37" s="42" t="s">
        <v>63</v>
      </c>
      <c r="C37" s="70">
        <f>C34-C35-C36</f>
        <v>209112.61999999988</v>
      </c>
      <c r="D37" s="65"/>
      <c r="E37" s="65"/>
      <c r="F37" s="17"/>
    </row>
    <row r="38" spans="1:6" ht="13" x14ac:dyDescent="0.15">
      <c r="A38" s="18">
        <v>751</v>
      </c>
      <c r="B38" s="106" t="s">
        <v>58</v>
      </c>
      <c r="C38" s="15"/>
      <c r="D38" s="17"/>
      <c r="E38" s="17"/>
      <c r="F38" s="17"/>
    </row>
    <row r="39" spans="1:6" ht="13" x14ac:dyDescent="0.15">
      <c r="A39" s="2"/>
      <c r="B39" s="106" t="s">
        <v>64</v>
      </c>
      <c r="C39" s="118">
        <v>3843842.17</v>
      </c>
      <c r="D39" s="17"/>
      <c r="E39" s="17"/>
      <c r="F39" s="17"/>
    </row>
    <row r="40" spans="1:6" ht="13" x14ac:dyDescent="0.15">
      <c r="A40" s="2"/>
      <c r="B40" s="119" t="s">
        <v>65</v>
      </c>
      <c r="C40" s="120"/>
      <c r="D40" s="132"/>
      <c r="E40" s="132"/>
      <c r="F40" s="132"/>
    </row>
    <row r="41" spans="1:6" ht="13" x14ac:dyDescent="0.15">
      <c r="A41" s="2"/>
      <c r="B41" s="38" t="s">
        <v>66</v>
      </c>
      <c r="C41" s="70"/>
      <c r="D41" s="43"/>
      <c r="E41" s="43"/>
      <c r="F41" s="43"/>
    </row>
    <row r="42" spans="1:6" ht="13" x14ac:dyDescent="0.15">
      <c r="A42" s="2"/>
      <c r="B42" s="38" t="s">
        <v>67</v>
      </c>
      <c r="C42" s="70"/>
      <c r="D42" s="43"/>
      <c r="E42" s="43"/>
      <c r="F42" s="43"/>
    </row>
    <row r="43" spans="1:6" ht="13" x14ac:dyDescent="0.15">
      <c r="A43" s="2"/>
      <c r="B43" s="38" t="s">
        <v>68</v>
      </c>
      <c r="C43" s="70"/>
      <c r="D43" s="43"/>
      <c r="E43" s="43"/>
      <c r="F43" s="43"/>
    </row>
    <row r="44" spans="1:6" ht="13" x14ac:dyDescent="0.15">
      <c r="A44" s="2"/>
      <c r="B44" s="38" t="s">
        <v>69</v>
      </c>
      <c r="C44" s="70"/>
      <c r="D44" s="43"/>
      <c r="E44" s="43"/>
      <c r="F44" s="43"/>
    </row>
    <row r="45" spans="1:6" ht="13" x14ac:dyDescent="0.15">
      <c r="A45" s="2"/>
      <c r="B45" s="149"/>
      <c r="C45" s="120"/>
      <c r="D45" s="132"/>
      <c r="E45" s="132"/>
      <c r="F45" s="132"/>
    </row>
    <row r="46" spans="1:6" ht="19.5" customHeight="1" x14ac:dyDescent="0.15">
      <c r="B46" s="150"/>
      <c r="C46" s="246"/>
      <c r="D46" s="151"/>
      <c r="E46" s="150"/>
      <c r="F46" s="150"/>
    </row>
    <row r="47" spans="1:6" ht="19.5" customHeight="1" x14ac:dyDescent="0.15">
      <c r="B47" s="152" t="s">
        <v>70</v>
      </c>
      <c r="C47" s="3"/>
      <c r="D47" s="176"/>
      <c r="E47" s="1"/>
    </row>
    <row r="48" spans="1:6" ht="19.5" customHeight="1" x14ac:dyDescent="0.15">
      <c r="A48" s="2"/>
      <c r="B48" s="236" t="s">
        <v>71</v>
      </c>
      <c r="C48" s="92"/>
      <c r="D48" s="178"/>
      <c r="E48" s="247"/>
      <c r="F48" s="8"/>
    </row>
    <row r="49" spans="1:6" ht="24" customHeight="1" x14ac:dyDescent="0.15">
      <c r="A49" s="2"/>
      <c r="B49" s="179" t="s">
        <v>157</v>
      </c>
      <c r="C49" s="184">
        <v>55631.95</v>
      </c>
      <c r="D49" s="185"/>
      <c r="E49" s="242"/>
      <c r="F49" s="8"/>
    </row>
    <row r="50" spans="1:6" ht="24" customHeight="1" x14ac:dyDescent="0.15">
      <c r="A50" s="2"/>
      <c r="B50" s="179" t="s">
        <v>128</v>
      </c>
      <c r="C50" s="184">
        <v>119465.16</v>
      </c>
      <c r="D50" s="185"/>
      <c r="E50" s="242"/>
      <c r="F50" s="8"/>
    </row>
    <row r="51" spans="1:6" ht="24" customHeight="1" x14ac:dyDescent="0.15">
      <c r="A51" s="2"/>
      <c r="B51" s="186" t="s">
        <v>158</v>
      </c>
      <c r="C51" s="184">
        <v>121922</v>
      </c>
      <c r="D51" s="185"/>
      <c r="E51" s="242"/>
      <c r="F51" s="8"/>
    </row>
    <row r="52" spans="1:6" ht="24" customHeight="1" x14ac:dyDescent="0.15">
      <c r="A52" s="2"/>
      <c r="B52" s="186" t="s">
        <v>159</v>
      </c>
      <c r="C52" s="184">
        <v>0</v>
      </c>
      <c r="D52" s="185"/>
      <c r="E52" s="242"/>
      <c r="F52" s="8"/>
    </row>
    <row r="53" spans="1:6" ht="24" customHeight="1" x14ac:dyDescent="0.15">
      <c r="A53" s="2"/>
      <c r="B53" s="186" t="s">
        <v>121</v>
      </c>
      <c r="C53" s="184">
        <v>447055.43</v>
      </c>
      <c r="D53" s="185"/>
      <c r="E53" s="242"/>
      <c r="F53" s="8"/>
    </row>
    <row r="54" spans="1:6" ht="24" customHeight="1" x14ac:dyDescent="0.15">
      <c r="A54" s="2"/>
      <c r="B54" s="186" t="s">
        <v>160</v>
      </c>
      <c r="C54" s="184">
        <v>342424.42</v>
      </c>
      <c r="D54" s="185"/>
      <c r="E54" s="242"/>
      <c r="F54" s="8"/>
    </row>
    <row r="55" spans="1:6" ht="31.5" customHeight="1" x14ac:dyDescent="0.15">
      <c r="A55" s="2"/>
      <c r="B55" s="179" t="s">
        <v>161</v>
      </c>
      <c r="C55" s="184">
        <v>98935.5</v>
      </c>
      <c r="D55" s="185"/>
      <c r="E55" s="242"/>
      <c r="F55" s="8"/>
    </row>
    <row r="56" spans="1:6" ht="24" customHeight="1" x14ac:dyDescent="0.15">
      <c r="A56" s="2"/>
      <c r="B56" s="186" t="s">
        <v>162</v>
      </c>
      <c r="C56" s="184">
        <v>1106201.28</v>
      </c>
      <c r="D56" s="185"/>
      <c r="E56" s="242"/>
      <c r="F56" s="8"/>
    </row>
    <row r="57" spans="1:6" ht="24" customHeight="1" x14ac:dyDescent="0.15">
      <c r="A57" s="2"/>
      <c r="B57" s="186" t="s">
        <v>163</v>
      </c>
      <c r="C57" s="184">
        <v>113664.98</v>
      </c>
      <c r="D57" s="185"/>
      <c r="E57" s="242"/>
      <c r="F57" s="8"/>
    </row>
    <row r="58" spans="1:6" ht="24" customHeight="1" x14ac:dyDescent="0.15">
      <c r="A58" s="2"/>
      <c r="B58" s="186" t="s">
        <v>130</v>
      </c>
      <c r="C58" s="184">
        <v>269120.57</v>
      </c>
      <c r="D58" s="185"/>
      <c r="E58" s="242"/>
      <c r="F58" s="8"/>
    </row>
    <row r="59" spans="1:6" ht="24" customHeight="1" x14ac:dyDescent="0.15">
      <c r="A59" s="2"/>
      <c r="B59" s="186" t="s">
        <v>94</v>
      </c>
      <c r="C59" s="184">
        <v>62016.14</v>
      </c>
      <c r="D59" s="185"/>
      <c r="E59" s="242"/>
      <c r="F59" s="8"/>
    </row>
    <row r="60" spans="1:6" ht="24" customHeight="1" x14ac:dyDescent="0.15">
      <c r="A60" s="2"/>
      <c r="B60" s="186" t="s">
        <v>164</v>
      </c>
      <c r="C60" s="184">
        <v>199543.72</v>
      </c>
      <c r="D60" s="185"/>
      <c r="E60" s="242"/>
      <c r="F60" s="8"/>
    </row>
    <row r="61" spans="1:6" ht="24" customHeight="1" x14ac:dyDescent="0.15">
      <c r="A61" s="2"/>
      <c r="B61" s="186" t="s">
        <v>122</v>
      </c>
      <c r="C61" s="184">
        <v>164624.45000000001</v>
      </c>
      <c r="D61" s="185"/>
      <c r="E61" s="242"/>
      <c r="F61" s="8"/>
    </row>
    <row r="62" spans="1:6" ht="24" customHeight="1" x14ac:dyDescent="0.15">
      <c r="A62" s="2"/>
      <c r="B62" s="186" t="s">
        <v>165</v>
      </c>
      <c r="C62" s="184">
        <v>46914.9</v>
      </c>
      <c r="D62" s="185"/>
      <c r="E62" s="242"/>
      <c r="F62" s="8"/>
    </row>
    <row r="63" spans="1:6" ht="24" customHeight="1" x14ac:dyDescent="0.15">
      <c r="A63" s="2"/>
      <c r="B63" s="186" t="s">
        <v>166</v>
      </c>
      <c r="C63" s="184">
        <v>23827.85</v>
      </c>
      <c r="D63" s="185"/>
      <c r="E63" s="242"/>
      <c r="F63" s="8"/>
    </row>
    <row r="64" spans="1:6" ht="24" customHeight="1" x14ac:dyDescent="0.15">
      <c r="A64" s="2"/>
      <c r="B64" s="186" t="s">
        <v>167</v>
      </c>
      <c r="C64" s="184">
        <v>58260.160000000003</v>
      </c>
      <c r="D64" s="185"/>
      <c r="E64" s="242"/>
      <c r="F64" s="8"/>
    </row>
    <row r="65" spans="1:6" ht="24" customHeight="1" x14ac:dyDescent="0.15">
      <c r="A65" s="2"/>
      <c r="B65" s="186" t="s">
        <v>168</v>
      </c>
      <c r="C65" s="184">
        <v>26399.73</v>
      </c>
      <c r="D65" s="185"/>
      <c r="E65" s="242"/>
      <c r="F65" s="8"/>
    </row>
    <row r="66" spans="1:6" ht="24" customHeight="1" x14ac:dyDescent="0.15">
      <c r="A66" s="2"/>
      <c r="B66" s="186" t="s">
        <v>169</v>
      </c>
      <c r="C66" s="184">
        <v>34011.839999999997</v>
      </c>
      <c r="D66" s="185"/>
      <c r="E66" s="242"/>
      <c r="F66" s="8"/>
    </row>
    <row r="67" spans="1:6" ht="24" customHeight="1" x14ac:dyDescent="0.15">
      <c r="A67" s="2"/>
      <c r="B67" s="186" t="s">
        <v>170</v>
      </c>
      <c r="C67" s="184">
        <v>277425.28999999998</v>
      </c>
      <c r="D67" s="185"/>
      <c r="E67" s="242"/>
      <c r="F67" s="8"/>
    </row>
    <row r="68" spans="1:6" ht="24" customHeight="1" x14ac:dyDescent="0.15">
      <c r="A68" s="2"/>
      <c r="B68" s="186" t="s">
        <v>171</v>
      </c>
      <c r="C68" s="184">
        <v>110350</v>
      </c>
      <c r="D68" s="185"/>
      <c r="E68" s="242"/>
      <c r="F68" s="8"/>
    </row>
    <row r="69" spans="1:6" ht="19.5" customHeight="1" x14ac:dyDescent="0.15">
      <c r="A69" s="2"/>
      <c r="B69" s="188"/>
      <c r="C69" s="185"/>
      <c r="D69" s="185"/>
      <c r="E69" s="242"/>
      <c r="F69" s="8"/>
    </row>
    <row r="70" spans="1:6" ht="19.5" customHeight="1" x14ac:dyDescent="0.15">
      <c r="A70" s="2"/>
      <c r="B70" s="236" t="s">
        <v>81</v>
      </c>
      <c r="C70" s="249">
        <v>3677795.37</v>
      </c>
      <c r="D70" s="245"/>
      <c r="E70" s="245"/>
      <c r="F70" s="8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9" width="14.5" customWidth="1"/>
  </cols>
  <sheetData>
    <row r="1" spans="1:9" ht="27.75" customHeight="1" x14ac:dyDescent="0.15">
      <c r="B1" s="1"/>
      <c r="C1" s="3"/>
      <c r="D1" s="1"/>
      <c r="E1" s="1"/>
      <c r="F1" s="1"/>
    </row>
    <row r="2" spans="1:9" ht="13" x14ac:dyDescent="0.15">
      <c r="A2" s="2"/>
      <c r="B2" s="4" t="s">
        <v>30</v>
      </c>
      <c r="C2" s="4">
        <v>2012</v>
      </c>
      <c r="D2" s="5"/>
      <c r="E2" s="5"/>
      <c r="F2" s="6"/>
      <c r="G2" s="8"/>
    </row>
    <row r="3" spans="1:9" ht="13" x14ac:dyDescent="0.15">
      <c r="A3" s="2"/>
      <c r="B3" s="7" t="s">
        <v>23</v>
      </c>
      <c r="C3" s="13"/>
      <c r="D3" s="10"/>
      <c r="E3" s="11"/>
      <c r="F3" s="12"/>
      <c r="G3" s="8"/>
    </row>
    <row r="4" spans="1:9" ht="13" x14ac:dyDescent="0.15">
      <c r="A4" s="2"/>
      <c r="B4" s="14"/>
      <c r="C4" s="15"/>
      <c r="D4" s="17"/>
      <c r="E4" s="17"/>
      <c r="F4" s="17"/>
      <c r="G4" s="8"/>
    </row>
    <row r="5" spans="1:9" ht="13" x14ac:dyDescent="0.15">
      <c r="A5" s="18">
        <v>41</v>
      </c>
      <c r="B5" s="23" t="s">
        <v>0</v>
      </c>
      <c r="C5" s="29">
        <f>SUM(C6:C13)</f>
        <v>3023276.97</v>
      </c>
      <c r="D5" s="30"/>
      <c r="E5" s="30"/>
      <c r="F5" s="17"/>
      <c r="G5" s="8"/>
    </row>
    <row r="6" spans="1:9" ht="13" x14ac:dyDescent="0.15">
      <c r="A6" s="18">
        <v>411</v>
      </c>
      <c r="B6" s="26" t="s">
        <v>36</v>
      </c>
      <c r="C6" s="58">
        <v>1011230.99</v>
      </c>
      <c r="D6" s="43"/>
      <c r="E6" s="43"/>
      <c r="F6" s="28"/>
      <c r="G6" s="8"/>
    </row>
    <row r="7" spans="1:9" ht="13" x14ac:dyDescent="0.15">
      <c r="A7" s="18">
        <v>412</v>
      </c>
      <c r="B7" s="38" t="s">
        <v>37</v>
      </c>
      <c r="C7" s="58">
        <v>220061.02</v>
      </c>
      <c r="D7" s="43"/>
      <c r="E7" s="43"/>
      <c r="F7" s="28"/>
      <c r="G7" s="8"/>
    </row>
    <row r="8" spans="1:9" ht="13" x14ac:dyDescent="0.15">
      <c r="A8" s="18">
        <v>413</v>
      </c>
      <c r="B8" s="38" t="s">
        <v>2</v>
      </c>
      <c r="C8" s="58">
        <v>1123278.53</v>
      </c>
      <c r="D8" s="43"/>
      <c r="E8" s="43"/>
      <c r="F8" s="28"/>
      <c r="G8" s="8"/>
    </row>
    <row r="9" spans="1:9" ht="13" x14ac:dyDescent="0.15">
      <c r="A9" s="40">
        <v>414</v>
      </c>
      <c r="B9" s="26" t="s">
        <v>3</v>
      </c>
      <c r="C9" s="58">
        <v>420198.1</v>
      </c>
      <c r="D9" s="43"/>
      <c r="E9" s="43"/>
      <c r="F9" s="28"/>
      <c r="G9" s="8"/>
    </row>
    <row r="10" spans="1:9" ht="13" x14ac:dyDescent="0.15">
      <c r="A10" s="18">
        <v>415</v>
      </c>
      <c r="B10" s="42" t="s">
        <v>4</v>
      </c>
      <c r="C10" s="58">
        <v>73264.77</v>
      </c>
      <c r="D10" s="43"/>
      <c r="E10" s="43"/>
      <c r="F10" s="28"/>
      <c r="G10" s="8"/>
    </row>
    <row r="11" spans="1:9" ht="13" x14ac:dyDescent="0.15">
      <c r="A11" s="18">
        <v>416</v>
      </c>
      <c r="B11" s="26" t="s">
        <v>5</v>
      </c>
      <c r="C11" s="58">
        <v>9208.1200000000008</v>
      </c>
      <c r="D11" s="43"/>
      <c r="E11" s="43"/>
      <c r="F11" s="28"/>
      <c r="G11" s="8"/>
    </row>
    <row r="12" spans="1:9" ht="13" x14ac:dyDescent="0.15">
      <c r="A12" s="18">
        <v>417</v>
      </c>
      <c r="B12" s="26" t="s">
        <v>6</v>
      </c>
      <c r="C12" s="70"/>
      <c r="D12" s="43"/>
      <c r="E12" s="43"/>
      <c r="F12" s="28"/>
      <c r="G12" s="366"/>
      <c r="H12" s="367"/>
      <c r="I12" s="367"/>
    </row>
    <row r="13" spans="1:9" ht="13" x14ac:dyDescent="0.15">
      <c r="A13" s="18">
        <v>418</v>
      </c>
      <c r="B13" s="26" t="s">
        <v>38</v>
      </c>
      <c r="C13" s="58">
        <v>166035.44</v>
      </c>
      <c r="D13" s="43"/>
      <c r="E13" s="43"/>
      <c r="F13" s="28"/>
      <c r="G13" s="138"/>
      <c r="H13" s="220"/>
      <c r="I13" s="220"/>
    </row>
    <row r="14" spans="1:9" ht="13" x14ac:dyDescent="0.15">
      <c r="A14" s="18">
        <v>42</v>
      </c>
      <c r="B14" s="62" t="s">
        <v>7</v>
      </c>
      <c r="C14" s="15"/>
      <c r="D14" s="43"/>
      <c r="E14" s="28"/>
      <c r="F14" s="28"/>
      <c r="G14" s="234"/>
      <c r="H14" s="235"/>
      <c r="I14" s="235"/>
    </row>
    <row r="15" spans="1:9" ht="16.5" customHeight="1" x14ac:dyDescent="0.15">
      <c r="A15" s="59">
        <v>43</v>
      </c>
      <c r="B15" s="61" t="s">
        <v>8</v>
      </c>
      <c r="C15" s="93">
        <v>1338981.1200000001</v>
      </c>
      <c r="D15" s="95"/>
      <c r="E15" s="63"/>
      <c r="F15" s="17"/>
      <c r="G15" s="234"/>
      <c r="H15" s="235"/>
      <c r="I15" s="235"/>
    </row>
    <row r="16" spans="1:9" ht="13" x14ac:dyDescent="0.15">
      <c r="A16" s="40" t="s">
        <v>40</v>
      </c>
      <c r="B16" s="42" t="s">
        <v>9</v>
      </c>
      <c r="C16" s="183">
        <f>8399.93+250665+53200+2250</f>
        <v>314514.93</v>
      </c>
      <c r="D16" s="69"/>
      <c r="E16" s="67"/>
      <c r="F16" s="17"/>
      <c r="G16" s="234"/>
      <c r="H16" s="235"/>
      <c r="I16" s="235"/>
    </row>
    <row r="17" spans="1:9" ht="31.5" customHeight="1" x14ac:dyDescent="0.15">
      <c r="A17" s="40" t="s">
        <v>41</v>
      </c>
      <c r="B17" s="42" t="s">
        <v>10</v>
      </c>
      <c r="C17" s="288">
        <v>11350</v>
      </c>
      <c r="D17" s="69"/>
      <c r="E17" s="67"/>
      <c r="F17" s="17"/>
      <c r="G17" s="8"/>
    </row>
    <row r="18" spans="1:9" ht="13" x14ac:dyDescent="0.15">
      <c r="A18" s="40" t="s">
        <v>42</v>
      </c>
      <c r="B18" s="71" t="s">
        <v>11</v>
      </c>
      <c r="C18" s="243">
        <f>96857.38+8490</f>
        <v>105347.38</v>
      </c>
      <c r="D18" s="67"/>
      <c r="E18" s="43"/>
      <c r="F18" s="81"/>
      <c r="G18" s="368"/>
      <c r="H18" s="367"/>
      <c r="I18" s="367"/>
    </row>
    <row r="19" spans="1:9" ht="13" x14ac:dyDescent="0.15">
      <c r="A19" s="40" t="s">
        <v>43</v>
      </c>
      <c r="B19" s="71" t="s">
        <v>44</v>
      </c>
      <c r="C19" s="243">
        <f>82247.82+96100+14000+715430.99</f>
        <v>907778.81</v>
      </c>
      <c r="D19" s="67"/>
      <c r="E19" s="43"/>
      <c r="F19" s="81"/>
      <c r="G19" s="125"/>
      <c r="H19" s="98"/>
      <c r="I19" s="98"/>
    </row>
    <row r="20" spans="1:9" ht="13" x14ac:dyDescent="0.15">
      <c r="A20" s="18">
        <v>44</v>
      </c>
      <c r="B20" s="106" t="s">
        <v>12</v>
      </c>
      <c r="C20" s="64">
        <v>356353.31</v>
      </c>
      <c r="D20" s="22"/>
      <c r="E20" s="17"/>
      <c r="F20" s="17"/>
      <c r="G20" s="8"/>
    </row>
    <row r="21" spans="1:9" ht="13" x14ac:dyDescent="0.15">
      <c r="A21" s="18">
        <v>45</v>
      </c>
      <c r="B21" s="62" t="s">
        <v>58</v>
      </c>
      <c r="C21" s="64">
        <v>248500</v>
      </c>
      <c r="D21" s="17"/>
      <c r="E21" s="17"/>
      <c r="F21" s="17"/>
      <c r="G21" s="8"/>
    </row>
    <row r="22" spans="1:9" ht="13" x14ac:dyDescent="0.15">
      <c r="A22" s="18">
        <v>46</v>
      </c>
      <c r="B22" s="23" t="s">
        <v>14</v>
      </c>
      <c r="C22" s="15">
        <f>50000+2491408.07</f>
        <v>2541408.0699999998</v>
      </c>
      <c r="D22" s="17"/>
      <c r="E22" s="17"/>
      <c r="F22" s="17"/>
      <c r="G22" s="8"/>
    </row>
    <row r="23" spans="1:9" ht="13" x14ac:dyDescent="0.15">
      <c r="A23" s="18">
        <v>47</v>
      </c>
      <c r="B23" s="23" t="s">
        <v>15</v>
      </c>
      <c r="C23" s="64">
        <v>10000</v>
      </c>
      <c r="D23" s="17"/>
      <c r="E23" s="17"/>
      <c r="F23" s="17"/>
      <c r="G23" s="125"/>
      <c r="H23" s="98"/>
    </row>
    <row r="24" spans="1:9" ht="13" x14ac:dyDescent="0.15">
      <c r="A24" s="2"/>
      <c r="B24" s="23" t="s">
        <v>16</v>
      </c>
      <c r="C24" s="291">
        <v>7518519.4699999997</v>
      </c>
      <c r="D24" s="22"/>
      <c r="E24" s="17"/>
      <c r="F24" s="17"/>
      <c r="G24" s="125"/>
      <c r="H24" s="98"/>
    </row>
    <row r="25" spans="1:9" ht="13" x14ac:dyDescent="0.15">
      <c r="A25" s="2"/>
      <c r="B25" s="119" t="s">
        <v>59</v>
      </c>
      <c r="C25" s="120"/>
      <c r="D25" s="132"/>
      <c r="E25" s="132"/>
      <c r="F25" s="132"/>
      <c r="G25" s="8"/>
    </row>
    <row r="26" spans="1:9" ht="13" x14ac:dyDescent="0.15">
      <c r="A26" s="18">
        <v>71</v>
      </c>
      <c r="B26" s="23" t="s">
        <v>46</v>
      </c>
      <c r="C26" s="293">
        <f>SUM(C27:C31)</f>
        <v>2568498.0559999999</v>
      </c>
      <c r="D26" s="30"/>
      <c r="E26" s="30"/>
      <c r="F26" s="14"/>
      <c r="G26" s="8"/>
    </row>
    <row r="27" spans="1:9" ht="13" x14ac:dyDescent="0.15">
      <c r="A27" s="40">
        <v>711</v>
      </c>
      <c r="B27" s="42" t="s">
        <v>48</v>
      </c>
      <c r="C27" s="111">
        <v>1070805.75</v>
      </c>
      <c r="D27" s="43"/>
      <c r="E27" s="43"/>
      <c r="F27" s="28"/>
      <c r="G27" s="8"/>
      <c r="H27" s="98"/>
    </row>
    <row r="28" spans="1:9" ht="13" x14ac:dyDescent="0.15">
      <c r="A28" s="40">
        <v>713</v>
      </c>
      <c r="B28" s="42" t="s">
        <v>49</v>
      </c>
      <c r="C28" s="111">
        <v>86456.73</v>
      </c>
      <c r="D28" s="43"/>
      <c r="E28" s="43"/>
      <c r="F28" s="28"/>
      <c r="G28" s="8"/>
      <c r="H28" s="98"/>
    </row>
    <row r="29" spans="1:9" ht="13" x14ac:dyDescent="0.15">
      <c r="A29" s="40">
        <v>714</v>
      </c>
      <c r="B29" s="42" t="s">
        <v>50</v>
      </c>
      <c r="C29" s="243">
        <f>14464.24+5.486</f>
        <v>14469.726000000001</v>
      </c>
      <c r="D29" s="43"/>
      <c r="E29" s="43"/>
      <c r="F29" s="28"/>
      <c r="G29" s="8"/>
      <c r="H29" s="98"/>
    </row>
    <row r="30" spans="1:9" ht="13" x14ac:dyDescent="0.15">
      <c r="A30" s="136"/>
      <c r="B30" s="42" t="s">
        <v>60</v>
      </c>
      <c r="C30" s="243">
        <f>291+93436.8+78355.18+54935.91</f>
        <v>227018.88999999998</v>
      </c>
      <c r="D30" s="43"/>
      <c r="E30" s="43"/>
      <c r="F30" s="28"/>
      <c r="G30" s="125"/>
      <c r="H30" s="295"/>
      <c r="I30" s="98"/>
    </row>
    <row r="31" spans="1:9" ht="13" x14ac:dyDescent="0.15">
      <c r="A31" s="40">
        <v>715</v>
      </c>
      <c r="B31" s="42" t="s">
        <v>61</v>
      </c>
      <c r="C31" s="58">
        <v>1169746.96</v>
      </c>
      <c r="D31" s="43"/>
      <c r="E31" s="43"/>
      <c r="F31" s="28"/>
      <c r="G31" s="8"/>
      <c r="H31" s="296"/>
    </row>
    <row r="32" spans="1:9" ht="13" x14ac:dyDescent="0.15">
      <c r="A32" s="18">
        <v>72</v>
      </c>
      <c r="B32" s="146" t="s">
        <v>51</v>
      </c>
      <c r="C32" s="64">
        <v>1251.22</v>
      </c>
      <c r="D32" s="17"/>
      <c r="E32" s="17"/>
      <c r="F32" s="43"/>
      <c r="G32" s="8"/>
      <c r="H32" s="305"/>
    </row>
    <row r="33" spans="1:9" ht="13" x14ac:dyDescent="0.15">
      <c r="A33" s="306">
        <v>73</v>
      </c>
      <c r="B33" s="62" t="s">
        <v>62</v>
      </c>
      <c r="C33" s="166">
        <v>575219.06999999995</v>
      </c>
      <c r="D33" s="237"/>
      <c r="E33" s="237"/>
      <c r="F33" s="307"/>
      <c r="G33" s="8"/>
      <c r="H33" s="308"/>
    </row>
    <row r="34" spans="1:9" ht="13" x14ac:dyDescent="0.15">
      <c r="A34" s="18">
        <v>74</v>
      </c>
      <c r="B34" s="61" t="s">
        <v>52</v>
      </c>
      <c r="C34" s="64">
        <v>3359459.36</v>
      </c>
      <c r="D34" s="65"/>
      <c r="E34" s="65"/>
      <c r="F34" s="17"/>
      <c r="G34" s="369"/>
      <c r="H34" s="367"/>
      <c r="I34" s="367"/>
    </row>
    <row r="35" spans="1:9" ht="13" x14ac:dyDescent="0.15">
      <c r="A35" s="40">
        <v>741</v>
      </c>
      <c r="B35" s="42" t="s">
        <v>53</v>
      </c>
      <c r="C35" s="58">
        <v>1713989.54</v>
      </c>
      <c r="D35" s="69"/>
      <c r="E35" s="69"/>
      <c r="F35" s="17"/>
      <c r="G35" s="138"/>
      <c r="H35" s="220"/>
      <c r="I35" s="220"/>
    </row>
    <row r="36" spans="1:9" ht="13" x14ac:dyDescent="0.15">
      <c r="A36" s="40">
        <v>742</v>
      </c>
      <c r="B36" s="42" t="s">
        <v>54</v>
      </c>
      <c r="C36" s="58">
        <v>1613715.16</v>
      </c>
      <c r="D36" s="69"/>
      <c r="E36" s="69"/>
      <c r="F36" s="17"/>
      <c r="G36" s="234"/>
      <c r="H36" s="235"/>
      <c r="I36" s="235"/>
    </row>
    <row r="37" spans="1:9" ht="13" x14ac:dyDescent="0.15">
      <c r="A37" s="136"/>
      <c r="B37" s="42" t="s">
        <v>63</v>
      </c>
      <c r="C37" s="70">
        <f>C34-C35-C36</f>
        <v>31754.659999999916</v>
      </c>
      <c r="D37" s="69"/>
      <c r="E37" s="69"/>
      <c r="F37" s="17"/>
      <c r="G37" s="234"/>
      <c r="H37" s="338"/>
      <c r="I37" s="338"/>
    </row>
    <row r="38" spans="1:9" ht="13" x14ac:dyDescent="0.15">
      <c r="A38" s="18">
        <v>751</v>
      </c>
      <c r="B38" s="106" t="s">
        <v>58</v>
      </c>
      <c r="C38" s="64">
        <v>1050000</v>
      </c>
      <c r="D38" s="17"/>
      <c r="E38" s="17"/>
      <c r="F38" s="17"/>
      <c r="G38" s="234"/>
      <c r="H38" s="235"/>
      <c r="I38" s="235"/>
    </row>
    <row r="39" spans="1:9" ht="13" x14ac:dyDescent="0.15">
      <c r="A39" s="2"/>
      <c r="B39" s="106" t="s">
        <v>64</v>
      </c>
      <c r="C39" s="169">
        <v>7559908.2199999997</v>
      </c>
      <c r="D39" s="17"/>
      <c r="E39" s="17"/>
      <c r="F39" s="17"/>
      <c r="G39" s="8"/>
    </row>
    <row r="40" spans="1:9" ht="13" x14ac:dyDescent="0.15">
      <c r="A40" s="2"/>
      <c r="B40" s="119" t="s">
        <v>65</v>
      </c>
      <c r="C40" s="120"/>
      <c r="D40" s="132"/>
      <c r="E40" s="132"/>
      <c r="F40" s="132"/>
      <c r="G40" s="8"/>
    </row>
    <row r="41" spans="1:9" ht="13" x14ac:dyDescent="0.15">
      <c r="A41" s="2"/>
      <c r="B41" s="38" t="s">
        <v>66</v>
      </c>
      <c r="C41" s="70"/>
      <c r="D41" s="43"/>
      <c r="E41" s="43"/>
      <c r="F41" s="43"/>
      <c r="G41" s="8"/>
    </row>
    <row r="42" spans="1:9" ht="13" x14ac:dyDescent="0.15">
      <c r="A42" s="2"/>
      <c r="B42" s="38" t="s">
        <v>67</v>
      </c>
      <c r="C42" s="70"/>
      <c r="D42" s="43"/>
      <c r="E42" s="43"/>
      <c r="F42" s="43"/>
      <c r="G42" s="8"/>
    </row>
    <row r="43" spans="1:9" ht="13" x14ac:dyDescent="0.15">
      <c r="A43" s="2"/>
      <c r="B43" s="38" t="s">
        <v>68</v>
      </c>
      <c r="C43" s="70"/>
      <c r="D43" s="43"/>
      <c r="E43" s="43"/>
      <c r="F43" s="43"/>
      <c r="G43" s="8"/>
    </row>
    <row r="44" spans="1:9" ht="13" x14ac:dyDescent="0.15">
      <c r="A44" s="2"/>
      <c r="B44" s="38" t="s">
        <v>69</v>
      </c>
      <c r="C44" s="70"/>
      <c r="D44" s="43"/>
      <c r="E44" s="43"/>
      <c r="F44" s="43"/>
      <c r="G44" s="8"/>
    </row>
    <row r="45" spans="1:9" ht="13" x14ac:dyDescent="0.15">
      <c r="A45" s="2"/>
      <c r="B45" s="149"/>
      <c r="C45" s="120"/>
      <c r="D45" s="132"/>
      <c r="E45" s="132"/>
      <c r="F45" s="132"/>
      <c r="G45" s="8"/>
    </row>
    <row r="46" spans="1:9" ht="19.5" customHeight="1" x14ac:dyDescent="0.15">
      <c r="B46" s="150"/>
      <c r="C46" s="246"/>
      <c r="D46" s="151"/>
      <c r="E46" s="150"/>
      <c r="F46" s="150"/>
    </row>
    <row r="47" spans="1:9" ht="19.5" customHeight="1" x14ac:dyDescent="0.15">
      <c r="B47" s="152" t="s">
        <v>70</v>
      </c>
      <c r="C47" s="3"/>
      <c r="D47" s="176"/>
      <c r="E47" s="1"/>
    </row>
    <row r="48" spans="1:9" ht="19.5" customHeight="1" x14ac:dyDescent="0.15">
      <c r="A48" s="2"/>
      <c r="B48" s="177" t="s">
        <v>71</v>
      </c>
      <c r="C48" s="185"/>
      <c r="D48" s="185"/>
      <c r="E48" s="185"/>
      <c r="F48" s="8"/>
    </row>
    <row r="49" spans="1:6" ht="25.5" customHeight="1" x14ac:dyDescent="0.15">
      <c r="A49" s="2"/>
      <c r="B49" s="340" t="s">
        <v>267</v>
      </c>
      <c r="C49" s="184">
        <v>1325463.3500000001</v>
      </c>
      <c r="D49" s="185"/>
      <c r="E49" s="185"/>
      <c r="F49" s="8"/>
    </row>
    <row r="50" spans="1:6" ht="25.5" customHeight="1" x14ac:dyDescent="0.15">
      <c r="A50" s="2"/>
      <c r="B50" s="340" t="s">
        <v>268</v>
      </c>
      <c r="C50" s="184">
        <v>182214.41</v>
      </c>
      <c r="D50" s="185"/>
      <c r="E50" s="185"/>
      <c r="F50" s="8"/>
    </row>
    <row r="51" spans="1:6" ht="25.5" customHeight="1" x14ac:dyDescent="0.15">
      <c r="A51" s="2"/>
      <c r="B51" s="342" t="s">
        <v>85</v>
      </c>
      <c r="C51" s="184">
        <v>50788.44</v>
      </c>
      <c r="D51" s="185"/>
      <c r="E51" s="185"/>
      <c r="F51" s="8"/>
    </row>
    <row r="52" spans="1:6" ht="25.5" customHeight="1" x14ac:dyDescent="0.15">
      <c r="A52" s="2"/>
      <c r="B52" s="342" t="s">
        <v>269</v>
      </c>
      <c r="C52" s="184">
        <v>1872984.53</v>
      </c>
      <c r="D52" s="185"/>
      <c r="E52" s="185"/>
      <c r="F52" s="8"/>
    </row>
    <row r="53" spans="1:6" ht="25.5" customHeight="1" x14ac:dyDescent="0.15">
      <c r="A53" s="2"/>
      <c r="B53" s="342" t="s">
        <v>202</v>
      </c>
      <c r="C53" s="184">
        <v>1408733.96</v>
      </c>
      <c r="D53" s="185"/>
      <c r="E53" s="185"/>
      <c r="F53" s="8"/>
    </row>
    <row r="54" spans="1:6" ht="25.5" customHeight="1" x14ac:dyDescent="0.15">
      <c r="A54" s="2"/>
      <c r="B54" s="342" t="s">
        <v>126</v>
      </c>
      <c r="C54" s="184">
        <v>267265.75</v>
      </c>
      <c r="D54" s="185"/>
      <c r="E54" s="185"/>
      <c r="F54" s="8"/>
    </row>
    <row r="55" spans="1:6" ht="25.5" customHeight="1" x14ac:dyDescent="0.15">
      <c r="A55" s="2"/>
      <c r="B55" s="340" t="s">
        <v>201</v>
      </c>
      <c r="C55" s="184">
        <v>268991.90000000002</v>
      </c>
      <c r="D55" s="185"/>
      <c r="E55" s="185"/>
      <c r="F55" s="8"/>
    </row>
    <row r="56" spans="1:6" ht="25.5" customHeight="1" x14ac:dyDescent="0.15">
      <c r="A56" s="2"/>
      <c r="B56" s="342" t="s">
        <v>270</v>
      </c>
      <c r="C56" s="184">
        <v>101800.31</v>
      </c>
      <c r="D56" s="185"/>
      <c r="E56" s="185"/>
      <c r="F56" s="8"/>
    </row>
    <row r="57" spans="1:6" ht="25.5" customHeight="1" x14ac:dyDescent="0.15">
      <c r="A57" s="2"/>
      <c r="B57" s="342" t="s">
        <v>194</v>
      </c>
      <c r="C57" s="184">
        <v>635316.93000000005</v>
      </c>
      <c r="D57" s="185"/>
      <c r="E57" s="185"/>
      <c r="F57" s="8"/>
    </row>
    <row r="58" spans="1:6" ht="25.5" customHeight="1" x14ac:dyDescent="0.15">
      <c r="A58" s="2"/>
      <c r="B58" s="342" t="s">
        <v>189</v>
      </c>
      <c r="C58" s="184">
        <v>74578.240000000005</v>
      </c>
      <c r="D58" s="185"/>
      <c r="E58" s="185"/>
      <c r="F58" s="8"/>
    </row>
    <row r="59" spans="1:6" ht="25.5" customHeight="1" x14ac:dyDescent="0.15">
      <c r="A59" s="2"/>
      <c r="B59" s="342" t="s">
        <v>91</v>
      </c>
      <c r="C59" s="184">
        <v>117255.23</v>
      </c>
      <c r="D59" s="185"/>
      <c r="E59" s="185"/>
      <c r="F59" s="8"/>
    </row>
    <row r="60" spans="1:6" ht="25.5" customHeight="1" x14ac:dyDescent="0.15">
      <c r="A60" s="2"/>
      <c r="B60" s="342" t="s">
        <v>130</v>
      </c>
      <c r="C60" s="184">
        <v>748253.05</v>
      </c>
      <c r="D60" s="185"/>
      <c r="E60" s="185"/>
      <c r="F60" s="8"/>
    </row>
    <row r="61" spans="1:6" ht="25.5" customHeight="1" x14ac:dyDescent="0.15">
      <c r="A61" s="2"/>
      <c r="B61" s="342" t="s">
        <v>187</v>
      </c>
      <c r="C61" s="184">
        <v>19221.02</v>
      </c>
      <c r="D61" s="185"/>
      <c r="E61" s="185"/>
      <c r="F61" s="8"/>
    </row>
    <row r="62" spans="1:6" ht="25.5" customHeight="1" x14ac:dyDescent="0.15">
      <c r="A62" s="2"/>
      <c r="B62" s="342" t="s">
        <v>95</v>
      </c>
      <c r="C62" s="184">
        <v>239518.7</v>
      </c>
      <c r="D62" s="185"/>
      <c r="E62" s="185"/>
      <c r="F62" s="8"/>
    </row>
    <row r="63" spans="1:6" ht="25.5" customHeight="1" x14ac:dyDescent="0.15">
      <c r="A63" s="2"/>
      <c r="B63" s="342" t="s">
        <v>94</v>
      </c>
      <c r="C63" s="184">
        <v>89115.68</v>
      </c>
      <c r="D63" s="185"/>
      <c r="E63" s="185"/>
      <c r="F63" s="8"/>
    </row>
    <row r="64" spans="1:6" ht="25.5" customHeight="1" x14ac:dyDescent="0.15">
      <c r="A64" s="2"/>
      <c r="B64" s="342" t="s">
        <v>131</v>
      </c>
      <c r="C64" s="184">
        <v>99622.28</v>
      </c>
      <c r="D64" s="185"/>
      <c r="E64" s="185"/>
      <c r="F64" s="8"/>
    </row>
    <row r="65" spans="1:6" ht="25.5" customHeight="1" x14ac:dyDescent="0.15">
      <c r="A65" s="2"/>
      <c r="B65" s="342" t="s">
        <v>271</v>
      </c>
      <c r="C65" s="184">
        <v>17395.689999999999</v>
      </c>
      <c r="D65" s="185"/>
      <c r="E65" s="185"/>
      <c r="F65" s="8"/>
    </row>
    <row r="66" spans="1:6" ht="25.5" customHeight="1" x14ac:dyDescent="0.15">
      <c r="A66" s="2"/>
      <c r="B66" s="349"/>
      <c r="C66" s="185"/>
      <c r="D66" s="185"/>
      <c r="E66" s="185"/>
      <c r="F66" s="8"/>
    </row>
    <row r="67" spans="1:6" ht="19.5" customHeight="1" x14ac:dyDescent="0.15">
      <c r="A67" s="2"/>
      <c r="B67" s="177" t="s">
        <v>81</v>
      </c>
      <c r="C67" s="249">
        <v>7518519.4699999997</v>
      </c>
      <c r="D67" s="190"/>
      <c r="E67" s="190"/>
      <c r="F67" s="8"/>
    </row>
  </sheetData>
  <mergeCells count="3">
    <mergeCell ref="G12:I12"/>
    <mergeCell ref="G18:I18"/>
    <mergeCell ref="G34:I34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2"/>
      <c r="B2" s="4" t="s">
        <v>32</v>
      </c>
      <c r="C2" s="4">
        <v>2012</v>
      </c>
      <c r="D2" s="5"/>
      <c r="E2" s="5"/>
      <c r="F2" s="6"/>
      <c r="G2" s="8"/>
    </row>
    <row r="3" spans="1:7" ht="13" x14ac:dyDescent="0.15">
      <c r="A3" s="2"/>
      <c r="B3" s="7" t="s">
        <v>23</v>
      </c>
      <c r="C3" s="9"/>
      <c r="D3" s="10"/>
      <c r="E3" s="11"/>
      <c r="F3" s="12"/>
      <c r="G3" s="8"/>
    </row>
    <row r="4" spans="1:7" ht="13" x14ac:dyDescent="0.15">
      <c r="A4" s="2"/>
      <c r="B4" s="14"/>
      <c r="C4" s="16"/>
      <c r="D4" s="17"/>
      <c r="E4" s="17"/>
      <c r="F4" s="17"/>
      <c r="G4" s="8"/>
    </row>
    <row r="5" spans="1:7" ht="13" x14ac:dyDescent="0.15">
      <c r="A5" s="18">
        <v>41</v>
      </c>
      <c r="B5" s="23" t="s">
        <v>0</v>
      </c>
      <c r="C5" s="24">
        <v>7128077.1900000004</v>
      </c>
      <c r="D5" s="25"/>
      <c r="E5" s="25"/>
      <c r="F5" s="17"/>
      <c r="G5" s="8"/>
    </row>
    <row r="6" spans="1:7" ht="13" x14ac:dyDescent="0.15">
      <c r="A6" s="18">
        <v>411</v>
      </c>
      <c r="B6" s="26" t="s">
        <v>36</v>
      </c>
      <c r="C6" s="27">
        <v>1408062.38</v>
      </c>
      <c r="D6" s="17"/>
      <c r="E6" s="17"/>
      <c r="F6" s="28"/>
      <c r="G6" s="8"/>
    </row>
    <row r="7" spans="1:7" ht="13" x14ac:dyDescent="0.15">
      <c r="A7" s="18">
        <v>412</v>
      </c>
      <c r="B7" s="38" t="s">
        <v>37</v>
      </c>
      <c r="C7" s="27">
        <v>230252.27</v>
      </c>
      <c r="D7" s="17"/>
      <c r="E7" s="17"/>
      <c r="F7" s="28"/>
      <c r="G7" s="8"/>
    </row>
    <row r="8" spans="1:7" ht="13" x14ac:dyDescent="0.15">
      <c r="A8" s="18">
        <v>413</v>
      </c>
      <c r="B8" s="38" t="s">
        <v>2</v>
      </c>
      <c r="C8" s="27">
        <v>365516.57</v>
      </c>
      <c r="D8" s="17"/>
      <c r="E8" s="17"/>
      <c r="F8" s="28"/>
      <c r="G8" s="8"/>
    </row>
    <row r="9" spans="1:7" ht="13" x14ac:dyDescent="0.15">
      <c r="A9" s="40">
        <v>414</v>
      </c>
      <c r="B9" s="26" t="s">
        <v>3</v>
      </c>
      <c r="C9" s="27">
        <v>748156.1</v>
      </c>
      <c r="D9" s="17"/>
      <c r="E9" s="17"/>
      <c r="F9" s="28"/>
      <c r="G9" s="8"/>
    </row>
    <row r="10" spans="1:7" ht="13" x14ac:dyDescent="0.15">
      <c r="A10" s="18">
        <v>415</v>
      </c>
      <c r="B10" s="42" t="s">
        <v>4</v>
      </c>
      <c r="C10" s="56"/>
      <c r="D10" s="17"/>
      <c r="E10" s="17"/>
      <c r="F10" s="28"/>
      <c r="G10" s="8"/>
    </row>
    <row r="11" spans="1:7" ht="13" x14ac:dyDescent="0.15">
      <c r="A11" s="18">
        <v>416</v>
      </c>
      <c r="B11" s="26" t="s">
        <v>5</v>
      </c>
      <c r="C11" s="27">
        <v>19739.939999999999</v>
      </c>
      <c r="D11" s="17"/>
      <c r="E11" s="17"/>
      <c r="F11" s="28"/>
      <c r="G11" s="8"/>
    </row>
    <row r="12" spans="1:7" ht="13" x14ac:dyDescent="0.15">
      <c r="A12" s="18">
        <v>417</v>
      </c>
      <c r="B12" s="26" t="s">
        <v>6</v>
      </c>
      <c r="C12" s="96"/>
      <c r="D12" s="43"/>
      <c r="E12" s="17"/>
      <c r="F12" s="28"/>
      <c r="G12" s="8"/>
    </row>
    <row r="13" spans="1:7" ht="13" x14ac:dyDescent="0.15">
      <c r="A13" s="18">
        <v>418</v>
      </c>
      <c r="B13" s="26" t="s">
        <v>38</v>
      </c>
      <c r="C13" s="27">
        <v>17168.29</v>
      </c>
      <c r="D13" s="17"/>
      <c r="E13" s="17"/>
      <c r="F13" s="28"/>
      <c r="G13" s="8"/>
    </row>
    <row r="14" spans="1:7" ht="13" x14ac:dyDescent="0.15">
      <c r="A14" s="18">
        <v>42</v>
      </c>
      <c r="B14" s="62" t="s">
        <v>7</v>
      </c>
      <c r="C14" s="107">
        <v>97645.07</v>
      </c>
      <c r="D14" s="17"/>
      <c r="E14" s="17"/>
      <c r="F14" s="28"/>
      <c r="G14" s="8"/>
    </row>
    <row r="15" spans="1:7" ht="16.5" customHeight="1" x14ac:dyDescent="0.15">
      <c r="A15" s="59">
        <v>43</v>
      </c>
      <c r="B15" s="61" t="s">
        <v>8</v>
      </c>
      <c r="C15" s="145">
        <v>1778358</v>
      </c>
      <c r="D15" s="65"/>
      <c r="E15" s="63"/>
      <c r="F15" s="17"/>
      <c r="G15" s="8"/>
    </row>
    <row r="16" spans="1:7" ht="13" x14ac:dyDescent="0.15">
      <c r="A16" s="40" t="s">
        <v>40</v>
      </c>
      <c r="B16" s="42" t="s">
        <v>9</v>
      </c>
      <c r="C16" s="67">
        <f>416677.52+670077.51+40407.84+40050+73081.59+140713.17+29680.91+6783+684+35451.54+36843.41+10245.79</f>
        <v>1500696.28</v>
      </c>
      <c r="D16" s="69"/>
      <c r="E16" s="67"/>
      <c r="F16" s="17"/>
      <c r="G16" s="8"/>
    </row>
    <row r="17" spans="1:7" ht="31.5" customHeight="1" x14ac:dyDescent="0.15">
      <c r="A17" s="40" t="s">
        <v>41</v>
      </c>
      <c r="B17" s="42" t="s">
        <v>10</v>
      </c>
      <c r="C17" s="70">
        <f>15130+17200+39860+71916.72+10500</f>
        <v>154606.72</v>
      </c>
      <c r="D17" s="69"/>
      <c r="E17" s="67"/>
      <c r="F17" s="17"/>
      <c r="G17" s="8"/>
    </row>
    <row r="18" spans="1:7" ht="13" x14ac:dyDescent="0.15">
      <c r="A18" s="40" t="s">
        <v>42</v>
      </c>
      <c r="B18" s="71" t="s">
        <v>11</v>
      </c>
      <c r="C18" s="80">
        <v>123055</v>
      </c>
      <c r="D18" s="67"/>
      <c r="E18" s="43"/>
      <c r="F18" s="96"/>
      <c r="G18" s="8"/>
    </row>
    <row r="19" spans="1:7" ht="13" x14ac:dyDescent="0.15">
      <c r="A19" s="40" t="s">
        <v>43</v>
      </c>
      <c r="B19" s="71" t="s">
        <v>44</v>
      </c>
      <c r="C19" s="69">
        <f>C15-C16-C17-C18</f>
        <v>0</v>
      </c>
      <c r="D19" s="67"/>
      <c r="E19" s="43"/>
      <c r="F19" s="96"/>
      <c r="G19" s="8"/>
    </row>
    <row r="20" spans="1:7" ht="13" x14ac:dyDescent="0.15">
      <c r="A20" s="18">
        <v>44</v>
      </c>
      <c r="B20" s="106" t="s">
        <v>12</v>
      </c>
      <c r="C20" s="107">
        <v>2393845.4500000002</v>
      </c>
      <c r="D20" s="17"/>
      <c r="E20" s="17"/>
      <c r="F20" s="17"/>
      <c r="G20" s="8"/>
    </row>
    <row r="21" spans="1:7" ht="13" x14ac:dyDescent="0.15">
      <c r="A21" s="18">
        <v>45</v>
      </c>
      <c r="B21" s="62" t="s">
        <v>58</v>
      </c>
      <c r="C21" s="16"/>
      <c r="D21" s="17"/>
      <c r="E21" s="17"/>
      <c r="F21" s="17"/>
      <c r="G21" s="8"/>
    </row>
    <row r="22" spans="1:7" ht="13" x14ac:dyDescent="0.15">
      <c r="A22" s="18">
        <v>46</v>
      </c>
      <c r="B22" s="23" t="s">
        <v>14</v>
      </c>
      <c r="C22" s="107">
        <v>2278618.9700000002</v>
      </c>
      <c r="D22" s="17"/>
      <c r="E22" s="17"/>
      <c r="F22" s="17"/>
      <c r="G22" s="8"/>
    </row>
    <row r="23" spans="1:7" ht="13" x14ac:dyDescent="0.15">
      <c r="A23" s="18">
        <v>47</v>
      </c>
      <c r="B23" s="23" t="s">
        <v>15</v>
      </c>
      <c r="C23" s="107">
        <v>184559.6</v>
      </c>
      <c r="D23" s="17"/>
      <c r="E23" s="17"/>
      <c r="F23" s="17"/>
      <c r="G23" s="8"/>
    </row>
    <row r="24" spans="1:7" ht="13" x14ac:dyDescent="0.15">
      <c r="A24" s="2"/>
      <c r="B24" s="23" t="s">
        <v>16</v>
      </c>
      <c r="C24" s="229">
        <v>9521922.6400000006</v>
      </c>
      <c r="D24" s="230"/>
      <c r="E24" s="230"/>
      <c r="F24" s="17"/>
      <c r="G24" s="8"/>
    </row>
    <row r="25" spans="1:7" ht="13" x14ac:dyDescent="0.15">
      <c r="A25" s="2"/>
      <c r="B25" s="119" t="s">
        <v>59</v>
      </c>
      <c r="C25" s="128"/>
      <c r="D25" s="132"/>
      <c r="E25" s="132"/>
      <c r="F25" s="132"/>
      <c r="G25" s="8"/>
    </row>
    <row r="26" spans="1:7" ht="13" x14ac:dyDescent="0.15">
      <c r="A26" s="18">
        <v>71</v>
      </c>
      <c r="B26" s="23" t="s">
        <v>46</v>
      </c>
      <c r="C26" s="217">
        <f>SUM(B27:C31)</f>
        <v>3447120.93</v>
      </c>
      <c r="D26" s="232">
        <v>9235944.9000000004</v>
      </c>
      <c r="E26" s="143"/>
      <c r="F26" s="14"/>
      <c r="G26" s="8"/>
    </row>
    <row r="27" spans="1:7" ht="13" x14ac:dyDescent="0.15">
      <c r="A27" s="40">
        <v>711</v>
      </c>
      <c r="B27" s="42" t="s">
        <v>48</v>
      </c>
      <c r="C27" s="36">
        <v>1706557.36</v>
      </c>
      <c r="D27" s="43"/>
      <c r="E27" s="43"/>
      <c r="F27" s="28"/>
      <c r="G27" s="8"/>
    </row>
    <row r="28" spans="1:7" ht="13" x14ac:dyDescent="0.15">
      <c r="A28" s="40">
        <v>713</v>
      </c>
      <c r="B28" s="42" t="s">
        <v>49</v>
      </c>
      <c r="C28" s="36">
        <v>114373.25</v>
      </c>
      <c r="D28" s="43"/>
      <c r="E28" s="43"/>
      <c r="F28" s="28"/>
      <c r="G28" s="8"/>
    </row>
    <row r="29" spans="1:7" ht="13" x14ac:dyDescent="0.15">
      <c r="A29" s="40">
        <v>714</v>
      </c>
      <c r="B29" s="42" t="s">
        <v>50</v>
      </c>
      <c r="C29" s="36">
        <v>307686.82</v>
      </c>
      <c r="D29" s="43"/>
      <c r="E29" s="43"/>
      <c r="F29" s="28"/>
      <c r="G29" s="8"/>
    </row>
    <row r="30" spans="1:7" ht="13" x14ac:dyDescent="0.15">
      <c r="A30" s="136"/>
      <c r="B30" s="42" t="s">
        <v>60</v>
      </c>
      <c r="C30" s="82">
        <f>402562.38+84476.84+465801.96</f>
        <v>952841.17999999993</v>
      </c>
      <c r="D30" s="43"/>
      <c r="E30" s="43"/>
      <c r="F30" s="28"/>
      <c r="G30" s="125"/>
    </row>
    <row r="31" spans="1:7" ht="13" x14ac:dyDescent="0.15">
      <c r="A31" s="40">
        <v>715</v>
      </c>
      <c r="B31" s="42" t="s">
        <v>61</v>
      </c>
      <c r="C31" s="27">
        <v>365662.32</v>
      </c>
      <c r="D31" s="43"/>
      <c r="E31" s="43"/>
      <c r="F31" s="28"/>
      <c r="G31" s="8"/>
    </row>
    <row r="32" spans="1:7" ht="13" x14ac:dyDescent="0.15">
      <c r="A32" s="18">
        <v>72</v>
      </c>
      <c r="B32" s="146" t="s">
        <v>51</v>
      </c>
      <c r="C32" s="107">
        <v>81704.45</v>
      </c>
      <c r="D32" s="17"/>
      <c r="E32" s="17"/>
      <c r="F32" s="43"/>
      <c r="G32" s="8"/>
    </row>
    <row r="33" spans="1:7" ht="18" customHeight="1" x14ac:dyDescent="0.15">
      <c r="A33" s="140">
        <v>73</v>
      </c>
      <c r="B33" s="62" t="s">
        <v>62</v>
      </c>
      <c r="C33" s="166">
        <v>1328030.1100000001</v>
      </c>
      <c r="D33" s="147"/>
      <c r="E33" s="147"/>
      <c r="F33" s="148"/>
      <c r="G33" s="8"/>
    </row>
    <row r="34" spans="1:7" ht="13" x14ac:dyDescent="0.15">
      <c r="A34" s="18">
        <v>74</v>
      </c>
      <c r="B34" s="61" t="s">
        <v>52</v>
      </c>
      <c r="C34" s="145">
        <v>4781651.78</v>
      </c>
      <c r="D34" s="65"/>
      <c r="E34" s="65"/>
      <c r="F34" s="17"/>
      <c r="G34" s="8"/>
    </row>
    <row r="35" spans="1:7" ht="13" x14ac:dyDescent="0.15">
      <c r="A35" s="40">
        <v>741</v>
      </c>
      <c r="B35" s="42" t="s">
        <v>53</v>
      </c>
      <c r="C35" s="96"/>
      <c r="D35" s="69"/>
      <c r="E35" s="69"/>
      <c r="F35" s="17"/>
      <c r="G35" s="8"/>
    </row>
    <row r="36" spans="1:7" ht="13" x14ac:dyDescent="0.15">
      <c r="A36" s="40">
        <v>742</v>
      </c>
      <c r="B36" s="42" t="s">
        <v>54</v>
      </c>
      <c r="C36" s="78">
        <v>4781651.78</v>
      </c>
      <c r="D36" s="69"/>
      <c r="E36" s="69"/>
      <c r="F36" s="17"/>
      <c r="G36" s="8"/>
    </row>
    <row r="37" spans="1:7" ht="13" x14ac:dyDescent="0.15">
      <c r="A37" s="136"/>
      <c r="B37" s="42" t="s">
        <v>63</v>
      </c>
      <c r="C37" s="170"/>
      <c r="D37" s="170"/>
      <c r="E37" s="170"/>
      <c r="F37" s="17"/>
      <c r="G37" s="8"/>
    </row>
    <row r="38" spans="1:7" ht="13" x14ac:dyDescent="0.15">
      <c r="A38" s="18">
        <v>751</v>
      </c>
      <c r="B38" s="106" t="s">
        <v>58</v>
      </c>
      <c r="C38" s="107">
        <v>416999.83</v>
      </c>
      <c r="D38" s="17"/>
      <c r="E38" s="17"/>
      <c r="F38" s="17"/>
      <c r="G38" s="8"/>
    </row>
    <row r="39" spans="1:7" ht="13" x14ac:dyDescent="0.15">
      <c r="A39" s="2"/>
      <c r="B39" s="106" t="s">
        <v>64</v>
      </c>
      <c r="C39" s="229">
        <v>10055507.109999999</v>
      </c>
      <c r="D39" s="230"/>
      <c r="E39" s="230"/>
      <c r="F39" s="17"/>
      <c r="G39" s="8"/>
    </row>
    <row r="40" spans="1:7" ht="13" x14ac:dyDescent="0.15">
      <c r="A40" s="2"/>
      <c r="B40" s="119" t="s">
        <v>65</v>
      </c>
      <c r="C40" s="128"/>
      <c r="D40" s="132"/>
      <c r="E40" s="132"/>
      <c r="F40" s="132"/>
      <c r="G40" s="8"/>
    </row>
    <row r="41" spans="1:7" ht="13" x14ac:dyDescent="0.15">
      <c r="A41" s="2"/>
      <c r="B41" s="38" t="s">
        <v>66</v>
      </c>
      <c r="C41" s="56"/>
      <c r="D41" s="43"/>
      <c r="E41" s="43"/>
      <c r="F41" s="43"/>
      <c r="G41" s="8"/>
    </row>
    <row r="42" spans="1:7" ht="13" x14ac:dyDescent="0.15">
      <c r="A42" s="2"/>
      <c r="B42" s="38" t="s">
        <v>67</v>
      </c>
      <c r="C42" s="56"/>
      <c r="D42" s="43"/>
      <c r="E42" s="43"/>
      <c r="F42" s="43"/>
      <c r="G42" s="8"/>
    </row>
    <row r="43" spans="1:7" ht="13" x14ac:dyDescent="0.15">
      <c r="A43" s="2"/>
      <c r="B43" s="38" t="s">
        <v>68</v>
      </c>
      <c r="C43" s="56"/>
      <c r="D43" s="43"/>
      <c r="E43" s="43"/>
      <c r="F43" s="43"/>
      <c r="G43" s="8"/>
    </row>
    <row r="44" spans="1:7" ht="13" x14ac:dyDescent="0.15">
      <c r="A44" s="2"/>
      <c r="B44" s="38" t="s">
        <v>69</v>
      </c>
      <c r="C44" s="56"/>
      <c r="D44" s="43"/>
      <c r="E44" s="43"/>
      <c r="F44" s="43"/>
      <c r="G44" s="8"/>
    </row>
    <row r="45" spans="1:7" ht="13" x14ac:dyDescent="0.15">
      <c r="A45" s="2"/>
      <c r="B45" s="149"/>
      <c r="C45" s="128"/>
      <c r="D45" s="132"/>
      <c r="E45" s="132"/>
      <c r="F45" s="132"/>
      <c r="G45" s="8"/>
    </row>
    <row r="46" spans="1:7" ht="19.5" customHeight="1" x14ac:dyDescent="0.15">
      <c r="B46" s="150"/>
      <c r="C46" s="150"/>
      <c r="D46" s="151"/>
      <c r="E46" s="150"/>
      <c r="F46" s="150"/>
    </row>
    <row r="47" spans="1:7" ht="19.5" customHeight="1" x14ac:dyDescent="0.15">
      <c r="B47" s="152" t="s">
        <v>70</v>
      </c>
      <c r="C47" s="1"/>
      <c r="D47" s="176"/>
      <c r="E47" s="1"/>
    </row>
    <row r="48" spans="1:7" ht="19.5" customHeight="1" x14ac:dyDescent="0.15">
      <c r="A48" s="2"/>
      <c r="B48" s="236" t="s">
        <v>71</v>
      </c>
      <c r="C48" s="170"/>
      <c r="D48" s="178"/>
      <c r="E48" s="170"/>
      <c r="F48" s="8"/>
    </row>
    <row r="49" spans="1:6" ht="24" customHeight="1" x14ac:dyDescent="0.15">
      <c r="A49" s="2"/>
      <c r="B49" s="179" t="s">
        <v>127</v>
      </c>
      <c r="C49" s="184">
        <v>124868.1</v>
      </c>
      <c r="D49" s="185"/>
      <c r="E49" s="185"/>
      <c r="F49" s="8"/>
    </row>
    <row r="50" spans="1:6" ht="24" customHeight="1" x14ac:dyDescent="0.15">
      <c r="A50" s="2"/>
      <c r="B50" s="179" t="s">
        <v>128</v>
      </c>
      <c r="C50" s="184">
        <v>196579.05</v>
      </c>
      <c r="D50" s="185"/>
      <c r="E50" s="185"/>
      <c r="F50" s="8"/>
    </row>
    <row r="51" spans="1:6" ht="24" customHeight="1" x14ac:dyDescent="0.15">
      <c r="A51" s="2"/>
      <c r="B51" s="186" t="s">
        <v>85</v>
      </c>
      <c r="C51" s="184">
        <v>43700.62</v>
      </c>
      <c r="D51" s="185"/>
      <c r="E51" s="185"/>
      <c r="F51" s="8"/>
    </row>
    <row r="52" spans="1:6" ht="24" customHeight="1" x14ac:dyDescent="0.15">
      <c r="A52" s="2"/>
      <c r="B52" s="186" t="s">
        <v>120</v>
      </c>
      <c r="C52" s="184">
        <v>58700.22</v>
      </c>
      <c r="D52" s="185"/>
      <c r="E52" s="185"/>
      <c r="F52" s="8"/>
    </row>
    <row r="53" spans="1:6" ht="24" customHeight="1" x14ac:dyDescent="0.15">
      <c r="A53" s="2"/>
      <c r="B53" s="186" t="s">
        <v>129</v>
      </c>
      <c r="C53" s="184">
        <v>10036.299999999999</v>
      </c>
      <c r="D53" s="185"/>
      <c r="E53" s="185"/>
      <c r="F53" s="8"/>
    </row>
    <row r="54" spans="1:6" ht="24" customHeight="1" x14ac:dyDescent="0.15">
      <c r="A54" s="2"/>
      <c r="B54" s="186" t="s">
        <v>130</v>
      </c>
      <c r="C54" s="184">
        <v>357439.94</v>
      </c>
      <c r="D54" s="185"/>
      <c r="E54" s="185"/>
      <c r="F54" s="8"/>
    </row>
    <row r="55" spans="1:6" ht="24" customHeight="1" x14ac:dyDescent="0.15">
      <c r="A55" s="2"/>
      <c r="B55" s="186" t="s">
        <v>95</v>
      </c>
      <c r="C55" s="184">
        <v>171882.16</v>
      </c>
      <c r="D55" s="185"/>
      <c r="E55" s="185"/>
      <c r="F55" s="8"/>
    </row>
    <row r="56" spans="1:6" ht="24" customHeight="1" x14ac:dyDescent="0.15">
      <c r="A56" s="2"/>
      <c r="B56" s="179" t="s">
        <v>131</v>
      </c>
      <c r="C56" s="184">
        <v>60710.74</v>
      </c>
      <c r="D56" s="185"/>
      <c r="E56" s="185"/>
      <c r="F56" s="8"/>
    </row>
    <row r="57" spans="1:6" ht="31.5" customHeight="1" x14ac:dyDescent="0.15">
      <c r="A57" s="2"/>
      <c r="B57" s="179" t="s">
        <v>94</v>
      </c>
      <c r="C57" s="184">
        <v>261280.49</v>
      </c>
      <c r="D57" s="185"/>
      <c r="E57" s="185"/>
      <c r="F57" s="8"/>
    </row>
    <row r="58" spans="1:6" ht="31.5" customHeight="1" x14ac:dyDescent="0.15">
      <c r="A58" s="2"/>
      <c r="B58" s="179" t="s">
        <v>132</v>
      </c>
      <c r="C58" s="184">
        <v>2838523.32</v>
      </c>
      <c r="D58" s="185"/>
      <c r="E58" s="185"/>
      <c r="F58" s="8"/>
    </row>
    <row r="59" spans="1:6" ht="31.5" customHeight="1" x14ac:dyDescent="0.15">
      <c r="A59" s="2"/>
      <c r="B59" s="179" t="s">
        <v>133</v>
      </c>
      <c r="C59" s="184">
        <v>107995.82</v>
      </c>
      <c r="D59" s="185"/>
      <c r="E59" s="185"/>
      <c r="F59" s="8"/>
    </row>
    <row r="60" spans="1:6" ht="24" customHeight="1" x14ac:dyDescent="0.15">
      <c r="A60" s="2"/>
      <c r="B60" s="186" t="s">
        <v>134</v>
      </c>
      <c r="C60" s="184">
        <v>2016963.19</v>
      </c>
      <c r="D60" s="185"/>
      <c r="E60" s="185"/>
      <c r="F60" s="8"/>
    </row>
    <row r="61" spans="1:6" ht="24" customHeight="1" x14ac:dyDescent="0.15">
      <c r="A61" s="2"/>
      <c r="B61" s="179" t="s">
        <v>135</v>
      </c>
      <c r="C61" s="184">
        <v>416677.52</v>
      </c>
      <c r="D61" s="185"/>
      <c r="E61" s="185"/>
      <c r="F61" s="8"/>
    </row>
    <row r="62" spans="1:6" ht="24" customHeight="1" x14ac:dyDescent="0.15">
      <c r="A62" s="2"/>
      <c r="B62" s="186" t="s">
        <v>136</v>
      </c>
      <c r="C62" s="184">
        <v>670077.51</v>
      </c>
      <c r="D62" s="185"/>
      <c r="E62" s="238"/>
      <c r="F62" s="8"/>
    </row>
    <row r="63" spans="1:6" ht="24" customHeight="1" x14ac:dyDescent="0.15">
      <c r="A63" s="2"/>
      <c r="B63" s="186" t="s">
        <v>137</v>
      </c>
      <c r="C63" s="185"/>
      <c r="D63" s="185"/>
      <c r="E63" s="185"/>
      <c r="F63" s="8"/>
    </row>
    <row r="64" spans="1:6" ht="24" customHeight="1" x14ac:dyDescent="0.15">
      <c r="A64" s="2"/>
      <c r="B64" s="186" t="s">
        <v>138</v>
      </c>
      <c r="C64" s="184">
        <v>15130</v>
      </c>
      <c r="D64" s="185"/>
      <c r="E64" s="185"/>
      <c r="F64" s="8"/>
    </row>
    <row r="65" spans="1:6" ht="24" customHeight="1" x14ac:dyDescent="0.15">
      <c r="A65" s="2"/>
      <c r="B65" s="186" t="s">
        <v>139</v>
      </c>
      <c r="C65" s="184">
        <v>17200</v>
      </c>
      <c r="D65" s="185"/>
      <c r="E65" s="185"/>
      <c r="F65" s="8"/>
    </row>
    <row r="66" spans="1:6" ht="24" customHeight="1" x14ac:dyDescent="0.15">
      <c r="A66" s="2"/>
      <c r="B66" s="186" t="s">
        <v>140</v>
      </c>
      <c r="C66" s="184">
        <v>89110.02</v>
      </c>
      <c r="D66" s="185"/>
      <c r="E66" s="185"/>
      <c r="F66" s="8"/>
    </row>
    <row r="67" spans="1:6" ht="24" customHeight="1" x14ac:dyDescent="0.15">
      <c r="A67" s="2"/>
      <c r="B67" s="186" t="s">
        <v>141</v>
      </c>
      <c r="C67" s="184">
        <v>919804.1</v>
      </c>
      <c r="D67" s="185"/>
      <c r="E67" s="185"/>
      <c r="F67" s="8"/>
    </row>
    <row r="68" spans="1:6" ht="24" customHeight="1" x14ac:dyDescent="0.15">
      <c r="A68" s="2"/>
      <c r="B68" s="186" t="s">
        <v>142</v>
      </c>
      <c r="C68" s="184">
        <v>2033453.36</v>
      </c>
      <c r="D68" s="185"/>
      <c r="E68" s="185"/>
      <c r="F68" s="8"/>
    </row>
    <row r="69" spans="1:6" ht="19.5" customHeight="1" x14ac:dyDescent="0.15">
      <c r="A69" s="2"/>
      <c r="B69" s="239" t="s">
        <v>143</v>
      </c>
      <c r="C69" s="184">
        <v>56824.95</v>
      </c>
      <c r="D69" s="185"/>
      <c r="E69" s="185"/>
      <c r="F69" s="8"/>
    </row>
    <row r="70" spans="1:6" ht="19.5" customHeight="1" x14ac:dyDescent="0.15">
      <c r="A70" s="2"/>
      <c r="B70" s="239" t="s">
        <v>144</v>
      </c>
      <c r="C70" s="184">
        <v>174050.26</v>
      </c>
      <c r="D70" s="185"/>
      <c r="E70" s="185"/>
      <c r="F70" s="8"/>
    </row>
    <row r="71" spans="1:6" ht="19.5" customHeight="1" x14ac:dyDescent="0.15">
      <c r="A71" s="2"/>
      <c r="B71" s="188"/>
      <c r="C71" s="185"/>
      <c r="D71" s="185"/>
      <c r="E71" s="185"/>
      <c r="F71" s="8"/>
    </row>
    <row r="72" spans="1:6" ht="19.5" customHeight="1" x14ac:dyDescent="0.15">
      <c r="A72" s="2"/>
      <c r="B72" s="236" t="s">
        <v>81</v>
      </c>
      <c r="C72" s="287">
        <v>9521922.6400000006</v>
      </c>
      <c r="D72" s="245"/>
      <c r="E72" s="245"/>
      <c r="F72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5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2"/>
      <c r="B2" s="4" t="s">
        <v>25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9"/>
      <c r="D3" s="10"/>
      <c r="E3" s="11"/>
      <c r="F3" s="12"/>
    </row>
    <row r="4" spans="1:6" ht="13" x14ac:dyDescent="0.15">
      <c r="A4" s="2"/>
      <c r="B4" s="14"/>
      <c r="C4" s="16"/>
      <c r="D4" s="17"/>
      <c r="E4" s="17"/>
      <c r="F4" s="17"/>
    </row>
    <row r="5" spans="1:6" ht="13" x14ac:dyDescent="0.15">
      <c r="A5" s="18">
        <v>41</v>
      </c>
      <c r="B5" s="23" t="s">
        <v>0</v>
      </c>
      <c r="C5" s="72">
        <f>SUM(C6:C13)</f>
        <v>705041.06</v>
      </c>
      <c r="D5" s="109">
        <v>705041.06</v>
      </c>
      <c r="E5" s="143"/>
      <c r="F5" s="17"/>
    </row>
    <row r="6" spans="1:6" ht="13" x14ac:dyDescent="0.15">
      <c r="A6" s="18">
        <v>411</v>
      </c>
      <c r="B6" s="26" t="s">
        <v>36</v>
      </c>
      <c r="C6" s="27">
        <v>529910.56000000006</v>
      </c>
      <c r="D6" s="43"/>
      <c r="E6" s="43"/>
      <c r="F6" s="28"/>
    </row>
    <row r="7" spans="1:6" ht="13" x14ac:dyDescent="0.15">
      <c r="A7" s="18">
        <v>412</v>
      </c>
      <c r="B7" s="38" t="s">
        <v>37</v>
      </c>
      <c r="C7" s="27">
        <v>8217</v>
      </c>
      <c r="D7" s="43"/>
      <c r="E7" s="43"/>
      <c r="F7" s="28"/>
    </row>
    <row r="8" spans="1:6" ht="13" x14ac:dyDescent="0.15">
      <c r="A8" s="18">
        <v>413</v>
      </c>
      <c r="B8" s="38" t="s">
        <v>2</v>
      </c>
      <c r="C8" s="27">
        <v>144403.10999999999</v>
      </c>
      <c r="D8" s="43"/>
      <c r="E8" s="43"/>
      <c r="F8" s="28"/>
    </row>
    <row r="9" spans="1:6" ht="13" x14ac:dyDescent="0.15">
      <c r="A9" s="40">
        <v>414</v>
      </c>
      <c r="B9" s="26" t="s">
        <v>3</v>
      </c>
      <c r="C9" s="27">
        <v>19388.97</v>
      </c>
      <c r="D9" s="43"/>
      <c r="E9" s="43"/>
      <c r="F9" s="28"/>
    </row>
    <row r="10" spans="1:6" ht="13" x14ac:dyDescent="0.15">
      <c r="A10" s="18">
        <v>415</v>
      </c>
      <c r="B10" s="42" t="s">
        <v>4</v>
      </c>
      <c r="C10" s="27">
        <v>1247.76</v>
      </c>
      <c r="D10" s="43"/>
      <c r="E10" s="43"/>
      <c r="F10" s="28"/>
    </row>
    <row r="11" spans="1:6" ht="13" x14ac:dyDescent="0.15">
      <c r="A11" s="18">
        <v>416</v>
      </c>
      <c r="B11" s="26" t="s">
        <v>5</v>
      </c>
      <c r="C11" s="27">
        <v>0</v>
      </c>
      <c r="D11" s="43"/>
      <c r="E11" s="43"/>
      <c r="F11" s="28"/>
    </row>
    <row r="12" spans="1:6" ht="13" x14ac:dyDescent="0.15">
      <c r="A12" s="18">
        <v>417</v>
      </c>
      <c r="B12" s="26" t="s">
        <v>6</v>
      </c>
      <c r="C12" s="27">
        <v>1300</v>
      </c>
      <c r="D12" s="43"/>
      <c r="E12" s="43"/>
      <c r="F12" s="28"/>
    </row>
    <row r="13" spans="1:6" ht="13" x14ac:dyDescent="0.15">
      <c r="A13" s="18">
        <v>418</v>
      </c>
      <c r="B13" s="26" t="s">
        <v>38</v>
      </c>
      <c r="C13" s="27">
        <v>573.66</v>
      </c>
      <c r="D13" s="43"/>
      <c r="E13" s="43"/>
      <c r="F13" s="28"/>
    </row>
    <row r="14" spans="1:6" ht="13" x14ac:dyDescent="0.15">
      <c r="A14" s="18">
        <v>42</v>
      </c>
      <c r="B14" s="62" t="s">
        <v>7</v>
      </c>
      <c r="C14" s="16"/>
      <c r="D14" s="17"/>
      <c r="E14" s="17"/>
      <c r="F14" s="28"/>
    </row>
    <row r="15" spans="1:6" ht="16.5" customHeight="1" x14ac:dyDescent="0.15">
      <c r="A15" s="59">
        <v>43</v>
      </c>
      <c r="B15" s="61" t="s">
        <v>8</v>
      </c>
      <c r="C15" s="15">
        <f>SUM(C16:C19)</f>
        <v>266121.28999999998</v>
      </c>
      <c r="D15" s="171">
        <v>266121.28999999998</v>
      </c>
      <c r="E15" s="63"/>
      <c r="F15" s="17"/>
    </row>
    <row r="16" spans="1:6" ht="13" x14ac:dyDescent="0.15">
      <c r="A16" s="40" t="s">
        <v>40</v>
      </c>
      <c r="B16" s="42" t="s">
        <v>9</v>
      </c>
      <c r="C16" s="78">
        <v>215119.14</v>
      </c>
      <c r="D16" s="69"/>
      <c r="E16" s="67"/>
      <c r="F16" s="17"/>
    </row>
    <row r="17" spans="1:6" ht="31.5" customHeight="1" x14ac:dyDescent="0.15">
      <c r="A17" s="40" t="s">
        <v>41</v>
      </c>
      <c r="B17" s="42" t="s">
        <v>10</v>
      </c>
      <c r="C17" s="58">
        <v>20270.86</v>
      </c>
      <c r="D17" s="69"/>
      <c r="E17" s="67"/>
      <c r="F17" s="17"/>
    </row>
    <row r="18" spans="1:6" ht="13" x14ac:dyDescent="0.15">
      <c r="A18" s="40" t="s">
        <v>42</v>
      </c>
      <c r="B18" s="71" t="s">
        <v>11</v>
      </c>
      <c r="C18" s="80">
        <v>30731.29</v>
      </c>
      <c r="D18" s="67"/>
      <c r="E18" s="43"/>
      <c r="F18" s="85"/>
    </row>
    <row r="19" spans="1:6" ht="13" x14ac:dyDescent="0.15">
      <c r="A19" s="40" t="s">
        <v>43</v>
      </c>
      <c r="B19" s="71" t="s">
        <v>44</v>
      </c>
      <c r="C19" s="69"/>
      <c r="D19" s="63"/>
      <c r="E19" s="17"/>
      <c r="F19" s="104"/>
    </row>
    <row r="20" spans="1:6" ht="13" x14ac:dyDescent="0.15">
      <c r="A20" s="18">
        <v>44</v>
      </c>
      <c r="B20" s="106" t="s">
        <v>12</v>
      </c>
      <c r="C20" s="107">
        <v>330103.95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07">
        <v>0</v>
      </c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107">
        <v>1291372.8500000001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107">
        <v>0</v>
      </c>
      <c r="D23" s="17"/>
      <c r="E23" s="17"/>
      <c r="F23" s="17"/>
    </row>
    <row r="24" spans="1:6" ht="13" x14ac:dyDescent="0.15">
      <c r="A24" s="2"/>
      <c r="B24" s="23" t="s">
        <v>16</v>
      </c>
      <c r="C24" s="49">
        <f>C5+C15+C20+C22</f>
        <v>2592639.1500000004</v>
      </c>
      <c r="D24" s="109">
        <v>2592639.15</v>
      </c>
      <c r="E24" s="143"/>
      <c r="F24" s="17"/>
    </row>
    <row r="25" spans="1:6" ht="13" x14ac:dyDescent="0.15">
      <c r="A25" s="2"/>
      <c r="B25" s="119" t="s">
        <v>59</v>
      </c>
      <c r="C25" s="128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174">
        <f>SUM(C27:C31)</f>
        <v>1636780.09</v>
      </c>
      <c r="D26" s="96"/>
      <c r="E26" s="143"/>
      <c r="F26" s="14"/>
    </row>
    <row r="27" spans="1:6" ht="13" x14ac:dyDescent="0.15">
      <c r="A27" s="40">
        <v>711</v>
      </c>
      <c r="B27" s="42" t="s">
        <v>48</v>
      </c>
      <c r="C27" s="36">
        <v>733602.61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36">
        <v>35553.65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196">
        <f>33234.65+357.2+173889.29</f>
        <v>207481.14</v>
      </c>
      <c r="D29" s="43"/>
      <c r="E29" s="43"/>
      <c r="F29" s="28"/>
    </row>
    <row r="30" spans="1:6" ht="13" x14ac:dyDescent="0.15">
      <c r="A30" s="136"/>
      <c r="B30" s="42" t="s">
        <v>60</v>
      </c>
      <c r="C30" s="196">
        <f>400377.99-C29</f>
        <v>192896.84999999998</v>
      </c>
      <c r="D30" s="43"/>
      <c r="E30" s="43"/>
      <c r="F30" s="28"/>
    </row>
    <row r="31" spans="1:6" ht="13" x14ac:dyDescent="0.15">
      <c r="A31" s="40">
        <v>715</v>
      </c>
      <c r="B31" s="42" t="s">
        <v>61</v>
      </c>
      <c r="C31" s="27">
        <v>467245.84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180">
        <v>32128.74</v>
      </c>
      <c r="D32" s="17"/>
      <c r="E32" s="43"/>
      <c r="F32" s="43"/>
    </row>
    <row r="33" spans="1:6" ht="18" customHeight="1" x14ac:dyDescent="0.15">
      <c r="A33" s="140">
        <v>73</v>
      </c>
      <c r="B33" s="62" t="s">
        <v>62</v>
      </c>
      <c r="C33" s="198">
        <v>263991.44</v>
      </c>
      <c r="D33" s="147"/>
      <c r="E33" s="147"/>
      <c r="F33" s="148"/>
    </row>
    <row r="34" spans="1:6" ht="13" x14ac:dyDescent="0.15">
      <c r="A34" s="18">
        <v>74</v>
      </c>
      <c r="B34" s="61" t="s">
        <v>52</v>
      </c>
      <c r="C34" s="199">
        <v>704149.03</v>
      </c>
      <c r="D34" s="65"/>
      <c r="E34" s="65"/>
      <c r="F34" s="17"/>
    </row>
    <row r="35" spans="1:6" ht="13" x14ac:dyDescent="0.15">
      <c r="A35" s="40">
        <v>741</v>
      </c>
      <c r="B35" s="42" t="s">
        <v>53</v>
      </c>
      <c r="C35" s="96"/>
      <c r="D35" s="178"/>
      <c r="E35" s="69"/>
      <c r="F35" s="17"/>
    </row>
    <row r="36" spans="1:6" ht="13" x14ac:dyDescent="0.15">
      <c r="A36" s="40">
        <v>742</v>
      </c>
      <c r="B36" s="42" t="s">
        <v>54</v>
      </c>
      <c r="C36" s="78">
        <v>598219.03</v>
      </c>
      <c r="D36" s="178"/>
      <c r="E36" s="69"/>
      <c r="F36" s="17"/>
    </row>
    <row r="37" spans="1:6" ht="13" x14ac:dyDescent="0.15">
      <c r="A37" s="136"/>
      <c r="B37" s="42" t="s">
        <v>63</v>
      </c>
      <c r="C37" s="182">
        <f>C34-C36</f>
        <v>105930</v>
      </c>
      <c r="D37" s="170"/>
      <c r="E37" s="170"/>
      <c r="F37" s="17"/>
    </row>
    <row r="38" spans="1:6" ht="13" x14ac:dyDescent="0.15">
      <c r="A38" s="18">
        <v>751</v>
      </c>
      <c r="B38" s="106" t="s">
        <v>58</v>
      </c>
      <c r="C38" s="107">
        <v>305000</v>
      </c>
      <c r="D38" s="17"/>
      <c r="E38" s="17"/>
      <c r="F38" s="17"/>
    </row>
    <row r="39" spans="1:6" ht="13" x14ac:dyDescent="0.15">
      <c r="A39" s="2"/>
      <c r="B39" s="106" t="s">
        <v>64</v>
      </c>
      <c r="C39" s="191">
        <f>C26+C32+C33+C34+C38</f>
        <v>2942049.3</v>
      </c>
      <c r="D39" s="96"/>
      <c r="E39" s="17"/>
      <c r="F39" s="17"/>
    </row>
    <row r="40" spans="1:6" ht="13" x14ac:dyDescent="0.15">
      <c r="A40" s="2"/>
      <c r="B40" s="119" t="s">
        <v>65</v>
      </c>
      <c r="C40" s="128"/>
      <c r="D40" s="132"/>
      <c r="E40" s="132"/>
      <c r="F40" s="132"/>
    </row>
    <row r="41" spans="1:6" ht="13" x14ac:dyDescent="0.15">
      <c r="A41" s="2"/>
      <c r="B41" s="38" t="s">
        <v>66</v>
      </c>
      <c r="C41" s="56"/>
      <c r="D41" s="43"/>
      <c r="E41" s="43"/>
      <c r="F41" s="43"/>
    </row>
    <row r="42" spans="1:6" ht="13" x14ac:dyDescent="0.15">
      <c r="A42" s="2"/>
      <c r="B42" s="38" t="s">
        <v>67</v>
      </c>
      <c r="C42" s="56"/>
      <c r="D42" s="43"/>
      <c r="E42" s="43"/>
      <c r="F42" s="43"/>
    </row>
    <row r="43" spans="1:6" ht="13" x14ac:dyDescent="0.15">
      <c r="A43" s="2"/>
      <c r="B43" s="38" t="s">
        <v>68</v>
      </c>
      <c r="C43" s="56"/>
      <c r="D43" s="43"/>
      <c r="E43" s="43"/>
      <c r="F43" s="43"/>
    </row>
    <row r="44" spans="1:6" ht="13" x14ac:dyDescent="0.15">
      <c r="A44" s="2"/>
      <c r="B44" s="38" t="s">
        <v>69</v>
      </c>
      <c r="C44" s="56"/>
      <c r="D44" s="43"/>
      <c r="E44" s="43"/>
      <c r="F44" s="43"/>
    </row>
    <row r="45" spans="1:6" ht="13" x14ac:dyDescent="0.15">
      <c r="A45" s="2"/>
      <c r="B45" s="149"/>
      <c r="C45" s="128"/>
      <c r="D45" s="132"/>
      <c r="E45" s="132"/>
      <c r="F45" s="132"/>
    </row>
    <row r="46" spans="1:6" ht="19.5" customHeight="1" x14ac:dyDescent="0.15">
      <c r="B46" s="150"/>
      <c r="C46" s="150"/>
      <c r="D46" s="151"/>
      <c r="E46" s="150"/>
      <c r="F46" s="150"/>
    </row>
    <row r="47" spans="1:6" ht="19.5" customHeight="1" x14ac:dyDescent="0.15">
      <c r="B47" s="152" t="s">
        <v>70</v>
      </c>
      <c r="C47" s="1"/>
      <c r="D47" s="176"/>
      <c r="E47" s="1"/>
    </row>
    <row r="48" spans="1:6" ht="19.5" customHeight="1" x14ac:dyDescent="0.15">
      <c r="A48" s="2"/>
      <c r="B48" s="202" t="s">
        <v>71</v>
      </c>
      <c r="C48" s="203">
        <v>2262536.12</v>
      </c>
      <c r="D48" s="185"/>
      <c r="E48" s="185"/>
      <c r="F48" s="8"/>
    </row>
    <row r="49" spans="1:6" ht="24" customHeight="1" x14ac:dyDescent="0.15">
      <c r="A49" s="2"/>
      <c r="B49" s="179" t="s">
        <v>84</v>
      </c>
      <c r="C49" s="184">
        <v>91675.62</v>
      </c>
      <c r="D49" s="185"/>
      <c r="E49" s="185"/>
      <c r="F49" s="8"/>
    </row>
    <row r="50" spans="1:6" ht="24" customHeight="1" x14ac:dyDescent="0.15">
      <c r="A50" s="2"/>
      <c r="B50" s="179" t="s">
        <v>78</v>
      </c>
      <c r="C50" s="205">
        <v>52734.49</v>
      </c>
      <c r="D50" s="185"/>
      <c r="E50" s="185"/>
      <c r="F50" s="8"/>
    </row>
    <row r="51" spans="1:6" ht="24" customHeight="1" x14ac:dyDescent="0.15">
      <c r="A51" s="2"/>
      <c r="B51" s="179" t="s">
        <v>85</v>
      </c>
      <c r="C51" s="184">
        <v>14519.88</v>
      </c>
      <c r="D51" s="185"/>
      <c r="E51" s="185"/>
      <c r="F51" s="8"/>
    </row>
    <row r="52" spans="1:6" ht="24" customHeight="1" x14ac:dyDescent="0.15">
      <c r="A52" s="2"/>
      <c r="B52" s="186" t="s">
        <v>86</v>
      </c>
      <c r="C52" s="184">
        <v>394880.27</v>
      </c>
      <c r="D52" s="185"/>
      <c r="E52" s="185"/>
      <c r="F52" s="8"/>
    </row>
    <row r="53" spans="1:6" ht="24" customHeight="1" x14ac:dyDescent="0.15">
      <c r="A53" s="2"/>
      <c r="B53" s="186" t="s">
        <v>87</v>
      </c>
      <c r="C53" s="184">
        <v>1423037.12</v>
      </c>
      <c r="D53" s="185"/>
      <c r="E53" s="185"/>
      <c r="F53" s="8"/>
    </row>
    <row r="54" spans="1:6" ht="24" customHeight="1" x14ac:dyDescent="0.15">
      <c r="A54" s="2"/>
      <c r="B54" s="186" t="s">
        <v>88</v>
      </c>
      <c r="C54" s="205">
        <v>15694.4</v>
      </c>
      <c r="D54" s="185"/>
      <c r="E54" s="185"/>
      <c r="F54" s="8"/>
    </row>
    <row r="55" spans="1:6" ht="24" customHeight="1" x14ac:dyDescent="0.15">
      <c r="A55" s="2"/>
      <c r="B55" s="186" t="s">
        <v>89</v>
      </c>
      <c r="C55" s="205">
        <v>1730.6</v>
      </c>
      <c r="D55" s="185"/>
      <c r="E55" s="185"/>
      <c r="F55" s="8"/>
    </row>
    <row r="56" spans="1:6" ht="24" customHeight="1" x14ac:dyDescent="0.15">
      <c r="A56" s="2"/>
      <c r="B56" s="186" t="s">
        <v>90</v>
      </c>
      <c r="C56" s="207">
        <v>2845.86</v>
      </c>
      <c r="D56" s="185"/>
      <c r="E56" s="185"/>
      <c r="F56" s="8"/>
    </row>
    <row r="57" spans="1:6" ht="24" customHeight="1" x14ac:dyDescent="0.15">
      <c r="A57" s="2"/>
      <c r="B57" s="179" t="s">
        <v>91</v>
      </c>
      <c r="C57" s="184">
        <v>45039.87</v>
      </c>
      <c r="D57" s="185"/>
      <c r="E57" s="185"/>
      <c r="F57" s="8"/>
    </row>
    <row r="58" spans="1:6" ht="24" customHeight="1" x14ac:dyDescent="0.15">
      <c r="A58" s="2"/>
      <c r="B58" s="186" t="s">
        <v>92</v>
      </c>
      <c r="C58" s="184">
        <v>67314.38</v>
      </c>
      <c r="D58" s="185"/>
      <c r="E58" s="185"/>
      <c r="F58" s="8"/>
    </row>
    <row r="59" spans="1:6" ht="24" customHeight="1" x14ac:dyDescent="0.15">
      <c r="A59" s="2"/>
      <c r="B59" s="186" t="s">
        <v>93</v>
      </c>
      <c r="C59" s="184">
        <v>18536.77</v>
      </c>
      <c r="D59" s="185"/>
      <c r="E59" s="185"/>
      <c r="F59" s="8"/>
    </row>
    <row r="60" spans="1:6" ht="24" customHeight="1" x14ac:dyDescent="0.15">
      <c r="A60" s="2"/>
      <c r="B60" s="186" t="s">
        <v>94</v>
      </c>
      <c r="C60" s="184">
        <v>35029.32</v>
      </c>
      <c r="D60" s="185"/>
      <c r="E60" s="185"/>
      <c r="F60" s="8"/>
    </row>
    <row r="61" spans="1:6" ht="24" customHeight="1" x14ac:dyDescent="0.15">
      <c r="A61" s="2"/>
      <c r="B61" s="186" t="s">
        <v>95</v>
      </c>
      <c r="C61" s="184">
        <v>99496.62</v>
      </c>
      <c r="D61" s="185"/>
      <c r="E61" s="185"/>
      <c r="F61" s="8"/>
    </row>
    <row r="62" spans="1:6" ht="24" customHeight="1" x14ac:dyDescent="0.15">
      <c r="A62" s="2"/>
      <c r="B62" s="228"/>
      <c r="C62" s="185"/>
      <c r="D62" s="185"/>
      <c r="E62" s="185"/>
      <c r="F62" s="8"/>
    </row>
    <row r="63" spans="1:6" ht="24" customHeight="1" x14ac:dyDescent="0.15">
      <c r="A63" s="2"/>
      <c r="B63" s="139" t="s">
        <v>118</v>
      </c>
      <c r="C63" s="250">
        <v>330103.03000000003</v>
      </c>
      <c r="D63" s="185"/>
      <c r="E63" s="185"/>
      <c r="F63" s="8"/>
    </row>
    <row r="64" spans="1:6" ht="19.5" customHeight="1" x14ac:dyDescent="0.15">
      <c r="A64" s="2"/>
      <c r="B64" s="188"/>
      <c r="C64" s="185"/>
      <c r="D64" s="185"/>
      <c r="E64" s="185"/>
      <c r="F64" s="8"/>
    </row>
    <row r="65" spans="1:6" ht="19.5" customHeight="1" x14ac:dyDescent="0.15">
      <c r="A65" s="2"/>
      <c r="B65" s="177" t="s">
        <v>81</v>
      </c>
      <c r="C65" s="189">
        <v>2592639.15</v>
      </c>
      <c r="D65" s="245"/>
      <c r="E65" s="96"/>
      <c r="F65" s="8"/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1.83203125" customWidth="1"/>
    <col min="8" max="8" width="14.16406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2"/>
      <c r="B2" s="4" t="s">
        <v>31</v>
      </c>
      <c r="C2" s="4">
        <v>2012</v>
      </c>
      <c r="D2" s="5"/>
      <c r="E2" s="5"/>
      <c r="F2" s="6"/>
      <c r="G2" s="8"/>
    </row>
    <row r="3" spans="1:7" ht="13" x14ac:dyDescent="0.15">
      <c r="A3" s="2"/>
      <c r="B3" s="7" t="s">
        <v>23</v>
      </c>
      <c r="C3" s="9"/>
      <c r="D3" s="10"/>
      <c r="E3" s="11"/>
      <c r="F3" s="12"/>
      <c r="G3" s="8"/>
    </row>
    <row r="4" spans="1:7" ht="13" x14ac:dyDescent="0.15">
      <c r="A4" s="2"/>
      <c r="B4" s="14"/>
      <c r="C4" s="16"/>
      <c r="D4" s="17"/>
      <c r="E4" s="17"/>
      <c r="F4" s="17"/>
      <c r="G4" s="8"/>
    </row>
    <row r="5" spans="1:7" ht="13" x14ac:dyDescent="0.15">
      <c r="A5" s="18">
        <v>41</v>
      </c>
      <c r="B5" s="23" t="s">
        <v>0</v>
      </c>
      <c r="C5" s="48">
        <f>SUM(C6:C13)</f>
        <v>1729871.8399999999</v>
      </c>
      <c r="D5" s="30"/>
      <c r="E5" s="30"/>
      <c r="F5" s="17"/>
      <c r="G5" s="8"/>
    </row>
    <row r="6" spans="1:7" ht="13" x14ac:dyDescent="0.15">
      <c r="A6" s="18">
        <v>411</v>
      </c>
      <c r="B6" s="26" t="s">
        <v>36</v>
      </c>
      <c r="C6" s="27">
        <v>1018139.83</v>
      </c>
      <c r="D6" s="17"/>
      <c r="E6" s="17"/>
      <c r="F6" s="28"/>
      <c r="G6" s="8"/>
    </row>
    <row r="7" spans="1:7" ht="13" x14ac:dyDescent="0.15">
      <c r="A7" s="18">
        <v>412</v>
      </c>
      <c r="B7" s="38" t="s">
        <v>37</v>
      </c>
      <c r="C7" s="27">
        <v>82042.600000000006</v>
      </c>
      <c r="D7" s="17"/>
      <c r="E7" s="17"/>
      <c r="F7" s="28"/>
      <c r="G7" s="8"/>
    </row>
    <row r="8" spans="1:7" ht="13" x14ac:dyDescent="0.15">
      <c r="A8" s="18">
        <v>413</v>
      </c>
      <c r="B8" s="38" t="s">
        <v>2</v>
      </c>
      <c r="C8" s="27">
        <v>475760.19</v>
      </c>
      <c r="D8" s="17"/>
      <c r="E8" s="17"/>
      <c r="F8" s="28"/>
      <c r="G8" s="8"/>
    </row>
    <row r="9" spans="1:7" ht="13" x14ac:dyDescent="0.15">
      <c r="A9" s="40">
        <v>414</v>
      </c>
      <c r="B9" s="26" t="s">
        <v>3</v>
      </c>
      <c r="C9" s="27">
        <v>22617.38</v>
      </c>
      <c r="D9" s="17"/>
      <c r="E9" s="17"/>
      <c r="F9" s="28"/>
      <c r="G9" s="8"/>
    </row>
    <row r="10" spans="1:7" ht="13" x14ac:dyDescent="0.15">
      <c r="A10" s="18">
        <v>415</v>
      </c>
      <c r="B10" s="42" t="s">
        <v>4</v>
      </c>
      <c r="C10" s="27">
        <v>13753.57</v>
      </c>
      <c r="D10" s="17"/>
      <c r="E10" s="17"/>
      <c r="F10" s="28"/>
      <c r="G10" s="8"/>
    </row>
    <row r="11" spans="1:7" ht="13" x14ac:dyDescent="0.15">
      <c r="A11" s="18">
        <v>416</v>
      </c>
      <c r="B11" s="26" t="s">
        <v>5</v>
      </c>
      <c r="C11" s="27">
        <v>7000</v>
      </c>
      <c r="D11" s="17"/>
      <c r="E11" s="17"/>
      <c r="F11" s="28"/>
      <c r="G11" s="8"/>
    </row>
    <row r="12" spans="1:7" ht="13" x14ac:dyDescent="0.15">
      <c r="A12" s="18">
        <v>417</v>
      </c>
      <c r="B12" s="26" t="s">
        <v>6</v>
      </c>
      <c r="C12" s="27">
        <v>82747.55</v>
      </c>
      <c r="D12" s="17"/>
      <c r="E12" s="17"/>
      <c r="F12" s="28"/>
      <c r="G12" s="8"/>
    </row>
    <row r="13" spans="1:7" ht="13" x14ac:dyDescent="0.15">
      <c r="A13" s="18">
        <v>418</v>
      </c>
      <c r="B13" s="26" t="s">
        <v>38</v>
      </c>
      <c r="C13" s="27">
        <v>27810.720000000001</v>
      </c>
      <c r="D13" s="17"/>
      <c r="E13" s="17"/>
      <c r="F13" s="28"/>
      <c r="G13" s="8"/>
    </row>
    <row r="14" spans="1:7" ht="13" x14ac:dyDescent="0.15">
      <c r="A14" s="18">
        <v>42</v>
      </c>
      <c r="B14" s="62" t="s">
        <v>7</v>
      </c>
      <c r="C14" s="16"/>
      <c r="D14" s="17"/>
      <c r="E14" s="17"/>
      <c r="F14" s="28"/>
      <c r="G14" s="8"/>
    </row>
    <row r="15" spans="1:7" ht="16.5" customHeight="1" x14ac:dyDescent="0.15">
      <c r="A15" s="59">
        <v>43</v>
      </c>
      <c r="B15" s="61" t="s">
        <v>8</v>
      </c>
      <c r="C15" s="63">
        <f>SUM(C16:C19)</f>
        <v>1172748.83</v>
      </c>
      <c r="D15" s="65"/>
      <c r="E15" s="63"/>
      <c r="F15" s="17"/>
      <c r="G15" s="8"/>
    </row>
    <row r="16" spans="1:7" ht="13" x14ac:dyDescent="0.15">
      <c r="A16" s="40" t="s">
        <v>40</v>
      </c>
      <c r="B16" s="42" t="s">
        <v>9</v>
      </c>
      <c r="C16" s="78">
        <v>543521.68999999994</v>
      </c>
      <c r="D16" s="69"/>
      <c r="E16" s="67"/>
      <c r="F16" s="17"/>
      <c r="G16" s="8"/>
    </row>
    <row r="17" spans="1:8" ht="31.5" customHeight="1" x14ac:dyDescent="0.15">
      <c r="A17" s="40" t="s">
        <v>41</v>
      </c>
      <c r="B17" s="42" t="s">
        <v>10</v>
      </c>
      <c r="C17" s="58">
        <v>150392.29</v>
      </c>
      <c r="D17" s="69"/>
      <c r="E17" s="67"/>
      <c r="F17" s="17"/>
      <c r="G17" s="8"/>
    </row>
    <row r="18" spans="1:8" ht="13" x14ac:dyDescent="0.15">
      <c r="A18" s="40" t="s">
        <v>42</v>
      </c>
      <c r="B18" s="71" t="s">
        <v>11</v>
      </c>
      <c r="C18" s="80">
        <v>98050.559999999998</v>
      </c>
      <c r="D18" s="67"/>
      <c r="E18" s="43"/>
      <c r="F18" s="124"/>
      <c r="G18" s="8"/>
    </row>
    <row r="19" spans="1:8" ht="13" x14ac:dyDescent="0.15">
      <c r="A19" s="40" t="s">
        <v>43</v>
      </c>
      <c r="B19" s="71" t="s">
        <v>44</v>
      </c>
      <c r="C19" s="69">
        <f>20000+360784.29</f>
        <v>380784.29</v>
      </c>
      <c r="D19" s="67"/>
      <c r="E19" s="43"/>
      <c r="F19" s="127"/>
      <c r="G19" s="8"/>
    </row>
    <row r="20" spans="1:8" ht="13" x14ac:dyDescent="0.15">
      <c r="A20" s="18">
        <v>44</v>
      </c>
      <c r="B20" s="129" t="s">
        <v>12</v>
      </c>
      <c r="C20" s="41"/>
      <c r="D20" s="41"/>
      <c r="E20" s="41"/>
      <c r="F20" s="17"/>
      <c r="G20" s="8"/>
    </row>
    <row r="21" spans="1:8" ht="13" x14ac:dyDescent="0.15">
      <c r="A21" s="18">
        <v>45</v>
      </c>
      <c r="B21" s="53" t="s">
        <v>58</v>
      </c>
      <c r="C21" s="41"/>
      <c r="D21" s="22"/>
      <c r="E21" s="22"/>
      <c r="F21" s="17"/>
      <c r="G21" s="8"/>
    </row>
    <row r="22" spans="1:8" ht="13" x14ac:dyDescent="0.15">
      <c r="A22" s="18">
        <v>46</v>
      </c>
      <c r="B22" s="131" t="s">
        <v>14</v>
      </c>
      <c r="C22" s="41">
        <f>713631.55+1773430.97</f>
        <v>2487062.52</v>
      </c>
      <c r="D22" s="22"/>
      <c r="E22" s="22"/>
      <c r="F22" s="17"/>
      <c r="G22" s="8"/>
      <c r="H22" s="133"/>
    </row>
    <row r="23" spans="1:8" ht="13" x14ac:dyDescent="0.15">
      <c r="A23" s="18">
        <v>47</v>
      </c>
      <c r="B23" s="131" t="s">
        <v>15</v>
      </c>
      <c r="C23" s="112">
        <v>339944.06</v>
      </c>
      <c r="D23" s="22"/>
      <c r="E23" s="22"/>
      <c r="F23" s="17"/>
      <c r="G23" s="8"/>
    </row>
    <row r="24" spans="1:8" ht="13" x14ac:dyDescent="0.15">
      <c r="A24" s="2"/>
      <c r="B24" s="131" t="s">
        <v>16</v>
      </c>
      <c r="C24" s="135">
        <v>5729627.25</v>
      </c>
      <c r="D24" s="141"/>
      <c r="E24" s="141"/>
      <c r="F24" s="17"/>
      <c r="G24" s="8"/>
    </row>
    <row r="25" spans="1:8" ht="13" x14ac:dyDescent="0.15">
      <c r="A25" s="2"/>
      <c r="B25" s="119" t="s">
        <v>59</v>
      </c>
      <c r="C25" s="128"/>
      <c r="D25" s="132"/>
      <c r="E25" s="132"/>
      <c r="F25" s="132"/>
      <c r="G25" s="8"/>
    </row>
    <row r="26" spans="1:8" ht="13" x14ac:dyDescent="0.15">
      <c r="A26" s="18">
        <v>71</v>
      </c>
      <c r="B26" s="23" t="s">
        <v>46</v>
      </c>
      <c r="C26" s="142">
        <f>SUM(C27:C31)</f>
        <v>1934183.4999999998</v>
      </c>
      <c r="D26" s="143"/>
      <c r="E26" s="143"/>
      <c r="F26" s="14"/>
      <c r="G26" s="8"/>
    </row>
    <row r="27" spans="1:8" ht="13" x14ac:dyDescent="0.15">
      <c r="A27" s="40">
        <v>711</v>
      </c>
      <c r="B27" s="42" t="s">
        <v>48</v>
      </c>
      <c r="C27" s="36">
        <v>957962.94</v>
      </c>
      <c r="D27" s="17"/>
      <c r="E27" s="17"/>
      <c r="F27" s="28"/>
      <c r="G27" s="8"/>
    </row>
    <row r="28" spans="1:8" ht="13" x14ac:dyDescent="0.15">
      <c r="A28" s="40">
        <v>713</v>
      </c>
      <c r="B28" s="42" t="s">
        <v>49</v>
      </c>
      <c r="C28" s="36">
        <v>84863.73</v>
      </c>
      <c r="D28" s="43"/>
      <c r="E28" s="43"/>
      <c r="F28" s="28"/>
      <c r="G28" s="8"/>
    </row>
    <row r="29" spans="1:8" ht="13" x14ac:dyDescent="0.15">
      <c r="A29" s="40">
        <v>714</v>
      </c>
      <c r="B29" s="42" t="s">
        <v>50</v>
      </c>
      <c r="C29" s="43">
        <f>1484.28+1312.5+1980.62+220668.69+7564.87</f>
        <v>233010.96</v>
      </c>
      <c r="D29" s="43"/>
      <c r="E29" s="43"/>
      <c r="F29" s="28"/>
      <c r="G29" s="8"/>
    </row>
    <row r="30" spans="1:8" ht="13" x14ac:dyDescent="0.15">
      <c r="A30" s="136"/>
      <c r="B30" s="42" t="s">
        <v>60</v>
      </c>
      <c r="C30" s="43">
        <f>1251.7+169422.22+333950.05+52309.62+28020.09</f>
        <v>584953.67999999993</v>
      </c>
      <c r="D30" s="43"/>
      <c r="E30" s="43"/>
      <c r="F30" s="28"/>
      <c r="G30" s="8"/>
    </row>
    <row r="31" spans="1:8" ht="13" x14ac:dyDescent="0.15">
      <c r="A31" s="40">
        <v>715</v>
      </c>
      <c r="B31" s="42" t="s">
        <v>61</v>
      </c>
      <c r="C31" s="27">
        <v>73392.19</v>
      </c>
      <c r="D31" s="43"/>
      <c r="E31" s="43"/>
      <c r="F31" s="28"/>
      <c r="G31" s="8"/>
    </row>
    <row r="32" spans="1:8" ht="13" x14ac:dyDescent="0.15">
      <c r="A32" s="18">
        <v>72</v>
      </c>
      <c r="B32" s="139" t="s">
        <v>51</v>
      </c>
      <c r="C32" s="107">
        <v>212782.3</v>
      </c>
      <c r="D32" s="17"/>
      <c r="E32" s="17"/>
      <c r="F32" s="43"/>
      <c r="G32" s="8"/>
    </row>
    <row r="33" spans="1:8" ht="13" x14ac:dyDescent="0.15">
      <c r="A33" s="140">
        <v>73</v>
      </c>
      <c r="B33" s="62" t="s">
        <v>62</v>
      </c>
      <c r="C33" s="145">
        <v>87139.06</v>
      </c>
      <c r="D33" s="65"/>
      <c r="E33" s="65"/>
      <c r="F33" s="148"/>
      <c r="G33" s="8"/>
    </row>
    <row r="34" spans="1:8" ht="13" x14ac:dyDescent="0.15">
      <c r="A34" s="18">
        <v>74</v>
      </c>
      <c r="B34" s="61" t="s">
        <v>52</v>
      </c>
      <c r="C34" s="63">
        <f>209683.49+3692875.55</f>
        <v>3902559.04</v>
      </c>
      <c r="D34" s="65"/>
      <c r="E34" s="65"/>
      <c r="F34" s="17"/>
      <c r="G34" s="8"/>
      <c r="H34" s="218"/>
    </row>
    <row r="35" spans="1:8" ht="13" x14ac:dyDescent="0.15">
      <c r="A35" s="40">
        <v>741</v>
      </c>
      <c r="B35" s="42" t="s">
        <v>53</v>
      </c>
      <c r="C35" s="78">
        <v>499367.61</v>
      </c>
      <c r="D35" s="69"/>
      <c r="E35" s="69"/>
      <c r="F35" s="17"/>
      <c r="G35" s="8"/>
    </row>
    <row r="36" spans="1:8" ht="13" x14ac:dyDescent="0.15">
      <c r="A36" s="40">
        <v>742</v>
      </c>
      <c r="B36" s="42" t="s">
        <v>54</v>
      </c>
      <c r="C36" s="78">
        <v>3100035</v>
      </c>
      <c r="D36" s="69"/>
      <c r="E36" s="69"/>
      <c r="F36" s="17"/>
      <c r="G36" s="8"/>
    </row>
    <row r="37" spans="1:8" ht="13" x14ac:dyDescent="0.15">
      <c r="A37" s="136"/>
      <c r="B37" s="42" t="s">
        <v>63</v>
      </c>
      <c r="C37" s="67">
        <f>C34-C35-C36</f>
        <v>303156.43000000017</v>
      </c>
      <c r="D37" s="69"/>
      <c r="E37" s="69"/>
      <c r="F37" s="17"/>
      <c r="G37" s="8"/>
    </row>
    <row r="38" spans="1:8" ht="13" x14ac:dyDescent="0.15">
      <c r="A38" s="18">
        <v>751</v>
      </c>
      <c r="B38" s="106" t="s">
        <v>58</v>
      </c>
      <c r="C38" s="107">
        <v>1007884.77</v>
      </c>
      <c r="D38" s="17"/>
      <c r="E38" s="17"/>
      <c r="F38" s="17"/>
      <c r="G38" s="8"/>
    </row>
    <row r="39" spans="1:8" ht="13" x14ac:dyDescent="0.15">
      <c r="A39" s="2"/>
      <c r="B39" s="106" t="s">
        <v>64</v>
      </c>
      <c r="C39" s="144">
        <v>7144548.6699999999</v>
      </c>
      <c r="D39" s="17"/>
      <c r="E39" s="17"/>
      <c r="F39" s="17"/>
      <c r="G39" s="8"/>
    </row>
    <row r="40" spans="1:8" ht="13" x14ac:dyDescent="0.15">
      <c r="A40" s="2"/>
      <c r="B40" s="119" t="s">
        <v>65</v>
      </c>
      <c r="C40" s="128"/>
      <c r="D40" s="132"/>
      <c r="E40" s="132"/>
      <c r="F40" s="132"/>
      <c r="G40" s="8"/>
    </row>
    <row r="41" spans="1:8" ht="13" x14ac:dyDescent="0.15">
      <c r="A41" s="2"/>
      <c r="B41" s="38" t="s">
        <v>66</v>
      </c>
      <c r="C41" s="56"/>
      <c r="D41" s="43"/>
      <c r="E41" s="43"/>
      <c r="F41" s="43"/>
      <c r="G41" s="8"/>
    </row>
    <row r="42" spans="1:8" ht="13" x14ac:dyDescent="0.15">
      <c r="A42" s="2"/>
      <c r="B42" s="38" t="s">
        <v>67</v>
      </c>
      <c r="C42" s="56"/>
      <c r="D42" s="43"/>
      <c r="E42" s="43"/>
      <c r="F42" s="43"/>
      <c r="G42" s="8"/>
    </row>
    <row r="43" spans="1:8" ht="13" x14ac:dyDescent="0.15">
      <c r="A43" s="2"/>
      <c r="B43" s="38" t="s">
        <v>68</v>
      </c>
      <c r="C43" s="56"/>
      <c r="D43" s="43"/>
      <c r="E43" s="43"/>
      <c r="F43" s="43"/>
      <c r="G43" s="8"/>
    </row>
    <row r="44" spans="1:8" ht="13" x14ac:dyDescent="0.15">
      <c r="A44" s="2"/>
      <c r="B44" s="38" t="s">
        <v>69</v>
      </c>
      <c r="C44" s="56"/>
      <c r="D44" s="43"/>
      <c r="E44" s="43"/>
      <c r="F44" s="43"/>
      <c r="G44" s="8"/>
    </row>
    <row r="45" spans="1:8" ht="13" x14ac:dyDescent="0.15">
      <c r="A45" s="2"/>
      <c r="B45" s="149"/>
      <c r="C45" s="128"/>
      <c r="D45" s="132"/>
      <c r="E45" s="132"/>
      <c r="F45" s="132"/>
      <c r="G45" s="8"/>
    </row>
    <row r="46" spans="1:8" ht="19.5" customHeight="1" x14ac:dyDescent="0.15">
      <c r="B46" s="150"/>
      <c r="C46" s="150"/>
      <c r="D46" s="151"/>
      <c r="E46" s="150"/>
      <c r="F46" s="150"/>
    </row>
    <row r="47" spans="1:8" ht="19.5" customHeight="1" x14ac:dyDescent="0.15">
      <c r="B47" s="152" t="s">
        <v>70</v>
      </c>
      <c r="C47" s="1"/>
      <c r="D47" s="176"/>
      <c r="E47" s="1"/>
    </row>
    <row r="48" spans="1:8" ht="19.5" customHeight="1" x14ac:dyDescent="0.15">
      <c r="A48" s="2"/>
      <c r="B48" s="177" t="s">
        <v>71</v>
      </c>
      <c r="C48" s="223">
        <f>SUM(C49:C67)</f>
        <v>5729627.2499999991</v>
      </c>
      <c r="D48" s="231"/>
      <c r="E48" s="233"/>
      <c r="F48" s="8"/>
    </row>
    <row r="49" spans="1:6" ht="19.5" customHeight="1" x14ac:dyDescent="0.15">
      <c r="A49" s="2"/>
      <c r="B49" s="179" t="s">
        <v>119</v>
      </c>
      <c r="C49" s="184">
        <v>272117.17</v>
      </c>
      <c r="D49" s="185"/>
      <c r="E49" s="185"/>
      <c r="F49" s="8"/>
    </row>
    <row r="50" spans="1:6" ht="19.5" customHeight="1" x14ac:dyDescent="0.15">
      <c r="A50" s="2"/>
      <c r="B50" s="179" t="s">
        <v>78</v>
      </c>
      <c r="C50" s="184">
        <v>232073.2</v>
      </c>
      <c r="D50" s="185"/>
      <c r="E50" s="185"/>
      <c r="F50" s="8"/>
    </row>
    <row r="51" spans="1:6" ht="19.5" customHeight="1" x14ac:dyDescent="0.15">
      <c r="A51" s="2"/>
      <c r="B51" s="186" t="s">
        <v>85</v>
      </c>
      <c r="C51" s="184">
        <v>55879.6</v>
      </c>
      <c r="D51" s="185"/>
      <c r="E51" s="185"/>
      <c r="F51" s="8"/>
    </row>
    <row r="52" spans="1:6" ht="19.5" customHeight="1" x14ac:dyDescent="0.15">
      <c r="A52" s="2"/>
      <c r="B52" s="186" t="s">
        <v>120</v>
      </c>
      <c r="C52" s="184">
        <v>91096.91</v>
      </c>
      <c r="D52" s="185"/>
      <c r="E52" s="185"/>
      <c r="F52" s="8"/>
    </row>
    <row r="53" spans="1:6" ht="19.5" customHeight="1" x14ac:dyDescent="0.15">
      <c r="A53" s="2"/>
      <c r="B53" s="186" t="s">
        <v>121</v>
      </c>
      <c r="C53" s="184">
        <v>604750.11</v>
      </c>
      <c r="D53" s="185"/>
      <c r="E53" s="185"/>
      <c r="F53" s="8"/>
    </row>
    <row r="54" spans="1:6" ht="19.5" customHeight="1" x14ac:dyDescent="0.15">
      <c r="A54" s="2"/>
      <c r="B54" s="186" t="s">
        <v>122</v>
      </c>
      <c r="C54" s="184">
        <v>311781.34000000003</v>
      </c>
      <c r="D54" s="185"/>
      <c r="E54" s="185"/>
      <c r="F54" s="8"/>
    </row>
    <row r="55" spans="1:6" ht="19.5" customHeight="1" x14ac:dyDescent="0.15">
      <c r="A55" s="2"/>
      <c r="B55" s="179" t="s">
        <v>123</v>
      </c>
      <c r="C55" s="184">
        <v>170350.05</v>
      </c>
      <c r="D55" s="185"/>
      <c r="E55" s="185"/>
      <c r="F55" s="8"/>
    </row>
    <row r="56" spans="1:6" ht="19.5" customHeight="1" x14ac:dyDescent="0.15">
      <c r="A56" s="2"/>
      <c r="B56" s="186" t="s">
        <v>124</v>
      </c>
      <c r="C56" s="184">
        <v>514058.3</v>
      </c>
      <c r="D56" s="185"/>
      <c r="E56" s="185"/>
      <c r="F56" s="8"/>
    </row>
    <row r="57" spans="1:6" ht="19.5" customHeight="1" x14ac:dyDescent="0.15">
      <c r="A57" s="2"/>
      <c r="B57" s="186" t="s">
        <v>125</v>
      </c>
      <c r="C57" s="184">
        <v>1559379.07</v>
      </c>
      <c r="D57" s="185"/>
      <c r="E57" s="185"/>
      <c r="F57" s="8"/>
    </row>
    <row r="58" spans="1:6" ht="19.5" customHeight="1" x14ac:dyDescent="0.15">
      <c r="A58" s="2"/>
      <c r="B58" s="179" t="s">
        <v>126</v>
      </c>
      <c r="C58" s="289">
        <v>191537.12</v>
      </c>
      <c r="D58" s="238"/>
      <c r="E58" s="238"/>
      <c r="F58" s="8"/>
    </row>
    <row r="59" spans="1:6" ht="19.5" customHeight="1" x14ac:dyDescent="0.15">
      <c r="A59" s="2"/>
      <c r="B59" s="186" t="s">
        <v>93</v>
      </c>
      <c r="C59" s="184">
        <v>56076.28</v>
      </c>
      <c r="D59" s="185"/>
      <c r="E59" s="185"/>
      <c r="F59" s="8"/>
    </row>
    <row r="60" spans="1:6" ht="19.5" customHeight="1" x14ac:dyDescent="0.15">
      <c r="A60" s="2"/>
      <c r="B60" s="186" t="s">
        <v>94</v>
      </c>
      <c r="C60" s="184">
        <v>122597.83</v>
      </c>
      <c r="D60" s="185"/>
      <c r="E60" s="185"/>
      <c r="F60" s="8"/>
    </row>
    <row r="61" spans="1:6" ht="19.5" customHeight="1" x14ac:dyDescent="0.15">
      <c r="A61" s="2"/>
      <c r="B61" s="186" t="s">
        <v>91</v>
      </c>
      <c r="C61" s="184">
        <v>106056.45</v>
      </c>
      <c r="D61" s="185"/>
      <c r="E61" s="185"/>
      <c r="F61" s="8"/>
    </row>
    <row r="62" spans="1:6" ht="19.5" customHeight="1" x14ac:dyDescent="0.15">
      <c r="A62" s="2"/>
      <c r="B62" s="186" t="s">
        <v>95</v>
      </c>
      <c r="C62" s="184">
        <v>228838.58</v>
      </c>
      <c r="D62" s="185"/>
      <c r="E62" s="185"/>
      <c r="F62" s="8"/>
    </row>
    <row r="63" spans="1:6" ht="19.5" customHeight="1" x14ac:dyDescent="0.15">
      <c r="A63" s="2"/>
      <c r="B63" s="186" t="s">
        <v>189</v>
      </c>
      <c r="C63" s="184">
        <v>173523.07</v>
      </c>
      <c r="D63" s="185"/>
      <c r="E63" s="185"/>
      <c r="F63" s="8"/>
    </row>
    <row r="64" spans="1:6" ht="19.5" customHeight="1" x14ac:dyDescent="0.15">
      <c r="A64" s="2"/>
      <c r="B64" s="186" t="s">
        <v>237</v>
      </c>
      <c r="C64" s="184">
        <v>269642.05</v>
      </c>
      <c r="D64" s="185"/>
      <c r="E64" s="185"/>
      <c r="F64" s="8"/>
    </row>
    <row r="65" spans="1:6" ht="19.5" customHeight="1" x14ac:dyDescent="0.15">
      <c r="A65" s="2"/>
      <c r="B65" s="186" t="s">
        <v>154</v>
      </c>
      <c r="C65" s="184">
        <v>47757.89</v>
      </c>
      <c r="D65" s="185"/>
      <c r="E65" s="185"/>
      <c r="F65" s="8"/>
    </row>
    <row r="66" spans="1:6" ht="19.5" customHeight="1" x14ac:dyDescent="0.15">
      <c r="A66" s="2"/>
      <c r="B66" s="186" t="s">
        <v>130</v>
      </c>
      <c r="C66" s="184">
        <v>350121.8</v>
      </c>
      <c r="D66" s="185"/>
      <c r="E66" s="185"/>
      <c r="F66" s="8"/>
    </row>
    <row r="67" spans="1:6" ht="19.5" customHeight="1" x14ac:dyDescent="0.15">
      <c r="A67" s="2"/>
      <c r="B67" s="186" t="s">
        <v>238</v>
      </c>
      <c r="C67" s="184">
        <v>371990.43</v>
      </c>
      <c r="D67" s="185"/>
      <c r="E67" s="185"/>
      <c r="F67" s="8"/>
    </row>
    <row r="68" spans="1:6" ht="19.5" customHeight="1" x14ac:dyDescent="0.15">
      <c r="A68" s="2"/>
      <c r="B68" s="228"/>
      <c r="C68" s="185"/>
      <c r="D68" s="185"/>
      <c r="E68" s="185"/>
      <c r="F68" s="8"/>
    </row>
    <row r="69" spans="1:6" ht="19.5" customHeight="1" x14ac:dyDescent="0.15">
      <c r="A69" s="2"/>
      <c r="B69" s="290" t="s">
        <v>239</v>
      </c>
      <c r="C69" s="292">
        <v>1406549.65</v>
      </c>
      <c r="D69" s="231"/>
      <c r="E69" s="231"/>
      <c r="F69" s="8"/>
    </row>
    <row r="70" spans="1:6" ht="19.5" customHeight="1" x14ac:dyDescent="0.15">
      <c r="A70" s="2"/>
      <c r="B70" s="228"/>
      <c r="C70" s="185"/>
      <c r="D70" s="231"/>
      <c r="E70" s="233"/>
      <c r="F70" s="8"/>
    </row>
    <row r="71" spans="1:6" ht="19.5" customHeight="1" x14ac:dyDescent="0.15">
      <c r="A71" s="2"/>
      <c r="B71" s="177" t="s">
        <v>81</v>
      </c>
      <c r="C71" s="294">
        <f>SUM(C69+C48)</f>
        <v>7136176.8999999985</v>
      </c>
      <c r="D71" s="190"/>
      <c r="E71" s="190"/>
      <c r="F71" s="8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8" width="11.83203125" customWidth="1"/>
  </cols>
  <sheetData>
    <row r="1" spans="1:8" ht="27.75" customHeight="1" x14ac:dyDescent="0.15">
      <c r="B1" s="1"/>
      <c r="C1" s="1"/>
      <c r="D1" s="1"/>
      <c r="E1" s="1"/>
      <c r="F1" s="1"/>
    </row>
    <row r="2" spans="1:8" ht="13" x14ac:dyDescent="0.15">
      <c r="A2" s="2"/>
      <c r="B2" s="4" t="s">
        <v>34</v>
      </c>
      <c r="C2" s="33">
        <v>2012</v>
      </c>
      <c r="D2" s="35"/>
      <c r="E2" s="35"/>
      <c r="F2" s="6"/>
      <c r="G2" s="8"/>
    </row>
    <row r="3" spans="1:8" ht="13" x14ac:dyDescent="0.15">
      <c r="A3" s="2"/>
      <c r="B3" s="7" t="s">
        <v>23</v>
      </c>
      <c r="C3" s="37"/>
      <c r="D3" s="39"/>
      <c r="E3" s="39"/>
      <c r="F3" s="12"/>
      <c r="G3" s="8"/>
    </row>
    <row r="4" spans="1:8" ht="13" x14ac:dyDescent="0.15">
      <c r="A4" s="2"/>
      <c r="B4" s="14"/>
      <c r="C4" s="41"/>
      <c r="D4" s="22"/>
      <c r="E4" s="22"/>
      <c r="F4" s="17"/>
      <c r="G4" s="8"/>
    </row>
    <row r="5" spans="1:8" ht="13" x14ac:dyDescent="0.15">
      <c r="A5" s="18">
        <v>41</v>
      </c>
      <c r="B5" s="23" t="s">
        <v>0</v>
      </c>
      <c r="C5" s="137">
        <f>SUM(C6:C13)</f>
        <v>3372689.9299999997</v>
      </c>
      <c r="D5" s="22"/>
      <c r="E5" s="22"/>
      <c r="F5" s="17"/>
      <c r="G5" s="8"/>
    </row>
    <row r="6" spans="1:8" ht="13" x14ac:dyDescent="0.15">
      <c r="A6" s="18">
        <v>411</v>
      </c>
      <c r="B6" s="26" t="s">
        <v>36</v>
      </c>
      <c r="C6" s="51">
        <v>1837885.19</v>
      </c>
      <c r="D6" s="82"/>
      <c r="E6" s="82"/>
      <c r="F6" s="28"/>
      <c r="G6" s="8"/>
    </row>
    <row r="7" spans="1:8" ht="13" x14ac:dyDescent="0.15">
      <c r="A7" s="18">
        <v>412</v>
      </c>
      <c r="B7" s="38" t="s">
        <v>37</v>
      </c>
      <c r="C7" s="51">
        <v>149817</v>
      </c>
      <c r="D7" s="82"/>
      <c r="E7" s="82"/>
      <c r="F7" s="28"/>
      <c r="G7" s="8"/>
    </row>
    <row r="8" spans="1:8" ht="13" x14ac:dyDescent="0.15">
      <c r="A8" s="18">
        <v>413</v>
      </c>
      <c r="B8" s="38" t="s">
        <v>2</v>
      </c>
      <c r="C8" s="97">
        <v>1029148.69</v>
      </c>
      <c r="D8" s="83"/>
      <c r="E8" s="82"/>
      <c r="F8" s="28"/>
      <c r="G8" s="8"/>
    </row>
    <row r="9" spans="1:8" ht="13" x14ac:dyDescent="0.15">
      <c r="A9" s="40">
        <v>414</v>
      </c>
      <c r="B9" s="26" t="s">
        <v>3</v>
      </c>
      <c r="C9" s="51">
        <v>56763.01</v>
      </c>
      <c r="D9" s="82"/>
      <c r="E9" s="82"/>
      <c r="F9" s="28"/>
      <c r="G9" s="8"/>
    </row>
    <row r="10" spans="1:8" ht="13" x14ac:dyDescent="0.15">
      <c r="A10" s="18">
        <v>415</v>
      </c>
      <c r="B10" s="42" t="s">
        <v>4</v>
      </c>
      <c r="C10" s="51">
        <v>111843.73</v>
      </c>
      <c r="D10" s="83"/>
      <c r="E10" s="82"/>
      <c r="F10" s="28"/>
      <c r="G10" s="8"/>
    </row>
    <row r="11" spans="1:8" ht="13" x14ac:dyDescent="0.15">
      <c r="A11" s="18">
        <v>416</v>
      </c>
      <c r="B11" s="26" t="s">
        <v>5</v>
      </c>
      <c r="C11" s="51">
        <v>3965.86</v>
      </c>
      <c r="D11" s="82"/>
      <c r="E11" s="82"/>
      <c r="F11" s="28"/>
      <c r="G11" s="8"/>
    </row>
    <row r="12" spans="1:8" ht="13" x14ac:dyDescent="0.15">
      <c r="A12" s="18">
        <v>417</v>
      </c>
      <c r="B12" s="26" t="s">
        <v>6</v>
      </c>
      <c r="C12" s="51">
        <v>183266.45</v>
      </c>
      <c r="D12" s="82"/>
      <c r="E12" s="82"/>
      <c r="F12" s="28"/>
      <c r="G12" s="8"/>
    </row>
    <row r="13" spans="1:8" ht="13" x14ac:dyDescent="0.15">
      <c r="A13" s="18">
        <v>418</v>
      </c>
      <c r="B13" s="26" t="s">
        <v>38</v>
      </c>
      <c r="C13" s="83"/>
      <c r="D13" s="22"/>
      <c r="E13" s="22"/>
      <c r="F13" s="28"/>
      <c r="G13" s="8"/>
    </row>
    <row r="14" spans="1:8" ht="13" x14ac:dyDescent="0.15">
      <c r="A14" s="18">
        <v>42</v>
      </c>
      <c r="B14" s="62" t="s">
        <v>7</v>
      </c>
      <c r="C14" s="41">
        <f>42952.5+41573.9</f>
        <v>84526.399999999994</v>
      </c>
      <c r="D14" s="22"/>
      <c r="E14" s="22"/>
      <c r="F14" s="28"/>
      <c r="G14" s="8"/>
      <c r="H14" s="133"/>
    </row>
    <row r="15" spans="1:8" ht="16.5" customHeight="1" x14ac:dyDescent="0.15">
      <c r="A15" s="59">
        <v>43</v>
      </c>
      <c r="B15" s="61" t="s">
        <v>8</v>
      </c>
      <c r="C15" s="226">
        <f>SUM(C16:C19)</f>
        <v>2788606.92</v>
      </c>
      <c r="D15" s="94"/>
      <c r="E15" s="94"/>
      <c r="F15" s="17"/>
      <c r="G15" s="8"/>
    </row>
    <row r="16" spans="1:8" ht="13" x14ac:dyDescent="0.15">
      <c r="A16" s="40" t="s">
        <v>40</v>
      </c>
      <c r="B16" s="42" t="s">
        <v>9</v>
      </c>
      <c r="C16" s="51">
        <v>854345.44</v>
      </c>
      <c r="D16" s="82"/>
      <c r="E16" s="82"/>
      <c r="F16" s="17"/>
      <c r="G16" s="8"/>
    </row>
    <row r="17" spans="1:8" ht="31.5" customHeight="1" x14ac:dyDescent="0.15">
      <c r="A17" s="40" t="s">
        <v>41</v>
      </c>
      <c r="B17" s="42" t="s">
        <v>10</v>
      </c>
      <c r="C17" s="92">
        <f>4400+91476</f>
        <v>95876</v>
      </c>
      <c r="D17" s="178"/>
      <c r="E17" s="170"/>
      <c r="F17" s="17"/>
      <c r="G17" s="8"/>
    </row>
    <row r="18" spans="1:8" ht="13" x14ac:dyDescent="0.15">
      <c r="A18" s="40" t="s">
        <v>42</v>
      </c>
      <c r="B18" s="71" t="s">
        <v>11</v>
      </c>
      <c r="C18" s="97">
        <v>168175.48</v>
      </c>
      <c r="D18" s="82"/>
      <c r="E18" s="82"/>
      <c r="F18" s="96"/>
      <c r="G18" s="8"/>
    </row>
    <row r="19" spans="1:8" ht="13" x14ac:dyDescent="0.15">
      <c r="A19" s="40" t="s">
        <v>43</v>
      </c>
      <c r="B19" s="71" t="s">
        <v>44</v>
      </c>
      <c r="C19" s="51">
        <v>1670210</v>
      </c>
      <c r="D19" s="82"/>
      <c r="E19" s="82"/>
      <c r="F19" s="96"/>
      <c r="G19" s="8"/>
    </row>
    <row r="20" spans="1:8" ht="13" x14ac:dyDescent="0.15">
      <c r="A20" s="18">
        <v>44</v>
      </c>
      <c r="B20" s="129" t="s">
        <v>12</v>
      </c>
      <c r="C20" s="112">
        <v>5430069.7699999996</v>
      </c>
      <c r="D20" s="22"/>
      <c r="E20" s="22"/>
      <c r="F20" s="17"/>
      <c r="G20" s="8"/>
    </row>
    <row r="21" spans="1:8" ht="13" x14ac:dyDescent="0.15">
      <c r="A21" s="18">
        <v>45</v>
      </c>
      <c r="B21" s="62" t="s">
        <v>58</v>
      </c>
      <c r="C21" s="41"/>
      <c r="D21" s="22"/>
      <c r="E21" s="22"/>
      <c r="F21" s="17"/>
      <c r="G21" s="8"/>
    </row>
    <row r="22" spans="1:8" ht="13" x14ac:dyDescent="0.15">
      <c r="A22" s="18">
        <v>46</v>
      </c>
      <c r="B22" s="23" t="s">
        <v>14</v>
      </c>
      <c r="C22" s="41">
        <f>889526.42+3539495.12</f>
        <v>4429021.54</v>
      </c>
      <c r="D22" s="41"/>
      <c r="E22" s="41"/>
      <c r="F22" s="17"/>
      <c r="G22" s="8"/>
    </row>
    <row r="23" spans="1:8" ht="13" x14ac:dyDescent="0.15">
      <c r="A23" s="18">
        <v>47</v>
      </c>
      <c r="B23" s="23" t="s">
        <v>15</v>
      </c>
      <c r="C23" s="112">
        <v>184457.83</v>
      </c>
      <c r="D23" s="41"/>
      <c r="E23" s="41"/>
      <c r="F23" s="17"/>
      <c r="G23" s="8"/>
      <c r="H23" s="98"/>
    </row>
    <row r="24" spans="1:8" ht="13" x14ac:dyDescent="0.15">
      <c r="A24" s="2"/>
      <c r="B24" s="23" t="s">
        <v>16</v>
      </c>
      <c r="C24" s="100">
        <v>16289372.390000001</v>
      </c>
      <c r="D24" s="22"/>
      <c r="E24" s="22"/>
      <c r="F24" s="17"/>
      <c r="G24" s="8"/>
    </row>
    <row r="25" spans="1:8" ht="13" x14ac:dyDescent="0.15">
      <c r="A25" s="2"/>
      <c r="B25" s="119" t="s">
        <v>59</v>
      </c>
      <c r="C25" s="37"/>
      <c r="D25" s="181"/>
      <c r="E25" s="181"/>
      <c r="F25" s="132"/>
      <c r="G25" s="8"/>
    </row>
    <row r="26" spans="1:8" ht="13" x14ac:dyDescent="0.15">
      <c r="A26" s="18">
        <v>71</v>
      </c>
      <c r="B26" s="131" t="s">
        <v>46</v>
      </c>
      <c r="C26" s="299">
        <f>SUM(C27:C31)</f>
        <v>14130559.870000001</v>
      </c>
      <c r="D26" s="22"/>
      <c r="E26" s="22"/>
      <c r="F26" s="14"/>
      <c r="G26" s="8"/>
    </row>
    <row r="27" spans="1:8" ht="13" x14ac:dyDescent="0.15">
      <c r="A27" s="40">
        <v>711</v>
      </c>
      <c r="B27" s="254" t="s">
        <v>48</v>
      </c>
      <c r="C27" s="51">
        <v>7466834.0899999999</v>
      </c>
      <c r="D27" s="82"/>
      <c r="E27" s="82"/>
      <c r="F27" s="28"/>
      <c r="G27" s="8"/>
    </row>
    <row r="28" spans="1:8" ht="13" x14ac:dyDescent="0.15">
      <c r="A28" s="40">
        <v>713</v>
      </c>
      <c r="B28" s="254" t="s">
        <v>49</v>
      </c>
      <c r="C28" s="51">
        <v>368626.79</v>
      </c>
      <c r="D28" s="82"/>
      <c r="E28" s="82"/>
      <c r="F28" s="28"/>
      <c r="G28" s="8"/>
    </row>
    <row r="29" spans="1:8" ht="13" x14ac:dyDescent="0.15">
      <c r="A29" s="40">
        <v>714</v>
      </c>
      <c r="B29" s="254" t="s">
        <v>50</v>
      </c>
      <c r="C29" s="82">
        <f>57965.18+62674.45+20870.96+35497.85</f>
        <v>177008.44</v>
      </c>
      <c r="D29" s="82"/>
      <c r="E29" s="82"/>
      <c r="F29" s="28"/>
      <c r="G29" s="8"/>
    </row>
    <row r="30" spans="1:8" ht="13" x14ac:dyDescent="0.15">
      <c r="A30" s="136"/>
      <c r="B30" s="254" t="s">
        <v>60</v>
      </c>
      <c r="C30" s="82">
        <f>811556.48+4834234.49+138812.43+69682.98</f>
        <v>5854286.3800000008</v>
      </c>
      <c r="D30" s="82"/>
      <c r="E30" s="82"/>
      <c r="F30" s="28"/>
      <c r="G30" s="8"/>
    </row>
    <row r="31" spans="1:8" ht="13" x14ac:dyDescent="0.15">
      <c r="A31" s="40">
        <v>715</v>
      </c>
      <c r="B31" s="254" t="s">
        <v>61</v>
      </c>
      <c r="C31" s="51">
        <v>263804.17</v>
      </c>
      <c r="D31" s="82"/>
      <c r="E31" s="82"/>
      <c r="F31" s="28"/>
      <c r="G31" s="8"/>
    </row>
    <row r="32" spans="1:8" ht="13" x14ac:dyDescent="0.15">
      <c r="A32" s="18">
        <v>72</v>
      </c>
      <c r="B32" s="139" t="s">
        <v>51</v>
      </c>
      <c r="C32" s="112">
        <v>1594074.26</v>
      </c>
      <c r="D32" s="22"/>
      <c r="E32" s="302"/>
      <c r="F32" s="43"/>
      <c r="G32" s="8"/>
    </row>
    <row r="33" spans="1:7" ht="18" customHeight="1" x14ac:dyDescent="0.15">
      <c r="A33" s="140">
        <v>73</v>
      </c>
      <c r="B33" s="53" t="s">
        <v>62</v>
      </c>
      <c r="C33" s="303">
        <v>39367.620000000003</v>
      </c>
      <c r="D33" s="282"/>
      <c r="E33" s="94"/>
      <c r="F33" s="148"/>
      <c r="G33" s="8"/>
    </row>
    <row r="34" spans="1:7" ht="13" x14ac:dyDescent="0.15">
      <c r="A34" s="18">
        <v>74</v>
      </c>
      <c r="B34" s="304" t="s">
        <v>52</v>
      </c>
      <c r="C34" s="95"/>
      <c r="D34" s="94"/>
      <c r="E34" s="94"/>
      <c r="F34" s="17"/>
      <c r="G34" s="8"/>
    </row>
    <row r="35" spans="1:7" ht="13" x14ac:dyDescent="0.15">
      <c r="A35" s="40">
        <v>741</v>
      </c>
      <c r="B35" s="254" t="s">
        <v>53</v>
      </c>
      <c r="C35" s="95"/>
      <c r="D35" s="94"/>
      <c r="E35" s="94"/>
      <c r="F35" s="17"/>
      <c r="G35" s="8"/>
    </row>
    <row r="36" spans="1:7" ht="13" x14ac:dyDescent="0.15">
      <c r="A36" s="40">
        <v>742</v>
      </c>
      <c r="B36" s="254" t="s">
        <v>54</v>
      </c>
      <c r="C36" s="95"/>
      <c r="D36" s="94"/>
      <c r="E36" s="94"/>
      <c r="F36" s="17"/>
      <c r="G36" s="8"/>
    </row>
    <row r="37" spans="1:7" ht="13" x14ac:dyDescent="0.15">
      <c r="A37" s="136"/>
      <c r="B37" s="254" t="s">
        <v>63</v>
      </c>
      <c r="C37" s="95"/>
      <c r="D37" s="94"/>
      <c r="E37" s="94"/>
      <c r="F37" s="17"/>
      <c r="G37" s="8"/>
    </row>
    <row r="38" spans="1:7" ht="13" x14ac:dyDescent="0.15">
      <c r="A38" s="18">
        <v>751</v>
      </c>
      <c r="B38" s="129" t="s">
        <v>58</v>
      </c>
      <c r="C38" s="284">
        <v>593782.24</v>
      </c>
      <c r="D38" s="22"/>
      <c r="E38" s="22"/>
      <c r="F38" s="17"/>
      <c r="G38" s="8"/>
    </row>
    <row r="39" spans="1:7" ht="13" x14ac:dyDescent="0.15">
      <c r="A39" s="2"/>
      <c r="B39" s="129" t="s">
        <v>240</v>
      </c>
      <c r="C39" s="309">
        <v>16357783.99</v>
      </c>
      <c r="D39" s="310"/>
      <c r="E39" s="310"/>
      <c r="F39" s="17"/>
      <c r="G39" s="8"/>
    </row>
    <row r="40" spans="1:7" ht="13" x14ac:dyDescent="0.15">
      <c r="A40" s="2"/>
      <c r="B40" s="119" t="s">
        <v>65</v>
      </c>
      <c r="C40" s="37"/>
      <c r="D40" s="181"/>
      <c r="E40" s="181"/>
      <c r="F40" s="132"/>
      <c r="G40" s="8"/>
    </row>
    <row r="41" spans="1:7" ht="13" x14ac:dyDescent="0.15">
      <c r="A41" s="2"/>
      <c r="B41" s="38" t="s">
        <v>66</v>
      </c>
      <c r="C41" s="83"/>
      <c r="D41" s="82"/>
      <c r="E41" s="82"/>
      <c r="F41" s="43"/>
      <c r="G41" s="8"/>
    </row>
    <row r="42" spans="1:7" ht="13" x14ac:dyDescent="0.15">
      <c r="A42" s="2"/>
      <c r="B42" s="38" t="s">
        <v>67</v>
      </c>
      <c r="C42" s="83"/>
      <c r="D42" s="82"/>
      <c r="E42" s="82"/>
      <c r="F42" s="43"/>
      <c r="G42" s="8"/>
    </row>
    <row r="43" spans="1:7" ht="13" x14ac:dyDescent="0.15">
      <c r="A43" s="2"/>
      <c r="B43" s="38" t="s">
        <v>68</v>
      </c>
      <c r="C43" s="83"/>
      <c r="D43" s="82"/>
      <c r="E43" s="82"/>
      <c r="F43" s="43"/>
      <c r="G43" s="8"/>
    </row>
    <row r="44" spans="1:7" ht="13" x14ac:dyDescent="0.15">
      <c r="A44" s="2"/>
      <c r="B44" s="38" t="s">
        <v>69</v>
      </c>
      <c r="C44" s="83"/>
      <c r="D44" s="82"/>
      <c r="E44" s="82"/>
      <c r="F44" s="43"/>
      <c r="G44" s="8"/>
    </row>
    <row r="45" spans="1:7" ht="13" x14ac:dyDescent="0.15">
      <c r="A45" s="2"/>
      <c r="B45" s="149"/>
      <c r="C45" s="37"/>
      <c r="D45" s="181"/>
      <c r="E45" s="181"/>
      <c r="F45" s="132"/>
      <c r="G45" s="8"/>
    </row>
    <row r="46" spans="1:7" ht="19.5" customHeight="1" x14ac:dyDescent="0.15">
      <c r="B46" s="150"/>
      <c r="C46" s="150"/>
      <c r="D46" s="151"/>
      <c r="E46" s="150"/>
      <c r="F46" s="150"/>
    </row>
    <row r="47" spans="1:7" ht="19.5" customHeight="1" x14ac:dyDescent="0.15">
      <c r="B47" s="152" t="s">
        <v>70</v>
      </c>
      <c r="C47" s="1"/>
      <c r="D47" s="176"/>
      <c r="E47" s="1"/>
    </row>
    <row r="48" spans="1:7" ht="24" customHeight="1" x14ac:dyDescent="0.15">
      <c r="A48" s="2"/>
      <c r="B48" s="179" t="s">
        <v>99</v>
      </c>
      <c r="C48" s="184">
        <v>497406.67</v>
      </c>
      <c r="D48" s="185"/>
      <c r="E48" s="185"/>
      <c r="F48" s="8"/>
    </row>
    <row r="49" spans="1:6" ht="24" customHeight="1" x14ac:dyDescent="0.15">
      <c r="A49" s="2"/>
      <c r="B49" s="186" t="s">
        <v>158</v>
      </c>
      <c r="C49" s="184">
        <v>56018.11</v>
      </c>
      <c r="D49" s="185"/>
      <c r="E49" s="185"/>
      <c r="F49" s="8"/>
    </row>
    <row r="50" spans="1:6" ht="24" customHeight="1" x14ac:dyDescent="0.15">
      <c r="A50" s="2"/>
      <c r="B50" s="186" t="s">
        <v>78</v>
      </c>
      <c r="C50" s="184">
        <v>263528.19</v>
      </c>
      <c r="D50" s="185"/>
      <c r="E50" s="185"/>
      <c r="F50" s="8"/>
    </row>
    <row r="51" spans="1:6" ht="24" customHeight="1" x14ac:dyDescent="0.15">
      <c r="A51" s="2"/>
      <c r="B51" s="186" t="s">
        <v>241</v>
      </c>
      <c r="C51" s="184">
        <v>1349148.4</v>
      </c>
      <c r="D51" s="185"/>
      <c r="E51" s="185"/>
      <c r="F51" s="8"/>
    </row>
    <row r="52" spans="1:6" ht="24" customHeight="1" x14ac:dyDescent="0.15">
      <c r="A52" s="2"/>
      <c r="B52" s="186" t="s">
        <v>121</v>
      </c>
      <c r="C52" s="184">
        <v>2426851.86</v>
      </c>
      <c r="D52" s="185"/>
      <c r="E52" s="185"/>
      <c r="F52" s="8"/>
    </row>
    <row r="53" spans="1:6" ht="31.5" customHeight="1" x14ac:dyDescent="0.15">
      <c r="A53" s="2"/>
      <c r="B53" s="179" t="s">
        <v>242</v>
      </c>
      <c r="C53" s="289">
        <v>790275.55</v>
      </c>
      <c r="D53" s="238"/>
      <c r="E53" s="238"/>
      <c r="F53" s="8"/>
    </row>
    <row r="54" spans="1:6" ht="24" customHeight="1" x14ac:dyDescent="0.15">
      <c r="A54" s="2"/>
      <c r="B54" s="186" t="s">
        <v>243</v>
      </c>
      <c r="C54" s="184">
        <v>298144.96000000002</v>
      </c>
      <c r="D54" s="185"/>
      <c r="E54" s="185"/>
      <c r="F54" s="8"/>
    </row>
    <row r="55" spans="1:6" ht="24" customHeight="1" x14ac:dyDescent="0.15">
      <c r="A55" s="2"/>
      <c r="B55" s="186" t="s">
        <v>95</v>
      </c>
      <c r="C55" s="184">
        <v>304797.63</v>
      </c>
      <c r="D55" s="185"/>
      <c r="E55" s="185"/>
      <c r="F55" s="8"/>
    </row>
    <row r="56" spans="1:6" ht="24" customHeight="1" x14ac:dyDescent="0.15">
      <c r="A56" s="2"/>
      <c r="B56" s="179" t="s">
        <v>244</v>
      </c>
      <c r="C56" s="184">
        <v>892391.03</v>
      </c>
      <c r="D56" s="185"/>
      <c r="E56" s="185"/>
      <c r="F56" s="8"/>
    </row>
    <row r="57" spans="1:6" ht="19.5" customHeight="1" x14ac:dyDescent="0.15">
      <c r="A57" s="2"/>
      <c r="B57" s="312"/>
      <c r="C57" s="185"/>
      <c r="D57" s="185"/>
      <c r="E57" s="185"/>
      <c r="F57" s="8"/>
    </row>
    <row r="58" spans="1:6" ht="19.5" customHeight="1" x14ac:dyDescent="0.15">
      <c r="A58" s="2"/>
      <c r="B58" s="179" t="s">
        <v>245</v>
      </c>
      <c r="C58" s="184">
        <v>6878562.4000000004</v>
      </c>
      <c r="D58" s="185"/>
      <c r="E58" s="185"/>
      <c r="F58" s="8"/>
    </row>
    <row r="59" spans="1:6" ht="19.5" customHeight="1" x14ac:dyDescent="0.15">
      <c r="A59" s="2"/>
      <c r="B59" s="312"/>
      <c r="C59" s="185"/>
      <c r="D59" s="185"/>
      <c r="E59" s="185"/>
      <c r="F59" s="8"/>
    </row>
    <row r="60" spans="1:6" ht="19.5" customHeight="1" x14ac:dyDescent="0.15">
      <c r="A60" s="2"/>
      <c r="B60" s="179" t="s">
        <v>246</v>
      </c>
      <c r="C60" s="184">
        <v>9410809.9900000002</v>
      </c>
      <c r="D60" s="185"/>
      <c r="E60" s="185"/>
      <c r="F60" s="8"/>
    </row>
    <row r="61" spans="1:6" ht="19.5" customHeight="1" x14ac:dyDescent="0.15">
      <c r="A61" s="2"/>
      <c r="B61" s="228"/>
      <c r="C61" s="185"/>
      <c r="D61" s="185"/>
      <c r="E61" s="185"/>
      <c r="F61" s="8"/>
    </row>
    <row r="62" spans="1:6" ht="19.5" customHeight="1" x14ac:dyDescent="0.15">
      <c r="A62" s="2"/>
      <c r="B62" s="177" t="s">
        <v>81</v>
      </c>
      <c r="C62" s="334">
        <v>16289372.390000001</v>
      </c>
      <c r="D62" s="245"/>
      <c r="E62" s="245"/>
      <c r="F62" s="8"/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4" width="15.5" customWidth="1"/>
    <col min="5" max="5" width="11.83203125" customWidth="1"/>
  </cols>
  <sheetData>
    <row r="1" spans="1:5" ht="27.75" customHeight="1" x14ac:dyDescent="0.15">
      <c r="B1" s="1"/>
      <c r="C1" s="1"/>
      <c r="D1" s="1"/>
    </row>
    <row r="2" spans="1:5" ht="13" x14ac:dyDescent="0.15">
      <c r="A2" s="2"/>
      <c r="B2" s="4" t="s">
        <v>33</v>
      </c>
      <c r="C2" s="31">
        <v>2012</v>
      </c>
      <c r="D2" s="6"/>
      <c r="E2" s="8"/>
    </row>
    <row r="3" spans="1:5" ht="13" x14ac:dyDescent="0.15">
      <c r="A3" s="2"/>
      <c r="B3" s="7" t="s">
        <v>23</v>
      </c>
      <c r="C3" s="32"/>
      <c r="D3" s="12"/>
      <c r="E3" s="8"/>
    </row>
    <row r="4" spans="1:5" ht="13" x14ac:dyDescent="0.15">
      <c r="A4" s="2"/>
      <c r="B4" s="14"/>
      <c r="C4" s="17"/>
      <c r="D4" s="17"/>
      <c r="E4" s="8"/>
    </row>
    <row r="5" spans="1:5" ht="13" x14ac:dyDescent="0.15">
      <c r="A5" s="18">
        <v>41</v>
      </c>
      <c r="B5" s="23" t="s">
        <v>0</v>
      </c>
      <c r="C5" s="34">
        <f>SUM(C6:C13)</f>
        <v>709445.67999999993</v>
      </c>
      <c r="D5" s="17"/>
      <c r="E5" s="8"/>
    </row>
    <row r="6" spans="1:5" ht="13" x14ac:dyDescent="0.15">
      <c r="A6" s="18">
        <v>411</v>
      </c>
      <c r="B6" s="26" t="s">
        <v>36</v>
      </c>
      <c r="C6" s="36">
        <v>525275.22</v>
      </c>
      <c r="D6" s="28"/>
      <c r="E6" s="8"/>
    </row>
    <row r="7" spans="1:5" ht="13" x14ac:dyDescent="0.15">
      <c r="A7" s="18">
        <v>412</v>
      </c>
      <c r="B7" s="38" t="s">
        <v>37</v>
      </c>
      <c r="C7" s="36">
        <v>55070.78</v>
      </c>
      <c r="D7" s="28"/>
      <c r="E7" s="8"/>
    </row>
    <row r="8" spans="1:5" ht="13" x14ac:dyDescent="0.15">
      <c r="A8" s="18">
        <v>413</v>
      </c>
      <c r="B8" s="38" t="s">
        <v>2</v>
      </c>
      <c r="C8" s="36">
        <v>116341.18</v>
      </c>
      <c r="D8" s="28"/>
      <c r="E8" s="8"/>
    </row>
    <row r="9" spans="1:5" ht="13" x14ac:dyDescent="0.15">
      <c r="A9" s="40">
        <v>414</v>
      </c>
      <c r="B9" s="26" t="s">
        <v>3</v>
      </c>
      <c r="C9" s="36">
        <v>5962.67</v>
      </c>
      <c r="D9" s="28"/>
      <c r="E9" s="8"/>
    </row>
    <row r="10" spans="1:5" ht="13" x14ac:dyDescent="0.15">
      <c r="A10" s="18">
        <v>415</v>
      </c>
      <c r="B10" s="42" t="s">
        <v>4</v>
      </c>
      <c r="C10" s="43"/>
      <c r="D10" s="28"/>
      <c r="E10" s="8"/>
    </row>
    <row r="11" spans="1:5" ht="13" x14ac:dyDescent="0.15">
      <c r="A11" s="18">
        <v>416</v>
      </c>
      <c r="B11" s="26" t="s">
        <v>5</v>
      </c>
      <c r="C11" s="43"/>
      <c r="D11" s="28"/>
      <c r="E11" s="8"/>
    </row>
    <row r="12" spans="1:5" ht="13" x14ac:dyDescent="0.15">
      <c r="A12" s="18">
        <v>417</v>
      </c>
      <c r="B12" s="26" t="s">
        <v>6</v>
      </c>
      <c r="C12" s="36">
        <v>1138</v>
      </c>
      <c r="D12" s="28"/>
      <c r="E12" s="8"/>
    </row>
    <row r="13" spans="1:5" ht="13" x14ac:dyDescent="0.15">
      <c r="A13" s="18">
        <v>418</v>
      </c>
      <c r="B13" s="26" t="s">
        <v>38</v>
      </c>
      <c r="C13" s="36">
        <v>5657.83</v>
      </c>
      <c r="D13" s="28"/>
      <c r="E13" s="8"/>
    </row>
    <row r="14" spans="1:5" ht="13" x14ac:dyDescent="0.15">
      <c r="A14" s="18">
        <v>42</v>
      </c>
      <c r="B14" s="62" t="s">
        <v>7</v>
      </c>
      <c r="C14" s="123">
        <v>220</v>
      </c>
      <c r="D14" s="28"/>
      <c r="E14" s="8"/>
    </row>
    <row r="15" spans="1:5" ht="16.5" customHeight="1" x14ac:dyDescent="0.15">
      <c r="A15" s="59">
        <v>43</v>
      </c>
      <c r="B15" s="61" t="s">
        <v>8</v>
      </c>
      <c r="C15" s="63">
        <f>SUM(C16:C19)</f>
        <v>176025.45</v>
      </c>
      <c r="D15" s="17"/>
      <c r="E15" s="125"/>
    </row>
    <row r="16" spans="1:5" ht="13" x14ac:dyDescent="0.15">
      <c r="A16" s="40" t="s">
        <v>40</v>
      </c>
      <c r="B16" s="42" t="s">
        <v>9</v>
      </c>
      <c r="C16" s="67">
        <f>58800+5500+6300+2200+2200+1700+200+1000</f>
        <v>77900</v>
      </c>
      <c r="D16" s="17"/>
      <c r="E16" s="8"/>
    </row>
    <row r="17" spans="1:5" ht="31.5" customHeight="1" x14ac:dyDescent="0.15">
      <c r="A17" s="40" t="s">
        <v>41</v>
      </c>
      <c r="B17" s="42" t="s">
        <v>10</v>
      </c>
      <c r="C17" s="70">
        <f>4918+5000+1200+8007.45</f>
        <v>19125.45</v>
      </c>
      <c r="D17" s="17"/>
      <c r="E17" s="8"/>
    </row>
    <row r="18" spans="1:5" ht="13" x14ac:dyDescent="0.15">
      <c r="A18" s="40" t="s">
        <v>42</v>
      </c>
      <c r="B18" s="71" t="s">
        <v>11</v>
      </c>
      <c r="C18" s="43"/>
      <c r="D18" s="85"/>
    </row>
    <row r="19" spans="1:5" ht="13" x14ac:dyDescent="0.15">
      <c r="A19" s="40" t="s">
        <v>43</v>
      </c>
      <c r="B19" s="71" t="s">
        <v>44</v>
      </c>
      <c r="C19" s="43">
        <f>7000+72000</f>
        <v>79000</v>
      </c>
      <c r="D19" s="104"/>
    </row>
    <row r="20" spans="1:5" ht="13" x14ac:dyDescent="0.15">
      <c r="A20" s="18">
        <v>44</v>
      </c>
      <c r="B20" s="106" t="s">
        <v>12</v>
      </c>
      <c r="C20" s="123">
        <v>668039.06000000006</v>
      </c>
      <c r="D20" s="17"/>
      <c r="E20" s="8"/>
    </row>
    <row r="21" spans="1:5" ht="13" x14ac:dyDescent="0.15">
      <c r="A21" s="18">
        <v>45</v>
      </c>
      <c r="B21" s="62" t="s">
        <v>58</v>
      </c>
      <c r="C21" s="17"/>
      <c r="D21" s="17"/>
      <c r="E21" s="8"/>
    </row>
    <row r="22" spans="1:5" ht="13" x14ac:dyDescent="0.15">
      <c r="A22" s="18">
        <v>46</v>
      </c>
      <c r="B22" s="23" t="s">
        <v>14</v>
      </c>
      <c r="C22" s="17">
        <f>62201+23497.45</f>
        <v>85698.45</v>
      </c>
      <c r="D22" s="17"/>
      <c r="E22" s="8"/>
    </row>
    <row r="23" spans="1:5" ht="13" x14ac:dyDescent="0.15">
      <c r="A23" s="18">
        <v>47</v>
      </c>
      <c r="B23" s="23" t="s">
        <v>15</v>
      </c>
      <c r="C23" s="17">
        <f>20770+4399</f>
        <v>25169</v>
      </c>
      <c r="D23" s="17"/>
      <c r="E23" s="8"/>
    </row>
    <row r="24" spans="1:5" ht="13" x14ac:dyDescent="0.15">
      <c r="A24" s="2"/>
      <c r="B24" s="23" t="s">
        <v>16</v>
      </c>
      <c r="C24" s="130">
        <v>1664597.64</v>
      </c>
      <c r="D24" s="17"/>
      <c r="E24" s="8"/>
    </row>
    <row r="25" spans="1:5" ht="13" x14ac:dyDescent="0.15">
      <c r="A25" s="2"/>
      <c r="B25" s="119" t="s">
        <v>59</v>
      </c>
      <c r="C25" s="132"/>
      <c r="D25" s="132"/>
      <c r="E25" s="8"/>
    </row>
    <row r="26" spans="1:5" ht="13" x14ac:dyDescent="0.15">
      <c r="A26" s="18">
        <v>71</v>
      </c>
      <c r="B26" s="23" t="s">
        <v>46</v>
      </c>
      <c r="C26" s="134">
        <f>SUM(C27:C31)</f>
        <v>358500.45</v>
      </c>
      <c r="D26" s="14"/>
      <c r="E26" s="8"/>
    </row>
    <row r="27" spans="1:5" ht="13" x14ac:dyDescent="0.15">
      <c r="A27" s="40">
        <v>711</v>
      </c>
      <c r="B27" s="42" t="s">
        <v>48</v>
      </c>
      <c r="C27" s="36">
        <v>149958.67000000001</v>
      </c>
      <c r="D27" s="28"/>
      <c r="E27" s="8"/>
    </row>
    <row r="28" spans="1:5" ht="13" x14ac:dyDescent="0.15">
      <c r="A28" s="40">
        <v>713</v>
      </c>
      <c r="B28" s="42" t="s">
        <v>49</v>
      </c>
      <c r="C28" s="36">
        <v>21989.46</v>
      </c>
      <c r="D28" s="28"/>
      <c r="E28" s="8"/>
    </row>
    <row r="29" spans="1:5" ht="13" x14ac:dyDescent="0.15">
      <c r="A29" s="40">
        <v>714</v>
      </c>
      <c r="B29" s="42" t="s">
        <v>50</v>
      </c>
      <c r="C29" s="43">
        <f>1544.2+156535.96</f>
        <v>158080.16</v>
      </c>
      <c r="D29" s="28"/>
      <c r="E29" s="8"/>
    </row>
    <row r="30" spans="1:5" ht="13" x14ac:dyDescent="0.15">
      <c r="A30" s="136"/>
      <c r="B30" s="42" t="s">
        <v>60</v>
      </c>
      <c r="C30" s="43">
        <f>970.72+7919.9</f>
        <v>8890.619999999999</v>
      </c>
      <c r="D30" s="28"/>
      <c r="E30" s="8"/>
    </row>
    <row r="31" spans="1:5" ht="13" x14ac:dyDescent="0.15">
      <c r="A31" s="40">
        <v>715</v>
      </c>
      <c r="B31" s="42" t="s">
        <v>61</v>
      </c>
      <c r="C31" s="36">
        <v>19581.54</v>
      </c>
      <c r="D31" s="28"/>
      <c r="E31" s="8"/>
    </row>
    <row r="32" spans="1:5" ht="13" x14ac:dyDescent="0.15">
      <c r="A32" s="18">
        <v>72</v>
      </c>
      <c r="B32" s="139" t="s">
        <v>51</v>
      </c>
      <c r="C32" s="43"/>
      <c r="D32" s="43"/>
      <c r="E32" s="8"/>
    </row>
    <row r="33" spans="1:5" ht="18" customHeight="1" x14ac:dyDescent="0.15">
      <c r="A33" s="140">
        <v>73</v>
      </c>
      <c r="B33" s="62" t="s">
        <v>62</v>
      </c>
      <c r="C33" s="209">
        <v>891475.77</v>
      </c>
      <c r="D33" s="148"/>
      <c r="E33" s="8"/>
    </row>
    <row r="34" spans="1:5" ht="13" x14ac:dyDescent="0.15">
      <c r="A34" s="18">
        <v>74</v>
      </c>
      <c r="B34" s="61" t="s">
        <v>52</v>
      </c>
      <c r="C34" s="65">
        <f>123944+794399.46</f>
        <v>918343.46</v>
      </c>
      <c r="D34" s="17"/>
      <c r="E34" s="8"/>
    </row>
    <row r="35" spans="1:5" ht="13" x14ac:dyDescent="0.15">
      <c r="A35" s="40" t="s">
        <v>96</v>
      </c>
      <c r="B35" s="42" t="s">
        <v>53</v>
      </c>
      <c r="C35" s="69"/>
      <c r="D35" s="17"/>
      <c r="E35" s="8"/>
    </row>
    <row r="36" spans="1:5" ht="13" x14ac:dyDescent="0.15">
      <c r="A36" s="40" t="s">
        <v>97</v>
      </c>
      <c r="B36" s="42" t="s">
        <v>54</v>
      </c>
      <c r="C36" s="80">
        <v>775683</v>
      </c>
      <c r="D36" s="17"/>
      <c r="E36" s="8"/>
    </row>
    <row r="37" spans="1:5" ht="13" x14ac:dyDescent="0.15">
      <c r="A37" s="136"/>
      <c r="B37" s="42" t="s">
        <v>63</v>
      </c>
      <c r="C37" s="170">
        <f>C34-C36</f>
        <v>142660.45999999996</v>
      </c>
      <c r="D37" s="17"/>
      <c r="E37" s="8"/>
    </row>
    <row r="38" spans="1:5" ht="13" x14ac:dyDescent="0.15">
      <c r="A38" s="18">
        <v>751</v>
      </c>
      <c r="B38" s="106" t="s">
        <v>58</v>
      </c>
      <c r="C38" s="17"/>
      <c r="D38" s="17"/>
      <c r="E38" s="8"/>
    </row>
    <row r="39" spans="1:5" ht="13" x14ac:dyDescent="0.15">
      <c r="A39" s="2"/>
      <c r="B39" s="106" t="s">
        <v>64</v>
      </c>
      <c r="C39" s="221">
        <v>2168319.6800000002</v>
      </c>
      <c r="D39" s="17"/>
      <c r="E39" s="8"/>
    </row>
    <row r="40" spans="1:5" ht="13" x14ac:dyDescent="0.15">
      <c r="A40" s="2"/>
      <c r="B40" s="119" t="s">
        <v>65</v>
      </c>
      <c r="C40" s="132"/>
      <c r="D40" s="132"/>
      <c r="E40" s="8"/>
    </row>
    <row r="41" spans="1:5" ht="13" x14ac:dyDescent="0.15">
      <c r="A41" s="2"/>
      <c r="B41" s="38" t="s">
        <v>66</v>
      </c>
      <c r="C41" s="43"/>
      <c r="D41" s="43"/>
      <c r="E41" s="8"/>
    </row>
    <row r="42" spans="1:5" ht="13" x14ac:dyDescent="0.15">
      <c r="A42" s="2"/>
      <c r="B42" s="38" t="s">
        <v>98</v>
      </c>
      <c r="C42" s="43"/>
      <c r="D42" s="43"/>
      <c r="E42" s="8"/>
    </row>
    <row r="43" spans="1:5" ht="13" x14ac:dyDescent="0.15">
      <c r="A43" s="2"/>
      <c r="B43" s="38" t="s">
        <v>68</v>
      </c>
      <c r="C43" s="43"/>
      <c r="D43" s="43"/>
      <c r="E43" s="8"/>
    </row>
    <row r="44" spans="1:5" ht="13" x14ac:dyDescent="0.15">
      <c r="A44" s="2"/>
      <c r="B44" s="38" t="s">
        <v>69</v>
      </c>
      <c r="C44" s="43"/>
      <c r="D44" s="43"/>
      <c r="E44" s="8"/>
    </row>
    <row r="45" spans="1:5" ht="13" x14ac:dyDescent="0.15">
      <c r="A45" s="2"/>
      <c r="B45" s="149"/>
      <c r="C45" s="132"/>
      <c r="D45" s="132"/>
      <c r="E45" s="8"/>
    </row>
    <row r="46" spans="1:5" ht="19.5" customHeight="1" x14ac:dyDescent="0.15">
      <c r="B46" s="150"/>
      <c r="C46" s="150"/>
      <c r="D46" s="150"/>
    </row>
    <row r="47" spans="1:5" ht="19.5" customHeight="1" x14ac:dyDescent="0.15">
      <c r="B47" s="152" t="s">
        <v>70</v>
      </c>
      <c r="C47" s="1"/>
    </row>
    <row r="48" spans="1:5" ht="19.5" customHeight="1" x14ac:dyDescent="0.15">
      <c r="A48" s="2"/>
      <c r="B48" s="222" t="s">
        <v>71</v>
      </c>
      <c r="C48" s="224">
        <f>C71-C69</f>
        <v>996558.57999999984</v>
      </c>
      <c r="D48" s="8"/>
    </row>
    <row r="49" spans="1:4" ht="24" customHeight="1" x14ac:dyDescent="0.15">
      <c r="A49" s="2"/>
      <c r="B49" s="179" t="s">
        <v>99</v>
      </c>
      <c r="C49" s="184">
        <v>45539.65</v>
      </c>
      <c r="D49" s="8"/>
    </row>
    <row r="50" spans="1:4" ht="24" customHeight="1" x14ac:dyDescent="0.15">
      <c r="A50" s="2"/>
      <c r="B50" s="179" t="s">
        <v>100</v>
      </c>
      <c r="C50" s="184">
        <v>54350.97</v>
      </c>
      <c r="D50" s="8"/>
    </row>
    <row r="51" spans="1:4" ht="24" customHeight="1" x14ac:dyDescent="0.15">
      <c r="A51" s="2"/>
      <c r="B51" s="186" t="s">
        <v>101</v>
      </c>
      <c r="C51" s="184">
        <v>33709.519999999997</v>
      </c>
      <c r="D51" s="8"/>
    </row>
    <row r="52" spans="1:4" ht="24" customHeight="1" x14ac:dyDescent="0.15">
      <c r="A52" s="2"/>
      <c r="B52" s="186" t="s">
        <v>102</v>
      </c>
      <c r="C52" s="184">
        <v>81468.11</v>
      </c>
      <c r="D52" s="8"/>
    </row>
    <row r="53" spans="1:4" ht="24" customHeight="1" x14ac:dyDescent="0.15">
      <c r="A53" s="2"/>
      <c r="B53" s="186" t="s">
        <v>103</v>
      </c>
      <c r="C53" s="184">
        <v>457045.74</v>
      </c>
      <c r="D53" s="8"/>
    </row>
    <row r="54" spans="1:4" ht="24" customHeight="1" x14ac:dyDescent="0.15">
      <c r="A54" s="2"/>
      <c r="B54" s="186" t="s">
        <v>104</v>
      </c>
      <c r="C54" s="184">
        <v>70086.47</v>
      </c>
      <c r="D54" s="8"/>
    </row>
    <row r="55" spans="1:4" ht="24" customHeight="1" x14ac:dyDescent="0.15">
      <c r="A55" s="2"/>
      <c r="B55" s="186" t="s">
        <v>105</v>
      </c>
      <c r="C55" s="184">
        <v>1000</v>
      </c>
      <c r="D55" s="8"/>
    </row>
    <row r="56" spans="1:4" ht="24" customHeight="1" x14ac:dyDescent="0.15">
      <c r="A56" s="2"/>
      <c r="B56" s="179" t="s">
        <v>106</v>
      </c>
      <c r="C56" s="184">
        <v>200</v>
      </c>
      <c r="D56" s="8"/>
    </row>
    <row r="57" spans="1:4" ht="24" customHeight="1" x14ac:dyDescent="0.15">
      <c r="A57" s="2"/>
      <c r="B57" s="186" t="s">
        <v>107</v>
      </c>
      <c r="C57" s="184">
        <v>125163.67</v>
      </c>
      <c r="D57" s="8"/>
    </row>
    <row r="58" spans="1:4" ht="24" customHeight="1" x14ac:dyDescent="0.15">
      <c r="A58" s="2"/>
      <c r="B58" s="186" t="s">
        <v>108</v>
      </c>
      <c r="C58" s="185"/>
      <c r="D58" s="8"/>
    </row>
    <row r="59" spans="1:4" ht="24" customHeight="1" x14ac:dyDescent="0.15">
      <c r="A59" s="2"/>
      <c r="B59" s="186" t="s">
        <v>109</v>
      </c>
      <c r="C59" s="184">
        <v>17900</v>
      </c>
      <c r="D59" s="8"/>
    </row>
    <row r="60" spans="1:4" ht="24" customHeight="1" x14ac:dyDescent="0.15">
      <c r="A60" s="2"/>
      <c r="B60" s="186" t="s">
        <v>110</v>
      </c>
      <c r="C60" s="185"/>
      <c r="D60" s="8"/>
    </row>
    <row r="61" spans="1:4" ht="24" customHeight="1" x14ac:dyDescent="0.15">
      <c r="A61" s="2"/>
      <c r="B61" s="186" t="s">
        <v>111</v>
      </c>
      <c r="C61" s="184">
        <v>7000</v>
      </c>
      <c r="D61" s="8"/>
    </row>
    <row r="62" spans="1:4" ht="24" customHeight="1" x14ac:dyDescent="0.15">
      <c r="A62" s="2"/>
      <c r="B62" s="186" t="s">
        <v>112</v>
      </c>
      <c r="C62" s="184">
        <v>1200</v>
      </c>
      <c r="D62" s="8"/>
    </row>
    <row r="63" spans="1:4" ht="24" customHeight="1" x14ac:dyDescent="0.15">
      <c r="A63" s="2"/>
      <c r="B63" s="186" t="s">
        <v>113</v>
      </c>
      <c r="C63" s="184">
        <v>5000</v>
      </c>
      <c r="D63" s="8"/>
    </row>
    <row r="64" spans="1:4" ht="24" customHeight="1" x14ac:dyDescent="0.15">
      <c r="A64" s="2"/>
      <c r="B64" s="186" t="s">
        <v>114</v>
      </c>
      <c r="C64" s="184">
        <v>58800</v>
      </c>
      <c r="D64" s="8"/>
    </row>
    <row r="65" spans="1:4" ht="24" customHeight="1" x14ac:dyDescent="0.15">
      <c r="A65" s="2"/>
      <c r="B65" s="186" t="s">
        <v>115</v>
      </c>
      <c r="C65" s="184">
        <v>4918</v>
      </c>
      <c r="D65" s="8"/>
    </row>
    <row r="66" spans="1:4" ht="24" customHeight="1" x14ac:dyDescent="0.15">
      <c r="A66" s="2"/>
      <c r="B66" s="186" t="s">
        <v>116</v>
      </c>
      <c r="C66" s="184">
        <v>8007.45</v>
      </c>
      <c r="D66" s="8"/>
    </row>
    <row r="67" spans="1:4" ht="24" customHeight="1" x14ac:dyDescent="0.15">
      <c r="A67" s="2"/>
      <c r="B67" s="186" t="s">
        <v>117</v>
      </c>
      <c r="C67" s="184">
        <v>25169</v>
      </c>
      <c r="D67" s="8"/>
    </row>
    <row r="68" spans="1:4" ht="24" customHeight="1" x14ac:dyDescent="0.15">
      <c r="A68" s="2"/>
      <c r="B68" s="228"/>
      <c r="C68" s="185"/>
      <c r="D68" s="8"/>
    </row>
    <row r="69" spans="1:4" ht="24" customHeight="1" x14ac:dyDescent="0.15">
      <c r="A69" s="2"/>
      <c r="B69" s="274" t="s">
        <v>118</v>
      </c>
      <c r="C69" s="301">
        <v>668039.06000000006</v>
      </c>
      <c r="D69" s="8"/>
    </row>
    <row r="70" spans="1:4" ht="19.5" customHeight="1" x14ac:dyDescent="0.15">
      <c r="A70" s="2"/>
      <c r="B70" s="188"/>
      <c r="C70" s="185"/>
      <c r="D70" s="8"/>
    </row>
    <row r="71" spans="1:4" ht="19.5" customHeight="1" x14ac:dyDescent="0.15">
      <c r="A71" s="2"/>
      <c r="B71" s="337" t="s">
        <v>81</v>
      </c>
      <c r="C71" s="344">
        <v>1664597.64</v>
      </c>
      <c r="D71" s="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4.5" customWidth="1"/>
    <col min="8" max="8" width="16.5" customWidth="1"/>
  </cols>
  <sheetData>
    <row r="1" spans="1:8" ht="27.75" customHeight="1" x14ac:dyDescent="0.15">
      <c r="B1" s="1"/>
      <c r="C1" s="1"/>
      <c r="D1" s="1"/>
      <c r="E1" s="1"/>
      <c r="F1" s="1"/>
    </row>
    <row r="2" spans="1:8" ht="13" x14ac:dyDescent="0.15">
      <c r="A2" s="2"/>
      <c r="B2" s="4" t="s">
        <v>35</v>
      </c>
      <c r="C2" s="19">
        <v>2012</v>
      </c>
      <c r="D2" s="5"/>
      <c r="E2" s="5"/>
      <c r="F2" s="6"/>
      <c r="G2" s="8"/>
    </row>
    <row r="3" spans="1:8" ht="13" x14ac:dyDescent="0.15">
      <c r="A3" s="2"/>
      <c r="B3" s="7" t="s">
        <v>23</v>
      </c>
      <c r="C3" s="20"/>
      <c r="D3" s="10"/>
      <c r="E3" s="11"/>
      <c r="F3" s="12"/>
      <c r="G3" s="8"/>
    </row>
    <row r="4" spans="1:8" ht="13" x14ac:dyDescent="0.15">
      <c r="A4" s="2"/>
      <c r="B4" s="14"/>
      <c r="C4" s="21"/>
      <c r="D4" s="22"/>
      <c r="E4" s="22"/>
      <c r="F4" s="22"/>
      <c r="G4" s="8"/>
    </row>
    <row r="5" spans="1:8" ht="13" x14ac:dyDescent="0.15">
      <c r="A5" s="18">
        <v>41</v>
      </c>
      <c r="B5" s="23" t="s">
        <v>0</v>
      </c>
      <c r="C5" s="48">
        <f>SUM(C6:C13)</f>
        <v>5794366.0200000005</v>
      </c>
      <c r="D5" s="225"/>
      <c r="E5" s="91"/>
      <c r="F5" s="22"/>
      <c r="G5" s="8"/>
    </row>
    <row r="6" spans="1:8" ht="13" x14ac:dyDescent="0.15">
      <c r="A6" s="18">
        <v>411</v>
      </c>
      <c r="B6" s="26" t="s">
        <v>36</v>
      </c>
      <c r="C6" s="50">
        <v>2957400.84</v>
      </c>
      <c r="D6" s="82"/>
      <c r="E6" s="82"/>
      <c r="F6" s="55"/>
      <c r="G6" s="8"/>
    </row>
    <row r="7" spans="1:8" ht="13" x14ac:dyDescent="0.15">
      <c r="A7" s="18">
        <v>412</v>
      </c>
      <c r="B7" s="38" t="s">
        <v>37</v>
      </c>
      <c r="C7" s="50">
        <v>158247.1</v>
      </c>
      <c r="D7" s="82"/>
      <c r="E7" s="82"/>
      <c r="F7" s="55"/>
      <c r="G7" s="8"/>
    </row>
    <row r="8" spans="1:8" ht="13" x14ac:dyDescent="0.15">
      <c r="A8" s="18">
        <v>413</v>
      </c>
      <c r="B8" s="38" t="s">
        <v>2</v>
      </c>
      <c r="C8" s="50">
        <v>2484636.6800000002</v>
      </c>
      <c r="D8" s="82"/>
      <c r="E8" s="82"/>
      <c r="F8" s="55"/>
      <c r="G8" s="8"/>
    </row>
    <row r="9" spans="1:8" ht="13" x14ac:dyDescent="0.15">
      <c r="A9" s="40">
        <v>414</v>
      </c>
      <c r="B9" s="26" t="s">
        <v>3</v>
      </c>
      <c r="C9" s="50">
        <v>35209.72</v>
      </c>
      <c r="D9" s="82"/>
      <c r="E9" s="82"/>
      <c r="F9" s="55"/>
      <c r="G9" s="8"/>
    </row>
    <row r="10" spans="1:8" ht="13" x14ac:dyDescent="0.15">
      <c r="A10" s="18">
        <v>415</v>
      </c>
      <c r="B10" s="42" t="s">
        <v>4</v>
      </c>
      <c r="C10" s="50">
        <v>70650.03</v>
      </c>
      <c r="D10" s="82"/>
      <c r="E10" s="82"/>
      <c r="F10" s="55"/>
      <c r="G10" s="8"/>
      <c r="H10" s="98"/>
    </row>
    <row r="11" spans="1:8" ht="13" x14ac:dyDescent="0.15">
      <c r="A11" s="18">
        <v>416</v>
      </c>
      <c r="B11" s="26" t="s">
        <v>5</v>
      </c>
      <c r="C11" s="50">
        <v>88221.65</v>
      </c>
      <c r="D11" s="82"/>
      <c r="E11" s="82"/>
      <c r="F11" s="55"/>
      <c r="G11" s="8"/>
      <c r="H11" s="98"/>
    </row>
    <row r="12" spans="1:8" ht="13" x14ac:dyDescent="0.15">
      <c r="A12" s="18">
        <v>417</v>
      </c>
      <c r="B12" s="26" t="s">
        <v>6</v>
      </c>
      <c r="C12" s="52"/>
      <c r="D12" s="82"/>
      <c r="E12" s="82"/>
      <c r="F12" s="55"/>
      <c r="G12" s="227"/>
      <c r="H12" s="98"/>
    </row>
    <row r="13" spans="1:8" ht="13" x14ac:dyDescent="0.15">
      <c r="A13" s="18">
        <v>418</v>
      </c>
      <c r="B13" s="26" t="s">
        <v>38</v>
      </c>
      <c r="C13" s="52"/>
      <c r="D13" s="82"/>
      <c r="E13" s="82"/>
      <c r="F13" s="55"/>
      <c r="G13" s="8"/>
    </row>
    <row r="14" spans="1:8" ht="13" x14ac:dyDescent="0.15">
      <c r="A14" s="18">
        <v>42</v>
      </c>
      <c r="B14" s="62" t="s">
        <v>7</v>
      </c>
      <c r="C14" s="54">
        <v>49198.68</v>
      </c>
      <c r="D14" s="22"/>
      <c r="E14" s="41"/>
      <c r="F14" s="55"/>
      <c r="G14" s="8"/>
    </row>
    <row r="15" spans="1:8" ht="16.5" customHeight="1" x14ac:dyDescent="0.15">
      <c r="A15" s="59">
        <v>43</v>
      </c>
      <c r="B15" s="61" t="s">
        <v>8</v>
      </c>
      <c r="C15" s="297">
        <f>SUM(C16:C19)</f>
        <v>1812258.48</v>
      </c>
      <c r="D15" s="298"/>
      <c r="E15" s="95"/>
      <c r="F15" s="22"/>
      <c r="G15" s="8"/>
    </row>
    <row r="16" spans="1:8" ht="13" x14ac:dyDescent="0.15">
      <c r="A16" s="40" t="s">
        <v>40</v>
      </c>
      <c r="B16" s="42" t="s">
        <v>9</v>
      </c>
      <c r="C16" s="155">
        <f>2800+51554.56+202415.7+1375808.09+18458.82+67156.68</f>
        <v>1718193.85</v>
      </c>
      <c r="D16" s="300"/>
      <c r="E16" s="170"/>
      <c r="F16" s="22"/>
      <c r="G16" s="8"/>
    </row>
    <row r="17" spans="1:8" ht="13" x14ac:dyDescent="0.15">
      <c r="A17" s="40" t="s">
        <v>41</v>
      </c>
      <c r="B17" s="42" t="s">
        <v>10</v>
      </c>
      <c r="C17" s="157">
        <f>13095.7+19857.52</f>
        <v>32953.22</v>
      </c>
      <c r="D17" s="339"/>
      <c r="E17" s="170"/>
      <c r="F17" s="22"/>
      <c r="G17" s="8"/>
    </row>
    <row r="18" spans="1:8" ht="13" x14ac:dyDescent="0.15">
      <c r="A18" s="40" t="s">
        <v>42</v>
      </c>
      <c r="B18" s="71" t="s">
        <v>11</v>
      </c>
      <c r="C18" s="341">
        <v>61111.41</v>
      </c>
      <c r="D18" s="170"/>
      <c r="E18" s="82"/>
      <c r="F18" s="96"/>
      <c r="G18" s="8"/>
    </row>
    <row r="19" spans="1:8" ht="13" x14ac:dyDescent="0.15">
      <c r="A19" s="40" t="s">
        <v>43</v>
      </c>
      <c r="B19" s="71" t="s">
        <v>44</v>
      </c>
      <c r="C19" s="343"/>
      <c r="D19" s="170"/>
      <c r="E19" s="82"/>
      <c r="F19" s="96"/>
      <c r="G19" s="8"/>
    </row>
    <row r="20" spans="1:8" ht="13" x14ac:dyDescent="0.15">
      <c r="A20" s="18">
        <v>44</v>
      </c>
      <c r="B20" s="106" t="s">
        <v>12</v>
      </c>
      <c r="C20" s="54">
        <v>9645861.0199999996</v>
      </c>
      <c r="D20" s="22"/>
      <c r="E20" s="22"/>
      <c r="F20" s="17"/>
      <c r="G20" s="8"/>
    </row>
    <row r="21" spans="1:8" ht="13" x14ac:dyDescent="0.15">
      <c r="A21" s="18">
        <v>45</v>
      </c>
      <c r="B21" s="62" t="s">
        <v>58</v>
      </c>
      <c r="C21" s="21"/>
      <c r="D21" s="22"/>
      <c r="E21" s="96"/>
      <c r="F21" s="17"/>
      <c r="G21" s="8"/>
    </row>
    <row r="22" spans="1:8" ht="13" x14ac:dyDescent="0.15">
      <c r="A22" s="18">
        <v>46</v>
      </c>
      <c r="B22" s="23" t="s">
        <v>14</v>
      </c>
      <c r="C22" s="21">
        <f>136849.97+1182220.33+21299983.41</f>
        <v>22619053.710000001</v>
      </c>
      <c r="D22" s="345"/>
      <c r="E22" s="22"/>
      <c r="F22" s="17"/>
      <c r="G22" s="8"/>
    </row>
    <row r="23" spans="1:8" ht="13" x14ac:dyDescent="0.15">
      <c r="A23" s="18">
        <v>47</v>
      </c>
      <c r="B23" s="23" t="s">
        <v>15</v>
      </c>
      <c r="C23" s="21">
        <f>222122.83+25667.23</f>
        <v>247790.06</v>
      </c>
      <c r="D23" s="345"/>
      <c r="E23" s="22"/>
      <c r="F23" s="17"/>
      <c r="G23" s="8"/>
    </row>
    <row r="24" spans="1:8" ht="13" x14ac:dyDescent="0.15">
      <c r="A24" s="2"/>
      <c r="B24" s="23" t="s">
        <v>16</v>
      </c>
      <c r="C24" s="49">
        <f>C5+C14+C15+C20+C22+C23</f>
        <v>40168527.969999999</v>
      </c>
      <c r="D24" s="345"/>
      <c r="E24" s="22"/>
      <c r="F24" s="17"/>
      <c r="G24" s="8"/>
    </row>
    <row r="25" spans="1:8" ht="13" x14ac:dyDescent="0.15">
      <c r="A25" s="2"/>
      <c r="B25" s="119" t="s">
        <v>59</v>
      </c>
      <c r="C25" s="348"/>
      <c r="D25" s="132"/>
      <c r="E25" s="132"/>
      <c r="F25" s="132"/>
      <c r="G25" s="8"/>
    </row>
    <row r="26" spans="1:8" ht="13" x14ac:dyDescent="0.15">
      <c r="A26" s="18">
        <v>71</v>
      </c>
      <c r="B26" s="23" t="s">
        <v>46</v>
      </c>
      <c r="C26" s="350">
        <v>38106216.259999998</v>
      </c>
      <c r="D26" s="225"/>
      <c r="E26" s="30"/>
      <c r="F26" s="14"/>
      <c r="G26" s="8"/>
    </row>
    <row r="27" spans="1:8" ht="13" x14ac:dyDescent="0.15">
      <c r="A27" s="40">
        <v>711</v>
      </c>
      <c r="B27" s="42" t="s">
        <v>48</v>
      </c>
      <c r="C27" s="351">
        <v>10601280.85</v>
      </c>
      <c r="D27" s="43"/>
      <c r="E27" s="43"/>
      <c r="F27" s="28"/>
      <c r="G27" s="8"/>
    </row>
    <row r="28" spans="1:8" ht="13" x14ac:dyDescent="0.15">
      <c r="A28" s="40">
        <v>713</v>
      </c>
      <c r="B28" s="42" t="s">
        <v>49</v>
      </c>
      <c r="C28" s="351">
        <v>759369.59</v>
      </c>
      <c r="D28" s="43"/>
      <c r="E28" s="43"/>
      <c r="F28" s="28"/>
      <c r="G28" s="8"/>
    </row>
    <row r="29" spans="1:8" ht="13" x14ac:dyDescent="0.15">
      <c r="A29" s="40">
        <v>714</v>
      </c>
      <c r="B29" s="42" t="s">
        <v>50</v>
      </c>
      <c r="C29" s="351">
        <v>514226.08</v>
      </c>
      <c r="D29" s="43"/>
      <c r="E29" s="43"/>
      <c r="F29" s="28"/>
      <c r="G29" s="8"/>
    </row>
    <row r="30" spans="1:8" ht="13" x14ac:dyDescent="0.15">
      <c r="A30" s="136"/>
      <c r="B30" s="42" t="s">
        <v>60</v>
      </c>
      <c r="C30" s="353">
        <f>22012623.45-C29</f>
        <v>21498397.370000001</v>
      </c>
      <c r="D30" s="354"/>
      <c r="E30" s="43"/>
      <c r="F30" s="28"/>
      <c r="G30" s="8"/>
    </row>
    <row r="31" spans="1:8" ht="13" x14ac:dyDescent="0.15">
      <c r="A31" s="40">
        <v>715</v>
      </c>
      <c r="B31" s="42" t="s">
        <v>61</v>
      </c>
      <c r="C31" s="355">
        <v>4732942.37</v>
      </c>
      <c r="D31" s="43"/>
      <c r="E31" s="43"/>
      <c r="F31" s="28"/>
      <c r="G31" s="8"/>
      <c r="H31" s="98"/>
    </row>
    <row r="32" spans="1:8" ht="13" x14ac:dyDescent="0.15">
      <c r="A32" s="18">
        <v>72</v>
      </c>
      <c r="B32" s="146" t="s">
        <v>51</v>
      </c>
      <c r="C32" s="356">
        <v>2080071</v>
      </c>
      <c r="D32" s="17"/>
      <c r="E32" s="43"/>
      <c r="F32" s="43"/>
      <c r="G32" s="8"/>
    </row>
    <row r="33" spans="1:8" ht="18" customHeight="1" x14ac:dyDescent="0.15">
      <c r="A33" s="140">
        <v>73</v>
      </c>
      <c r="B33" s="62" t="s">
        <v>62</v>
      </c>
      <c r="C33" s="357">
        <v>20014.47</v>
      </c>
      <c r="D33" s="65"/>
      <c r="E33" s="147"/>
      <c r="F33" s="148"/>
      <c r="G33" s="8"/>
    </row>
    <row r="34" spans="1:8" ht="13" x14ac:dyDescent="0.15">
      <c r="A34" s="18">
        <v>74</v>
      </c>
      <c r="B34" s="61" t="s">
        <v>52</v>
      </c>
      <c r="C34" s="358"/>
      <c r="D34" s="65"/>
      <c r="E34" s="65"/>
      <c r="F34" s="17"/>
      <c r="G34" s="8"/>
      <c r="H34" s="359"/>
    </row>
    <row r="35" spans="1:8" ht="13" x14ac:dyDescent="0.15">
      <c r="A35" s="40">
        <v>741</v>
      </c>
      <c r="B35" s="42" t="s">
        <v>53</v>
      </c>
      <c r="C35" s="358"/>
      <c r="D35" s="65"/>
      <c r="E35" s="65"/>
      <c r="F35" s="17"/>
      <c r="G35" s="8"/>
    </row>
    <row r="36" spans="1:8" ht="13" x14ac:dyDescent="0.15">
      <c r="A36" s="40">
        <v>742</v>
      </c>
      <c r="B36" s="42" t="s">
        <v>54</v>
      </c>
      <c r="C36" s="358"/>
      <c r="D36" s="65"/>
      <c r="E36" s="65"/>
      <c r="F36" s="17"/>
      <c r="G36" s="8"/>
    </row>
    <row r="37" spans="1:8" ht="13" x14ac:dyDescent="0.15">
      <c r="A37" s="136"/>
      <c r="B37" s="42" t="s">
        <v>63</v>
      </c>
      <c r="C37" s="358"/>
      <c r="D37" s="65"/>
      <c r="E37" s="170"/>
      <c r="F37" s="17"/>
      <c r="G37" s="8"/>
    </row>
    <row r="38" spans="1:8" ht="13" x14ac:dyDescent="0.15">
      <c r="A38" s="18">
        <v>751</v>
      </c>
      <c r="B38" s="106" t="s">
        <v>58</v>
      </c>
      <c r="C38" s="360"/>
      <c r="D38" s="17"/>
      <c r="E38" s="17"/>
      <c r="F38" s="17"/>
      <c r="G38" s="8"/>
    </row>
    <row r="39" spans="1:8" ht="13" x14ac:dyDescent="0.15">
      <c r="A39" s="2"/>
      <c r="B39" s="106" t="s">
        <v>64</v>
      </c>
      <c r="C39" s="361">
        <v>40206301.829999998</v>
      </c>
      <c r="D39" s="22"/>
      <c r="E39" s="17"/>
      <c r="F39" s="17"/>
      <c r="G39" s="8"/>
    </row>
    <row r="40" spans="1:8" ht="13" x14ac:dyDescent="0.15">
      <c r="A40" s="2"/>
      <c r="B40" s="119" t="s">
        <v>65</v>
      </c>
      <c r="C40" s="348"/>
      <c r="D40" s="132"/>
      <c r="E40" s="132"/>
      <c r="F40" s="132"/>
      <c r="G40" s="8"/>
    </row>
    <row r="41" spans="1:8" ht="13" x14ac:dyDescent="0.15">
      <c r="A41" s="2"/>
      <c r="B41" s="38" t="s">
        <v>66</v>
      </c>
      <c r="C41" s="362"/>
      <c r="D41" s="43"/>
      <c r="E41" s="43"/>
      <c r="F41" s="43"/>
      <c r="G41" s="8"/>
    </row>
    <row r="42" spans="1:8" ht="13" x14ac:dyDescent="0.15">
      <c r="A42" s="2"/>
      <c r="B42" s="38" t="s">
        <v>67</v>
      </c>
      <c r="C42" s="362"/>
      <c r="D42" s="43"/>
      <c r="E42" s="43"/>
      <c r="F42" s="43"/>
      <c r="G42" s="8"/>
    </row>
    <row r="43" spans="1:8" ht="13" x14ac:dyDescent="0.15">
      <c r="A43" s="2"/>
      <c r="B43" s="38" t="s">
        <v>68</v>
      </c>
      <c r="C43" s="362"/>
      <c r="D43" s="43"/>
      <c r="E43" s="43"/>
      <c r="F43" s="43"/>
      <c r="G43" s="8"/>
    </row>
    <row r="44" spans="1:8" ht="13" x14ac:dyDescent="0.15">
      <c r="A44" s="2"/>
      <c r="B44" s="38" t="s">
        <v>69</v>
      </c>
      <c r="C44" s="362"/>
      <c r="D44" s="43"/>
      <c r="E44" s="43"/>
      <c r="F44" s="43"/>
      <c r="G44" s="8"/>
    </row>
    <row r="45" spans="1:8" ht="13" x14ac:dyDescent="0.15">
      <c r="A45" s="2"/>
      <c r="B45" s="149"/>
      <c r="C45" s="348"/>
      <c r="D45" s="132"/>
      <c r="E45" s="132"/>
      <c r="F45" s="132"/>
      <c r="G45" s="8"/>
    </row>
    <row r="46" spans="1:8" ht="19.5" customHeight="1" x14ac:dyDescent="0.15">
      <c r="B46" s="150"/>
      <c r="C46" s="150"/>
      <c r="D46" s="151"/>
      <c r="E46" s="150"/>
      <c r="F46" s="150"/>
    </row>
    <row r="47" spans="1:8" ht="19.5" customHeight="1" x14ac:dyDescent="0.15">
      <c r="B47" s="363" t="s">
        <v>70</v>
      </c>
    </row>
    <row r="48" spans="1:8" ht="19.5" customHeight="1" x14ac:dyDescent="0.15">
      <c r="B48" s="1"/>
      <c r="C48" s="1"/>
      <c r="D48" s="1"/>
      <c r="E48" s="1"/>
    </row>
    <row r="49" spans="1:6" ht="19.5" customHeight="1" x14ac:dyDescent="0.15">
      <c r="A49" s="2"/>
      <c r="B49" s="177" t="s">
        <v>71</v>
      </c>
      <c r="C49" s="335"/>
      <c r="D49" s="178"/>
      <c r="E49" s="170"/>
      <c r="F49" s="8"/>
    </row>
    <row r="50" spans="1:6" ht="19.5" customHeight="1" x14ac:dyDescent="0.15">
      <c r="A50" s="2"/>
      <c r="B50" s="364"/>
      <c r="C50" s="335"/>
      <c r="D50" s="178"/>
      <c r="E50" s="170"/>
      <c r="F50" s="8"/>
    </row>
    <row r="51" spans="1:6" ht="19.5" customHeight="1" x14ac:dyDescent="0.15">
      <c r="A51" s="2"/>
      <c r="B51" s="179" t="s">
        <v>290</v>
      </c>
      <c r="C51" s="336">
        <v>500128.59</v>
      </c>
      <c r="D51" s="178"/>
      <c r="E51" s="170"/>
      <c r="F51" s="8"/>
    </row>
    <row r="52" spans="1:6" ht="19.5" customHeight="1" x14ac:dyDescent="0.15">
      <c r="A52" s="2"/>
      <c r="B52" s="179" t="s">
        <v>188</v>
      </c>
      <c r="C52" s="336">
        <v>159835.59</v>
      </c>
      <c r="D52" s="178"/>
      <c r="E52" s="170"/>
      <c r="F52" s="8"/>
    </row>
    <row r="53" spans="1:6" ht="19.5" customHeight="1" x14ac:dyDescent="0.15">
      <c r="A53" s="2"/>
      <c r="B53" s="186" t="s">
        <v>158</v>
      </c>
      <c r="C53" s="336">
        <v>61249.64</v>
      </c>
      <c r="D53" s="178"/>
      <c r="E53" s="170"/>
      <c r="F53" s="8"/>
    </row>
    <row r="54" spans="1:6" ht="19.5" customHeight="1" x14ac:dyDescent="0.15">
      <c r="A54" s="2"/>
      <c r="B54" s="186" t="s">
        <v>209</v>
      </c>
      <c r="C54" s="336">
        <v>113987.71</v>
      </c>
      <c r="D54" s="178"/>
      <c r="E54" s="170"/>
      <c r="F54" s="8"/>
    </row>
    <row r="55" spans="1:6" ht="19.5" customHeight="1" x14ac:dyDescent="0.15">
      <c r="A55" s="2"/>
      <c r="B55" s="186" t="s">
        <v>252</v>
      </c>
      <c r="C55" s="336">
        <v>1863067.2</v>
      </c>
      <c r="D55" s="178"/>
      <c r="E55" s="170"/>
      <c r="F55" s="8"/>
    </row>
    <row r="56" spans="1:6" ht="19.5" customHeight="1" x14ac:dyDescent="0.15">
      <c r="A56" s="2"/>
      <c r="B56" s="186" t="s">
        <v>291</v>
      </c>
      <c r="C56" s="336">
        <v>0</v>
      </c>
      <c r="D56" s="178"/>
      <c r="E56" s="170"/>
      <c r="F56" s="8"/>
    </row>
    <row r="57" spans="1:6" ht="19.5" customHeight="1" x14ac:dyDescent="0.15">
      <c r="A57" s="2"/>
      <c r="B57" s="186" t="s">
        <v>201</v>
      </c>
      <c r="C57" s="336">
        <v>702899.66</v>
      </c>
      <c r="D57" s="178"/>
      <c r="E57" s="170"/>
      <c r="F57" s="8"/>
    </row>
    <row r="58" spans="1:6" ht="19.5" customHeight="1" x14ac:dyDescent="0.15">
      <c r="A58" s="2"/>
      <c r="B58" s="186" t="s">
        <v>293</v>
      </c>
      <c r="C58" s="336">
        <v>325058.34999999998</v>
      </c>
      <c r="D58" s="178"/>
      <c r="E58" s="170"/>
      <c r="F58" s="8"/>
    </row>
    <row r="59" spans="1:6" ht="19.5" customHeight="1" x14ac:dyDescent="0.15">
      <c r="A59" s="2"/>
      <c r="B59" s="179" t="s">
        <v>294</v>
      </c>
      <c r="C59" s="336">
        <v>707117.54</v>
      </c>
      <c r="D59" s="178"/>
      <c r="E59" s="170"/>
      <c r="F59" s="8"/>
    </row>
    <row r="60" spans="1:6" ht="19.5" customHeight="1" x14ac:dyDescent="0.15">
      <c r="A60" s="2"/>
      <c r="B60" s="186" t="s">
        <v>295</v>
      </c>
      <c r="C60" s="336">
        <v>1360800.31</v>
      </c>
      <c r="D60" s="178"/>
      <c r="E60" s="170"/>
      <c r="F60" s="8"/>
    </row>
    <row r="61" spans="1:6" ht="19.5" customHeight="1" x14ac:dyDescent="0.15">
      <c r="A61" s="2"/>
      <c r="B61" s="186" t="s">
        <v>296</v>
      </c>
      <c r="C61" s="336">
        <v>165041.79999999999</v>
      </c>
      <c r="D61" s="178"/>
      <c r="E61" s="170"/>
      <c r="F61" s="8"/>
    </row>
    <row r="62" spans="1:6" ht="19.5" customHeight="1" x14ac:dyDescent="0.15">
      <c r="A62" s="2"/>
      <c r="B62" s="186" t="s">
        <v>297</v>
      </c>
      <c r="C62" s="336">
        <v>573704.35</v>
      </c>
      <c r="D62" s="178"/>
      <c r="E62" s="170"/>
      <c r="F62" s="8"/>
    </row>
    <row r="63" spans="1:6" ht="19.5" customHeight="1" x14ac:dyDescent="0.15">
      <c r="A63" s="2"/>
      <c r="B63" s="186" t="s">
        <v>298</v>
      </c>
      <c r="C63" s="336">
        <v>81174.37</v>
      </c>
      <c r="D63" s="178"/>
      <c r="E63" s="170"/>
      <c r="F63" s="8"/>
    </row>
    <row r="64" spans="1:6" ht="19.5" customHeight="1" x14ac:dyDescent="0.15">
      <c r="A64" s="2"/>
      <c r="B64" s="186" t="s">
        <v>160</v>
      </c>
      <c r="C64" s="336">
        <v>8941234.0800000001</v>
      </c>
      <c r="D64" s="178"/>
      <c r="E64" s="170"/>
      <c r="F64" s="8"/>
    </row>
    <row r="65" spans="1:6" ht="19.5" customHeight="1" x14ac:dyDescent="0.15">
      <c r="A65" s="2"/>
      <c r="B65" s="186" t="s">
        <v>299</v>
      </c>
      <c r="C65" s="336">
        <v>102348.89</v>
      </c>
      <c r="D65" s="178"/>
      <c r="E65" s="170"/>
      <c r="F65" s="8"/>
    </row>
    <row r="66" spans="1:6" ht="19.5" customHeight="1" x14ac:dyDescent="0.15">
      <c r="A66" s="2"/>
      <c r="B66" s="186" t="s">
        <v>300</v>
      </c>
      <c r="C66" s="336">
        <v>434066.94</v>
      </c>
      <c r="D66" s="170"/>
      <c r="E66" s="170"/>
      <c r="F66" s="8"/>
    </row>
    <row r="67" spans="1:6" ht="19.5" customHeight="1" x14ac:dyDescent="0.15">
      <c r="A67" s="2"/>
      <c r="B67" s="186" t="s">
        <v>301</v>
      </c>
      <c r="C67" s="336">
        <v>21533485.550000001</v>
      </c>
      <c r="D67" s="178"/>
      <c r="E67" s="170"/>
      <c r="F67" s="8"/>
    </row>
    <row r="68" spans="1:6" ht="19.5" customHeight="1" x14ac:dyDescent="0.15">
      <c r="A68" s="2"/>
      <c r="B68" s="186" t="s">
        <v>302</v>
      </c>
      <c r="C68" s="336">
        <v>1630151.76</v>
      </c>
      <c r="D68" s="178"/>
      <c r="E68" s="170"/>
      <c r="F68" s="8"/>
    </row>
    <row r="69" spans="1:6" ht="31.5" customHeight="1" x14ac:dyDescent="0.15">
      <c r="A69" s="2"/>
      <c r="B69" s="179" t="s">
        <v>303</v>
      </c>
      <c r="C69" s="336">
        <v>53030.3</v>
      </c>
      <c r="D69" s="178"/>
      <c r="E69" s="170"/>
      <c r="F69" s="8"/>
    </row>
    <row r="70" spans="1:6" ht="19.5" customHeight="1" x14ac:dyDescent="0.15">
      <c r="A70" s="2"/>
      <c r="B70" s="186" t="s">
        <v>304</v>
      </c>
      <c r="C70" s="336">
        <v>174587.81</v>
      </c>
      <c r="D70" s="178"/>
      <c r="E70" s="170"/>
      <c r="F70" s="8"/>
    </row>
    <row r="71" spans="1:6" ht="19.5" customHeight="1" x14ac:dyDescent="0.15">
      <c r="A71" s="2"/>
      <c r="B71" s="186" t="s">
        <v>94</v>
      </c>
      <c r="C71" s="336">
        <v>241304.77</v>
      </c>
      <c r="D71" s="178"/>
      <c r="E71" s="170"/>
      <c r="F71" s="8"/>
    </row>
    <row r="72" spans="1:6" ht="19.5" customHeight="1" x14ac:dyDescent="0.15">
      <c r="A72" s="2"/>
      <c r="B72" s="186" t="s">
        <v>154</v>
      </c>
      <c r="C72" s="336">
        <v>44349.71</v>
      </c>
      <c r="D72" s="178"/>
      <c r="E72" s="170"/>
      <c r="F72" s="8"/>
    </row>
    <row r="73" spans="1:6" ht="19.5" customHeight="1" x14ac:dyDescent="0.15">
      <c r="A73" s="2"/>
      <c r="B73" s="186" t="s">
        <v>95</v>
      </c>
      <c r="C73" s="336">
        <v>399903.05</v>
      </c>
      <c r="D73" s="178"/>
      <c r="E73" s="170"/>
      <c r="F73" s="8"/>
    </row>
    <row r="74" spans="1:6" ht="19.5" customHeight="1" x14ac:dyDescent="0.15">
      <c r="A74" s="2"/>
      <c r="B74" s="188"/>
      <c r="C74" s="335"/>
      <c r="D74" s="178"/>
      <c r="E74" s="170"/>
      <c r="F74" s="8"/>
    </row>
    <row r="75" spans="1:6" ht="19.5" customHeight="1" x14ac:dyDescent="0.15">
      <c r="A75" s="2"/>
      <c r="B75" s="236" t="s">
        <v>81</v>
      </c>
      <c r="C75" s="365">
        <f>SUM(C51:C73)</f>
        <v>40168527.969999999</v>
      </c>
      <c r="D75" s="273"/>
      <c r="E75" s="275"/>
      <c r="F75" s="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44"/>
      <c r="D1" s="1"/>
      <c r="E1" s="1"/>
      <c r="F1" s="1"/>
    </row>
    <row r="2" spans="1:6" ht="13" x14ac:dyDescent="0.15">
      <c r="A2" s="2"/>
      <c r="B2" s="4" t="s">
        <v>39</v>
      </c>
      <c r="C2" s="45">
        <v>2012</v>
      </c>
      <c r="D2" s="5"/>
      <c r="E2" s="5"/>
      <c r="F2" s="6"/>
    </row>
    <row r="3" spans="1:6" ht="13" x14ac:dyDescent="0.15">
      <c r="A3" s="2"/>
      <c r="B3" s="7" t="s">
        <v>23</v>
      </c>
      <c r="C3" s="46"/>
      <c r="D3" s="47"/>
      <c r="E3" s="11"/>
      <c r="F3" s="12"/>
    </row>
    <row r="4" spans="1:6" ht="13" x14ac:dyDescent="0.15">
      <c r="A4" s="2"/>
      <c r="B4" s="14"/>
      <c r="C4" s="21"/>
      <c r="D4" s="17"/>
      <c r="E4" s="17"/>
      <c r="F4" s="17"/>
    </row>
    <row r="5" spans="1:6" ht="13" x14ac:dyDescent="0.15">
      <c r="A5" s="18">
        <v>41</v>
      </c>
      <c r="B5" s="23" t="s">
        <v>0</v>
      </c>
      <c r="C5" s="48">
        <f>SUM(C6:C13)</f>
        <v>912794.36999999988</v>
      </c>
      <c r="D5" s="30"/>
      <c r="E5" s="30"/>
      <c r="F5" s="17"/>
    </row>
    <row r="6" spans="1:6" ht="13" x14ac:dyDescent="0.15">
      <c r="A6" s="18">
        <v>411</v>
      </c>
      <c r="B6" s="26" t="s">
        <v>36</v>
      </c>
      <c r="C6" s="50">
        <v>622221.48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50">
        <v>5560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50">
        <v>160760.35999999999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50">
        <v>16161.36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50">
        <v>51235.33</v>
      </c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52"/>
      <c r="D11" s="17"/>
      <c r="E11" s="17"/>
      <c r="F11" s="28"/>
    </row>
    <row r="12" spans="1:6" ht="13" x14ac:dyDescent="0.15">
      <c r="A12" s="18">
        <v>417</v>
      </c>
      <c r="B12" s="26" t="s">
        <v>6</v>
      </c>
      <c r="C12" s="50">
        <v>1650</v>
      </c>
      <c r="D12" s="17"/>
      <c r="E12" s="17"/>
      <c r="F12" s="28"/>
    </row>
    <row r="13" spans="1:6" ht="13" x14ac:dyDescent="0.15">
      <c r="A13" s="18">
        <v>418</v>
      </c>
      <c r="B13" s="26" t="s">
        <v>38</v>
      </c>
      <c r="C13" s="50">
        <v>55205.84</v>
      </c>
      <c r="D13" s="17"/>
      <c r="E13" s="17"/>
      <c r="F13" s="28"/>
    </row>
    <row r="14" spans="1:6" ht="13" x14ac:dyDescent="0.15">
      <c r="A14" s="18">
        <v>42</v>
      </c>
      <c r="B14" s="53" t="s">
        <v>7</v>
      </c>
      <c r="C14" s="54">
        <v>95446</v>
      </c>
      <c r="D14" s="22"/>
      <c r="E14" s="22"/>
      <c r="F14" s="55"/>
    </row>
    <row r="15" spans="1:6" ht="16.5" customHeight="1" x14ac:dyDescent="0.15">
      <c r="A15" s="59">
        <v>43</v>
      </c>
      <c r="B15" s="61" t="s">
        <v>8</v>
      </c>
      <c r="C15" s="153">
        <f>SUM(C16:C19)</f>
        <v>493212.57999999996</v>
      </c>
      <c r="D15" s="65"/>
      <c r="E15" s="63"/>
      <c r="F15" s="17"/>
    </row>
    <row r="16" spans="1:6" ht="13" x14ac:dyDescent="0.15">
      <c r="A16" s="40" t="s">
        <v>40</v>
      </c>
      <c r="B16" s="42" t="s">
        <v>9</v>
      </c>
      <c r="C16" s="155">
        <f>2861.43+188557.54+116238.6+27507.03</f>
        <v>335164.59999999998</v>
      </c>
      <c r="D16" s="69"/>
      <c r="E16" s="67"/>
      <c r="F16" s="17"/>
    </row>
    <row r="17" spans="1:6" ht="31.5" customHeight="1" x14ac:dyDescent="0.15">
      <c r="A17" s="40" t="s">
        <v>41</v>
      </c>
      <c r="B17" s="42" t="s">
        <v>10</v>
      </c>
      <c r="C17" s="157">
        <f>4285+200+21057.98+1089.5+27438.75</f>
        <v>54071.229999999996</v>
      </c>
      <c r="D17" s="69"/>
      <c r="E17" s="67"/>
      <c r="F17" s="17"/>
    </row>
    <row r="18" spans="1:6" ht="13" x14ac:dyDescent="0.15">
      <c r="A18" s="40" t="s">
        <v>42</v>
      </c>
      <c r="B18" s="71" t="s">
        <v>11</v>
      </c>
      <c r="C18" s="155">
        <f>18694+85282.75</f>
        <v>103976.75</v>
      </c>
      <c r="D18" s="67"/>
      <c r="E18" s="43"/>
      <c r="F18" s="85"/>
    </row>
    <row r="19" spans="1:6" ht="13" x14ac:dyDescent="0.15">
      <c r="A19" s="40" t="s">
        <v>43</v>
      </c>
      <c r="B19" s="71" t="s">
        <v>44</v>
      </c>
      <c r="C19" s="155"/>
      <c r="D19" s="67"/>
      <c r="E19" s="43"/>
      <c r="F19" s="104"/>
    </row>
    <row r="20" spans="1:6" ht="13" x14ac:dyDescent="0.15">
      <c r="A20" s="18">
        <v>44</v>
      </c>
      <c r="B20" s="106" t="s">
        <v>12</v>
      </c>
      <c r="C20" s="54">
        <v>156816.67000000001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21"/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54">
        <v>1617602.92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54">
        <v>92417.69</v>
      </c>
      <c r="D23" s="17"/>
      <c r="E23" s="17"/>
      <c r="F23" s="17"/>
    </row>
    <row r="24" spans="1:6" ht="13" x14ac:dyDescent="0.15">
      <c r="A24" s="2"/>
      <c r="B24" s="23" t="s">
        <v>16</v>
      </c>
      <c r="C24" s="212">
        <v>3368290.24</v>
      </c>
      <c r="D24" s="17"/>
      <c r="E24" s="17"/>
      <c r="F24" s="17"/>
    </row>
    <row r="25" spans="1:6" ht="13" x14ac:dyDescent="0.15">
      <c r="A25" s="2"/>
      <c r="B25" s="119" t="s">
        <v>59</v>
      </c>
      <c r="C25" s="244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48">
        <f>SUM(C27:C31)</f>
        <v>1027841.0900000001</v>
      </c>
      <c r="D26" s="280"/>
      <c r="E26" s="143"/>
      <c r="F26" s="14"/>
    </row>
    <row r="27" spans="1:6" ht="13" x14ac:dyDescent="0.15">
      <c r="A27" s="40">
        <v>711</v>
      </c>
      <c r="B27" s="42" t="s">
        <v>48</v>
      </c>
      <c r="C27" s="50">
        <v>306335.55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50">
        <v>327594.52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52">
        <f>3692.59+18929.45</f>
        <v>22622.04</v>
      </c>
      <c r="D29" s="43"/>
      <c r="E29" s="43"/>
      <c r="F29" s="28"/>
    </row>
    <row r="30" spans="1:6" ht="13" x14ac:dyDescent="0.15">
      <c r="A30" s="136"/>
      <c r="B30" s="42" t="s">
        <v>60</v>
      </c>
      <c r="C30" s="52">
        <f>1774.31+66990.1+16970.29</f>
        <v>85734.700000000012</v>
      </c>
      <c r="D30" s="43"/>
      <c r="E30" s="43"/>
      <c r="F30" s="28"/>
    </row>
    <row r="31" spans="1:6" ht="13" x14ac:dyDescent="0.15">
      <c r="A31" s="40">
        <v>715</v>
      </c>
      <c r="B31" s="42" t="s">
        <v>61</v>
      </c>
      <c r="C31" s="50">
        <v>285554.28000000003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21"/>
      <c r="D32" s="43"/>
      <c r="E32" s="17"/>
      <c r="F32" s="43"/>
    </row>
    <row r="33" spans="1:6" ht="18" customHeight="1" x14ac:dyDescent="0.15">
      <c r="A33" s="140">
        <v>73</v>
      </c>
      <c r="B33" s="62" t="s">
        <v>62</v>
      </c>
      <c r="C33" s="315">
        <v>57406.13</v>
      </c>
      <c r="D33" s="148"/>
      <c r="E33" s="148"/>
      <c r="F33" s="148"/>
    </row>
    <row r="34" spans="1:6" ht="13" x14ac:dyDescent="0.15">
      <c r="A34" s="18">
        <v>74</v>
      </c>
      <c r="B34" s="61" t="s">
        <v>52</v>
      </c>
      <c r="C34" s="329">
        <v>1088435.96</v>
      </c>
      <c r="D34" s="65"/>
      <c r="E34" s="65"/>
      <c r="F34" s="17"/>
    </row>
    <row r="35" spans="1:6" ht="13" x14ac:dyDescent="0.15">
      <c r="A35" s="40">
        <v>741</v>
      </c>
      <c r="B35" s="42" t="s">
        <v>53</v>
      </c>
      <c r="C35" s="324"/>
      <c r="D35" s="324"/>
      <c r="E35" s="324"/>
      <c r="F35" s="17"/>
    </row>
    <row r="36" spans="1:6" ht="13" x14ac:dyDescent="0.15">
      <c r="A36" s="40">
        <v>742</v>
      </c>
      <c r="B36" s="42" t="s">
        <v>54</v>
      </c>
      <c r="C36" s="331">
        <v>996487.16</v>
      </c>
      <c r="D36" s="170"/>
      <c r="E36" s="170"/>
      <c r="F36" s="17"/>
    </row>
    <row r="37" spans="1:6" ht="13" x14ac:dyDescent="0.15">
      <c r="A37" s="136"/>
      <c r="B37" s="42" t="s">
        <v>63</v>
      </c>
      <c r="C37" s="333">
        <f>C34-C36</f>
        <v>91948.79999999993</v>
      </c>
      <c r="D37" s="170"/>
      <c r="E37" s="170"/>
      <c r="F37" s="17"/>
    </row>
    <row r="38" spans="1:6" ht="13" x14ac:dyDescent="0.15">
      <c r="A38" s="18">
        <v>751</v>
      </c>
      <c r="B38" s="106" t="s">
        <v>58</v>
      </c>
      <c r="C38" s="54">
        <v>1250000</v>
      </c>
      <c r="D38" s="17"/>
      <c r="E38" s="17"/>
      <c r="F38" s="17"/>
    </row>
    <row r="39" spans="1:6" ht="13" x14ac:dyDescent="0.15">
      <c r="A39" s="2"/>
      <c r="B39" s="106" t="s">
        <v>64</v>
      </c>
      <c r="C39" s="212">
        <v>3423683.18</v>
      </c>
      <c r="D39" s="17"/>
      <c r="E39" s="17"/>
      <c r="F39" s="17"/>
    </row>
    <row r="40" spans="1:6" ht="13" x14ac:dyDescent="0.15">
      <c r="A40" s="2"/>
      <c r="B40" s="119" t="s">
        <v>65</v>
      </c>
      <c r="C40" s="244"/>
      <c r="D40" s="132"/>
      <c r="E40" s="132"/>
      <c r="F40" s="132"/>
    </row>
    <row r="41" spans="1:6" ht="13" x14ac:dyDescent="0.15">
      <c r="A41" s="2"/>
      <c r="B41" s="38" t="s">
        <v>66</v>
      </c>
      <c r="C41" s="52"/>
      <c r="D41" s="43"/>
      <c r="E41" s="43"/>
      <c r="F41" s="43"/>
    </row>
    <row r="42" spans="1:6" ht="13" x14ac:dyDescent="0.15">
      <c r="A42" s="2"/>
      <c r="B42" s="38" t="s">
        <v>67</v>
      </c>
      <c r="C42" s="52"/>
      <c r="D42" s="43"/>
      <c r="E42" s="43"/>
      <c r="F42" s="43"/>
    </row>
    <row r="43" spans="1:6" ht="13" x14ac:dyDescent="0.15">
      <c r="A43" s="2"/>
      <c r="B43" s="38" t="s">
        <v>68</v>
      </c>
      <c r="C43" s="52"/>
      <c r="D43" s="43"/>
      <c r="E43" s="43"/>
      <c r="F43" s="43"/>
    </row>
    <row r="44" spans="1:6" ht="13" x14ac:dyDescent="0.15">
      <c r="A44" s="2"/>
      <c r="B44" s="38" t="s">
        <v>69</v>
      </c>
      <c r="C44" s="52"/>
      <c r="D44" s="43"/>
      <c r="E44" s="43"/>
      <c r="F44" s="43"/>
    </row>
    <row r="45" spans="1:6" ht="13" x14ac:dyDescent="0.15">
      <c r="A45" s="2"/>
      <c r="B45" s="149"/>
      <c r="C45" s="244"/>
      <c r="D45" s="132"/>
      <c r="E45" s="132"/>
      <c r="F45" s="132"/>
    </row>
    <row r="46" spans="1:6" ht="19.5" customHeight="1" x14ac:dyDescent="0.15">
      <c r="B46" s="150"/>
      <c r="C46" s="321"/>
      <c r="D46" s="151"/>
      <c r="E46" s="150"/>
      <c r="F46" s="150"/>
    </row>
    <row r="47" spans="1:6" ht="19.5" customHeight="1" x14ac:dyDescent="0.15">
      <c r="B47" s="152" t="s">
        <v>70</v>
      </c>
      <c r="C47" s="44"/>
      <c r="D47" s="176"/>
      <c r="E47" s="1"/>
    </row>
    <row r="48" spans="1:6" ht="19.5" customHeight="1" x14ac:dyDescent="0.15">
      <c r="A48" s="2"/>
      <c r="B48" s="177" t="s">
        <v>71</v>
      </c>
      <c r="C48" s="335"/>
      <c r="D48" s="185"/>
      <c r="E48" s="242"/>
      <c r="F48" s="8"/>
    </row>
    <row r="49" spans="1:6" ht="24" customHeight="1" x14ac:dyDescent="0.15">
      <c r="A49" s="2"/>
      <c r="B49" s="179" t="s">
        <v>163</v>
      </c>
      <c r="C49" s="336">
        <v>127419.42</v>
      </c>
      <c r="D49" s="185"/>
      <c r="E49" s="185"/>
      <c r="F49" s="8"/>
    </row>
    <row r="50" spans="1:6" ht="24" customHeight="1" x14ac:dyDescent="0.15">
      <c r="A50" s="2"/>
      <c r="B50" s="179" t="s">
        <v>86</v>
      </c>
      <c r="C50" s="336">
        <v>529197.53</v>
      </c>
      <c r="D50" s="185"/>
      <c r="E50" s="185"/>
      <c r="F50" s="8"/>
    </row>
    <row r="51" spans="1:6" ht="24" customHeight="1" x14ac:dyDescent="0.15">
      <c r="A51" s="2"/>
      <c r="B51" s="186" t="s">
        <v>264</v>
      </c>
      <c r="C51" s="336">
        <v>1471984.61</v>
      </c>
      <c r="D51" s="185"/>
      <c r="E51" s="185"/>
      <c r="F51" s="8"/>
    </row>
    <row r="52" spans="1:6" ht="24" customHeight="1" x14ac:dyDescent="0.15">
      <c r="A52" s="2"/>
      <c r="B52" s="186" t="s">
        <v>265</v>
      </c>
      <c r="C52" s="336">
        <v>49307.85</v>
      </c>
      <c r="D52" s="185"/>
      <c r="E52" s="185"/>
      <c r="F52" s="8"/>
    </row>
    <row r="53" spans="1:6" ht="24" customHeight="1" x14ac:dyDescent="0.15">
      <c r="A53" s="2"/>
      <c r="B53" s="186" t="s">
        <v>93</v>
      </c>
      <c r="C53" s="336">
        <v>59052.93</v>
      </c>
      <c r="D53" s="185"/>
      <c r="E53" s="185"/>
      <c r="F53" s="8"/>
    </row>
    <row r="54" spans="1:6" ht="24" customHeight="1" x14ac:dyDescent="0.15">
      <c r="A54" s="2"/>
      <c r="B54" s="186" t="s">
        <v>266</v>
      </c>
      <c r="C54" s="336">
        <v>999914.5</v>
      </c>
      <c r="D54" s="185"/>
      <c r="E54" s="185"/>
      <c r="F54" s="8"/>
    </row>
    <row r="55" spans="1:6" ht="24" customHeight="1" x14ac:dyDescent="0.15">
      <c r="A55" s="2"/>
      <c r="B55" s="179" t="s">
        <v>78</v>
      </c>
      <c r="C55" s="336">
        <v>31569.33</v>
      </c>
      <c r="D55" s="185"/>
      <c r="E55" s="185"/>
      <c r="F55" s="8"/>
    </row>
    <row r="56" spans="1:6" ht="24" customHeight="1" x14ac:dyDescent="0.15">
      <c r="A56" s="2"/>
      <c r="B56" s="186" t="s">
        <v>95</v>
      </c>
      <c r="C56" s="336">
        <v>99844.07</v>
      </c>
      <c r="D56" s="185"/>
      <c r="E56" s="185"/>
      <c r="F56" s="8"/>
    </row>
    <row r="57" spans="1:6" ht="19.5" customHeight="1" x14ac:dyDescent="0.15">
      <c r="A57" s="2"/>
      <c r="B57" s="188"/>
      <c r="C57" s="335"/>
      <c r="D57" s="185"/>
      <c r="E57" s="185"/>
      <c r="F57" s="8"/>
    </row>
    <row r="58" spans="1:6" ht="19.5" customHeight="1" x14ac:dyDescent="0.15">
      <c r="A58" s="2"/>
      <c r="B58" s="177" t="s">
        <v>81</v>
      </c>
      <c r="C58" s="346"/>
      <c r="D58" s="245"/>
      <c r="E58" s="245"/>
      <c r="F58" s="8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7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3"/>
      <c r="D1" s="1"/>
      <c r="E1" s="1"/>
      <c r="F1" s="1"/>
    </row>
    <row r="2" spans="1:6" ht="13" x14ac:dyDescent="0.15">
      <c r="A2" s="2"/>
      <c r="B2" s="4" t="s">
        <v>20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13"/>
      <c r="D3" s="10"/>
      <c r="E3" s="11"/>
      <c r="F3" s="12"/>
    </row>
    <row r="4" spans="1:6" ht="13" x14ac:dyDescent="0.15">
      <c r="A4" s="2"/>
      <c r="B4" s="14"/>
      <c r="C4" s="15"/>
      <c r="D4" s="17"/>
      <c r="E4" s="17"/>
      <c r="F4" s="17"/>
    </row>
    <row r="5" spans="1:6" ht="13" x14ac:dyDescent="0.15">
      <c r="A5" s="18">
        <v>41</v>
      </c>
      <c r="B5" s="23" t="s">
        <v>0</v>
      </c>
      <c r="C5" s="73">
        <f>SUM(C6:C13)</f>
        <v>1544807</v>
      </c>
      <c r="D5" s="30"/>
      <c r="E5" s="30"/>
      <c r="F5" s="17"/>
    </row>
    <row r="6" spans="1:6" ht="13" x14ac:dyDescent="0.15">
      <c r="A6" s="18">
        <v>411</v>
      </c>
      <c r="B6" s="26" t="s">
        <v>36</v>
      </c>
      <c r="C6" s="58">
        <v>1105384.3600000001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58">
        <v>49895.76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58">
        <v>221503.9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58">
        <v>84370.93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58">
        <v>34982.050000000003</v>
      </c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70"/>
      <c r="D11" s="17"/>
      <c r="E11" s="28"/>
      <c r="F11" s="28"/>
    </row>
    <row r="12" spans="1:6" ht="13" x14ac:dyDescent="0.15">
      <c r="A12" s="18">
        <v>417</v>
      </c>
      <c r="B12" s="26" t="s">
        <v>6</v>
      </c>
      <c r="C12" s="58">
        <v>42400</v>
      </c>
      <c r="D12" s="43"/>
      <c r="E12" s="28"/>
      <c r="F12" s="28"/>
    </row>
    <row r="13" spans="1:6" ht="13" x14ac:dyDescent="0.15">
      <c r="A13" s="18">
        <v>418</v>
      </c>
      <c r="B13" s="26" t="s">
        <v>38</v>
      </c>
      <c r="C13" s="58">
        <v>6270</v>
      </c>
      <c r="D13" s="17"/>
      <c r="E13" s="17"/>
      <c r="F13" s="28"/>
    </row>
    <row r="14" spans="1:6" ht="13" x14ac:dyDescent="0.15">
      <c r="A14" s="18">
        <v>42</v>
      </c>
      <c r="B14" s="53" t="s">
        <v>7</v>
      </c>
      <c r="C14" s="93">
        <v>6060</v>
      </c>
      <c r="D14" s="82"/>
      <c r="E14" s="55"/>
      <c r="F14" s="55"/>
    </row>
    <row r="15" spans="1:6" ht="16.5" customHeight="1" x14ac:dyDescent="0.15">
      <c r="A15" s="59">
        <v>43</v>
      </c>
      <c r="B15" s="61" t="s">
        <v>8</v>
      </c>
      <c r="C15" s="15">
        <f>SUM(C16:C19)</f>
        <v>1161376.8400000001</v>
      </c>
      <c r="D15" s="65"/>
      <c r="E15" s="63"/>
      <c r="F15" s="17"/>
    </row>
    <row r="16" spans="1:6" ht="13" x14ac:dyDescent="0.15">
      <c r="A16" s="40" t="s">
        <v>40</v>
      </c>
      <c r="B16" s="42" t="s">
        <v>9</v>
      </c>
      <c r="C16" s="58">
        <v>979554.98</v>
      </c>
      <c r="D16" s="69"/>
      <c r="E16" s="67"/>
      <c r="F16" s="17"/>
    </row>
    <row r="17" spans="1:6" ht="13" x14ac:dyDescent="0.15">
      <c r="A17" s="40" t="s">
        <v>41</v>
      </c>
      <c r="B17" s="42" t="s">
        <v>10</v>
      </c>
      <c r="C17" s="58">
        <v>81241.570000000007</v>
      </c>
      <c r="D17" s="69"/>
      <c r="E17" s="67"/>
      <c r="F17" s="17"/>
    </row>
    <row r="18" spans="1:6" ht="13" x14ac:dyDescent="0.15">
      <c r="A18" s="40" t="s">
        <v>42</v>
      </c>
      <c r="B18" s="71" t="s">
        <v>11</v>
      </c>
      <c r="C18" s="111">
        <v>94864.69</v>
      </c>
      <c r="D18" s="67"/>
      <c r="E18" s="43"/>
      <c r="F18" s="85"/>
    </row>
    <row r="19" spans="1:6" ht="13" x14ac:dyDescent="0.15">
      <c r="A19" s="40" t="s">
        <v>43</v>
      </c>
      <c r="B19" s="71" t="s">
        <v>44</v>
      </c>
      <c r="C19" s="111">
        <v>5715.6</v>
      </c>
      <c r="D19" s="67"/>
      <c r="E19" s="43"/>
      <c r="F19" s="104"/>
    </row>
    <row r="20" spans="1:6" ht="13" x14ac:dyDescent="0.15">
      <c r="A20" s="18">
        <v>44</v>
      </c>
      <c r="B20" s="106" t="s">
        <v>12</v>
      </c>
      <c r="C20" s="64">
        <v>1175024.1599999999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5"/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64">
        <v>270780.24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15">
        <f>29827.62+9256</f>
        <v>39083.619999999995</v>
      </c>
      <c r="D23" s="22"/>
      <c r="E23" s="17"/>
      <c r="F23" s="17"/>
    </row>
    <row r="24" spans="1:6" ht="13" x14ac:dyDescent="0.15">
      <c r="A24" s="113">
        <v>473</v>
      </c>
      <c r="B24" s="164" t="s">
        <v>38</v>
      </c>
      <c r="C24" s="165">
        <v>48177.74</v>
      </c>
      <c r="D24" s="167">
        <f>C23+C24</f>
        <v>87261.359999999986</v>
      </c>
      <c r="E24" s="17"/>
      <c r="F24" s="17"/>
    </row>
    <row r="25" spans="1:6" ht="13" x14ac:dyDescent="0.15">
      <c r="A25" s="2"/>
      <c r="B25" s="23" t="s">
        <v>16</v>
      </c>
      <c r="C25" s="169">
        <v>4245309.5999999996</v>
      </c>
      <c r="D25" s="17"/>
      <c r="E25" s="17"/>
      <c r="F25" s="17"/>
    </row>
    <row r="26" spans="1:6" ht="13" x14ac:dyDescent="0.15">
      <c r="A26" s="2"/>
      <c r="B26" s="119" t="s">
        <v>59</v>
      </c>
      <c r="C26" s="120"/>
      <c r="D26" s="132"/>
      <c r="E26" s="132"/>
      <c r="F26" s="132"/>
    </row>
    <row r="27" spans="1:6" ht="13" x14ac:dyDescent="0.15">
      <c r="A27" s="18">
        <v>71</v>
      </c>
      <c r="B27" s="23" t="s">
        <v>46</v>
      </c>
      <c r="C27" s="200">
        <f>SUM(C29:C33)</f>
        <v>1616189.0599999998</v>
      </c>
      <c r="D27" s="143"/>
      <c r="E27" s="143"/>
      <c r="F27" s="14"/>
    </row>
    <row r="28" spans="1:6" ht="13" x14ac:dyDescent="0.15">
      <c r="A28" s="201"/>
      <c r="B28" s="251" t="s">
        <v>83</v>
      </c>
      <c r="C28" s="252">
        <v>2161.84</v>
      </c>
      <c r="D28" s="17"/>
      <c r="E28" s="17"/>
      <c r="F28" s="14"/>
    </row>
    <row r="29" spans="1:6" ht="13" x14ac:dyDescent="0.15">
      <c r="A29" s="40">
        <v>711</v>
      </c>
      <c r="B29" s="42" t="s">
        <v>48</v>
      </c>
      <c r="C29" s="111">
        <v>424325.6</v>
      </c>
      <c r="D29" s="43"/>
      <c r="E29" s="43"/>
      <c r="F29" s="28"/>
    </row>
    <row r="30" spans="1:6" ht="13" x14ac:dyDescent="0.15">
      <c r="A30" s="40">
        <v>713</v>
      </c>
      <c r="B30" s="42" t="s">
        <v>49</v>
      </c>
      <c r="C30" s="111">
        <v>48070.06</v>
      </c>
      <c r="D30" s="43"/>
      <c r="E30" s="43"/>
      <c r="F30" s="28"/>
    </row>
    <row r="31" spans="1:6" ht="13" x14ac:dyDescent="0.15">
      <c r="A31" s="40">
        <v>714</v>
      </c>
      <c r="B31" s="42" t="s">
        <v>50</v>
      </c>
      <c r="C31" s="111">
        <v>530158.07999999996</v>
      </c>
      <c r="D31" s="43"/>
      <c r="E31" s="43"/>
      <c r="F31" s="28"/>
    </row>
    <row r="32" spans="1:6" ht="13" x14ac:dyDescent="0.15">
      <c r="A32" s="136"/>
      <c r="B32" s="42" t="s">
        <v>60</v>
      </c>
      <c r="C32" s="243">
        <f>976212.24-C31</f>
        <v>446054.16000000003</v>
      </c>
      <c r="D32" s="43"/>
      <c r="E32" s="43"/>
      <c r="F32" s="28"/>
    </row>
    <row r="33" spans="1:6" ht="13" x14ac:dyDescent="0.15">
      <c r="A33" s="40">
        <v>715</v>
      </c>
      <c r="B33" s="42" t="s">
        <v>61</v>
      </c>
      <c r="C33" s="58">
        <v>167581.16</v>
      </c>
      <c r="D33" s="43"/>
      <c r="E33" s="43"/>
      <c r="F33" s="28"/>
    </row>
    <row r="34" spans="1:6" ht="13" x14ac:dyDescent="0.15">
      <c r="A34" s="18">
        <v>72</v>
      </c>
      <c r="B34" s="146" t="s">
        <v>51</v>
      </c>
      <c r="C34" s="64">
        <v>20236</v>
      </c>
      <c r="D34" s="17"/>
      <c r="E34" s="17"/>
      <c r="F34" s="43"/>
    </row>
    <row r="35" spans="1:6" ht="18" customHeight="1" x14ac:dyDescent="0.15">
      <c r="A35" s="140">
        <v>73</v>
      </c>
      <c r="B35" s="62" t="s">
        <v>62</v>
      </c>
      <c r="C35" s="256"/>
      <c r="D35" s="257"/>
      <c r="E35" s="257"/>
      <c r="F35" s="148"/>
    </row>
    <row r="36" spans="1:6" ht="13" x14ac:dyDescent="0.15">
      <c r="A36" s="270"/>
      <c r="B36" s="271" t="s">
        <v>228</v>
      </c>
      <c r="C36" s="165">
        <v>220000</v>
      </c>
      <c r="D36" s="318"/>
      <c r="E36" s="318"/>
      <c r="F36" s="158"/>
    </row>
    <row r="37" spans="1:6" ht="13" x14ac:dyDescent="0.15">
      <c r="A37" s="18">
        <v>74</v>
      </c>
      <c r="B37" s="61" t="s">
        <v>52</v>
      </c>
      <c r="C37" s="15">
        <f>C39+C40</f>
        <v>2147915.65</v>
      </c>
      <c r="D37" s="322">
        <f>C37+C36</f>
        <v>2367915.65</v>
      </c>
      <c r="E37" s="17"/>
      <c r="F37" s="17"/>
    </row>
    <row r="38" spans="1:6" ht="13" x14ac:dyDescent="0.15">
      <c r="A38" s="40">
        <v>741</v>
      </c>
      <c r="B38" s="42" t="s">
        <v>53</v>
      </c>
      <c r="C38" s="323"/>
      <c r="D38" s="324"/>
      <c r="E38" s="324"/>
      <c r="F38" s="17"/>
    </row>
    <row r="39" spans="1:6" ht="13" x14ac:dyDescent="0.15">
      <c r="A39" s="40">
        <v>742</v>
      </c>
      <c r="B39" s="42" t="s">
        <v>54</v>
      </c>
      <c r="C39" s="60">
        <v>2071615</v>
      </c>
      <c r="D39" s="82"/>
      <c r="E39" s="82"/>
      <c r="F39" s="17"/>
    </row>
    <row r="40" spans="1:6" ht="13" x14ac:dyDescent="0.15">
      <c r="A40" s="136"/>
      <c r="B40" s="42" t="s">
        <v>63</v>
      </c>
      <c r="C40" s="60">
        <v>76300.649999999994</v>
      </c>
      <c r="D40" s="83"/>
      <c r="E40" s="82"/>
      <c r="F40" s="17"/>
    </row>
    <row r="41" spans="1:6" ht="13" x14ac:dyDescent="0.15">
      <c r="A41" s="18">
        <v>751</v>
      </c>
      <c r="B41" s="106" t="s">
        <v>58</v>
      </c>
      <c r="C41" s="64">
        <v>300000</v>
      </c>
      <c r="D41" s="17"/>
      <c r="E41" s="17"/>
      <c r="F41" s="17"/>
    </row>
    <row r="42" spans="1:6" ht="13" x14ac:dyDescent="0.15">
      <c r="A42" s="2"/>
      <c r="B42" s="106" t="s">
        <v>64</v>
      </c>
      <c r="C42" s="326">
        <v>4306502.55</v>
      </c>
      <c r="D42" s="17"/>
      <c r="E42" s="17"/>
      <c r="F42" s="17"/>
    </row>
    <row r="43" spans="1:6" ht="13" x14ac:dyDescent="0.15">
      <c r="A43" s="2"/>
      <c r="B43" s="119" t="s">
        <v>65</v>
      </c>
      <c r="C43" s="120"/>
      <c r="D43" s="132"/>
      <c r="E43" s="132"/>
      <c r="F43" s="132"/>
    </row>
    <row r="44" spans="1:6" ht="13" x14ac:dyDescent="0.15">
      <c r="A44" s="2"/>
      <c r="B44" s="38" t="s">
        <v>66</v>
      </c>
      <c r="C44" s="70"/>
      <c r="D44" s="43"/>
      <c r="E44" s="43"/>
      <c r="F44" s="43"/>
    </row>
    <row r="45" spans="1:6" ht="13" x14ac:dyDescent="0.15">
      <c r="A45" s="2"/>
      <c r="B45" s="38" t="s">
        <v>67</v>
      </c>
      <c r="C45" s="70"/>
      <c r="D45" s="43"/>
      <c r="E45" s="43"/>
      <c r="F45" s="43"/>
    </row>
    <row r="46" spans="1:6" ht="13" x14ac:dyDescent="0.15">
      <c r="A46" s="2"/>
      <c r="B46" s="38" t="s">
        <v>68</v>
      </c>
      <c r="C46" s="70"/>
      <c r="D46" s="43"/>
      <c r="E46" s="43"/>
      <c r="F46" s="43"/>
    </row>
    <row r="47" spans="1:6" ht="13" x14ac:dyDescent="0.15">
      <c r="A47" s="2"/>
      <c r="B47" s="38" t="s">
        <v>69</v>
      </c>
      <c r="C47" s="70"/>
      <c r="D47" s="43"/>
      <c r="E47" s="43"/>
      <c r="F47" s="43"/>
    </row>
    <row r="48" spans="1:6" ht="13" x14ac:dyDescent="0.15">
      <c r="A48" s="2"/>
      <c r="B48" s="149"/>
      <c r="C48" s="120"/>
      <c r="D48" s="132"/>
      <c r="E48" s="132"/>
      <c r="F48" s="132"/>
    </row>
    <row r="49" spans="1:6" ht="19.5" customHeight="1" x14ac:dyDescent="0.15">
      <c r="B49" s="150"/>
      <c r="C49" s="246"/>
      <c r="D49" s="151"/>
      <c r="E49" s="150"/>
      <c r="F49" s="150"/>
    </row>
    <row r="50" spans="1:6" ht="19.5" customHeight="1" x14ac:dyDescent="0.15">
      <c r="B50" s="152" t="s">
        <v>70</v>
      </c>
      <c r="C50" s="3"/>
      <c r="D50" s="176"/>
      <c r="E50" s="1"/>
    </row>
    <row r="51" spans="1:6" ht="19.5" customHeight="1" x14ac:dyDescent="0.15">
      <c r="A51" s="2"/>
      <c r="B51" s="177" t="s">
        <v>71</v>
      </c>
      <c r="C51" s="231">
        <f>SUM(C52:C63)</f>
        <v>3070285.4400000004</v>
      </c>
      <c r="D51" s="178"/>
      <c r="E51" s="247"/>
      <c r="F51" s="8"/>
    </row>
    <row r="52" spans="1:6" ht="24" customHeight="1" x14ac:dyDescent="0.15">
      <c r="A52" s="2"/>
      <c r="B52" s="179" t="s">
        <v>225</v>
      </c>
      <c r="C52" s="184">
        <v>269662.36</v>
      </c>
      <c r="D52" s="185"/>
      <c r="E52" s="242"/>
      <c r="F52" s="8"/>
    </row>
    <row r="53" spans="1:6" ht="24" customHeight="1" x14ac:dyDescent="0.15">
      <c r="A53" s="2"/>
      <c r="B53" s="179" t="s">
        <v>128</v>
      </c>
      <c r="C53" s="184">
        <v>193826.5</v>
      </c>
      <c r="D53" s="185"/>
      <c r="E53" s="242"/>
      <c r="F53" s="8"/>
    </row>
    <row r="54" spans="1:6" ht="24" customHeight="1" x14ac:dyDescent="0.15">
      <c r="A54" s="2"/>
      <c r="B54" s="186" t="s">
        <v>85</v>
      </c>
      <c r="C54" s="184">
        <v>31982.79</v>
      </c>
      <c r="D54" s="185"/>
      <c r="E54" s="242"/>
      <c r="F54" s="8"/>
    </row>
    <row r="55" spans="1:6" ht="24" customHeight="1" x14ac:dyDescent="0.15">
      <c r="A55" s="2"/>
      <c r="B55" s="186" t="s">
        <v>160</v>
      </c>
      <c r="C55" s="184">
        <v>1298575.48</v>
      </c>
      <c r="D55" s="185"/>
      <c r="E55" s="242"/>
      <c r="F55" s="8"/>
    </row>
    <row r="56" spans="1:6" ht="24" customHeight="1" x14ac:dyDescent="0.15">
      <c r="A56" s="2"/>
      <c r="B56" s="179" t="s">
        <v>86</v>
      </c>
      <c r="C56" s="184">
        <v>157279.04000000001</v>
      </c>
      <c r="D56" s="185"/>
      <c r="E56" s="242"/>
      <c r="F56" s="8"/>
    </row>
    <row r="57" spans="1:6" ht="24" customHeight="1" x14ac:dyDescent="0.15">
      <c r="A57" s="2"/>
      <c r="B57" s="179" t="s">
        <v>152</v>
      </c>
      <c r="C57" s="184">
        <v>290286.25</v>
      </c>
      <c r="D57" s="185"/>
      <c r="E57" s="242"/>
      <c r="F57" s="8"/>
    </row>
    <row r="58" spans="1:6" ht="24" customHeight="1" x14ac:dyDescent="0.15">
      <c r="A58" s="2"/>
      <c r="B58" s="179" t="s">
        <v>261</v>
      </c>
      <c r="C58" s="184">
        <v>324688.09999999998</v>
      </c>
      <c r="D58" s="185"/>
      <c r="E58" s="242"/>
      <c r="F58" s="8"/>
    </row>
    <row r="59" spans="1:6" ht="24" customHeight="1" x14ac:dyDescent="0.15">
      <c r="A59" s="2"/>
      <c r="B59" s="186" t="s">
        <v>262</v>
      </c>
      <c r="C59" s="184">
        <v>90100.27</v>
      </c>
      <c r="D59" s="185"/>
      <c r="E59" s="242"/>
      <c r="F59" s="8"/>
    </row>
    <row r="60" spans="1:6" ht="24" customHeight="1" x14ac:dyDescent="0.15">
      <c r="A60" s="2"/>
      <c r="B60" s="186" t="s">
        <v>91</v>
      </c>
      <c r="C60" s="184">
        <v>41799.15</v>
      </c>
      <c r="D60" s="185"/>
      <c r="E60" s="242"/>
      <c r="F60" s="8"/>
    </row>
    <row r="61" spans="1:6" ht="24" customHeight="1" x14ac:dyDescent="0.15">
      <c r="A61" s="2"/>
      <c r="B61" s="186" t="s">
        <v>94</v>
      </c>
      <c r="C61" s="184">
        <v>128063.14</v>
      </c>
      <c r="D61" s="185"/>
      <c r="E61" s="242"/>
      <c r="F61" s="8"/>
    </row>
    <row r="62" spans="1:6" ht="24" customHeight="1" x14ac:dyDescent="0.15">
      <c r="A62" s="2"/>
      <c r="B62" s="186" t="s">
        <v>95</v>
      </c>
      <c r="C62" s="184">
        <v>192094.47</v>
      </c>
      <c r="D62" s="185"/>
      <c r="E62" s="242"/>
      <c r="F62" s="8"/>
    </row>
    <row r="63" spans="1:6" ht="24" customHeight="1" x14ac:dyDescent="0.15">
      <c r="A63" s="2"/>
      <c r="B63" s="186" t="s">
        <v>263</v>
      </c>
      <c r="C63" s="184">
        <v>51927.89</v>
      </c>
      <c r="D63" s="185"/>
      <c r="E63" s="242"/>
      <c r="F63" s="8"/>
    </row>
    <row r="64" spans="1:6" ht="19.5" customHeight="1" x14ac:dyDescent="0.15">
      <c r="A64" s="2"/>
      <c r="B64" s="330"/>
      <c r="C64" s="185"/>
      <c r="D64" s="185"/>
      <c r="E64" s="242"/>
      <c r="F64" s="8"/>
    </row>
    <row r="65" spans="1:6" ht="19.5" customHeight="1" x14ac:dyDescent="0.15">
      <c r="A65" s="2"/>
      <c r="B65" s="332" t="s">
        <v>118</v>
      </c>
      <c r="C65" s="250">
        <v>1175024.1599999999</v>
      </c>
      <c r="D65" s="185"/>
      <c r="E65" s="242"/>
      <c r="F65" s="8"/>
    </row>
    <row r="66" spans="1:6" ht="19.5" customHeight="1" x14ac:dyDescent="0.15">
      <c r="A66" s="2"/>
      <c r="B66" s="188"/>
      <c r="C66" s="185"/>
      <c r="D66" s="185"/>
      <c r="E66" s="242"/>
      <c r="F66" s="8"/>
    </row>
    <row r="67" spans="1:6" ht="19.5" customHeight="1" x14ac:dyDescent="0.15">
      <c r="A67" s="2"/>
      <c r="B67" s="177" t="s">
        <v>81</v>
      </c>
      <c r="C67" s="190">
        <f>C65+C51</f>
        <v>4245309.6000000006</v>
      </c>
      <c r="D67" s="245"/>
      <c r="E67" s="245"/>
      <c r="F67" s="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2"/>
      <c r="B2" s="4" t="s">
        <v>17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9"/>
      <c r="D3" s="10"/>
      <c r="E3" s="11"/>
      <c r="F3" s="12"/>
    </row>
    <row r="4" spans="1:6" ht="13" x14ac:dyDescent="0.15">
      <c r="A4" s="2"/>
      <c r="B4" s="14"/>
      <c r="C4" s="16"/>
      <c r="D4" s="17"/>
      <c r="E4" s="17"/>
      <c r="F4" s="17"/>
    </row>
    <row r="5" spans="1:6" ht="13" x14ac:dyDescent="0.15">
      <c r="A5" s="18">
        <v>41</v>
      </c>
      <c r="B5" s="23" t="s">
        <v>0</v>
      </c>
      <c r="C5" s="100">
        <v>4372605.8499999996</v>
      </c>
      <c r="D5" s="17"/>
      <c r="E5" s="17"/>
      <c r="F5" s="17"/>
    </row>
    <row r="6" spans="1:6" ht="13" x14ac:dyDescent="0.15">
      <c r="A6" s="18">
        <v>411</v>
      </c>
      <c r="B6" s="26" t="s">
        <v>36</v>
      </c>
      <c r="C6" s="27">
        <v>1465231.54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27">
        <v>54799.6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27">
        <v>1377846.78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27">
        <v>301103.31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27">
        <v>1032011.56</v>
      </c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27">
        <v>78636.429999999993</v>
      </c>
      <c r="D11" s="17"/>
      <c r="E11" s="17"/>
      <c r="F11" s="28"/>
    </row>
    <row r="12" spans="1:6" ht="13" x14ac:dyDescent="0.15">
      <c r="A12" s="18">
        <v>417</v>
      </c>
      <c r="B12" s="26" t="s">
        <v>6</v>
      </c>
      <c r="C12" s="27">
        <v>62976.63</v>
      </c>
      <c r="D12" s="17"/>
      <c r="E12" s="17"/>
      <c r="F12" s="28"/>
    </row>
    <row r="13" spans="1:6" ht="13" x14ac:dyDescent="0.15">
      <c r="A13" s="18">
        <v>418</v>
      </c>
      <c r="B13" s="26" t="s">
        <v>38</v>
      </c>
      <c r="C13" s="56"/>
      <c r="D13" s="17"/>
      <c r="E13" s="17"/>
      <c r="F13" s="28"/>
    </row>
    <row r="14" spans="1:6" ht="13" x14ac:dyDescent="0.15">
      <c r="A14" s="18">
        <v>42</v>
      </c>
      <c r="B14" s="62" t="s">
        <v>7</v>
      </c>
      <c r="C14" s="16"/>
      <c r="D14" s="17"/>
      <c r="E14" s="17"/>
      <c r="F14" s="28"/>
    </row>
    <row r="15" spans="1:6" ht="16.5" customHeight="1" x14ac:dyDescent="0.15">
      <c r="A15" s="59">
        <v>43</v>
      </c>
      <c r="B15" s="61" t="s">
        <v>8</v>
      </c>
      <c r="C15" s="64">
        <v>1180466.71</v>
      </c>
      <c r="D15" s="101"/>
      <c r="E15" s="63"/>
      <c r="F15" s="17"/>
    </row>
    <row r="16" spans="1:6" ht="13" x14ac:dyDescent="0.15">
      <c r="A16" s="40" t="s">
        <v>40</v>
      </c>
      <c r="B16" s="42" t="s">
        <v>9</v>
      </c>
      <c r="C16" s="27">
        <v>351330.09</v>
      </c>
      <c r="D16" s="43"/>
      <c r="E16" s="43"/>
      <c r="F16" s="17"/>
    </row>
    <row r="17" spans="1:6" ht="13" x14ac:dyDescent="0.15">
      <c r="A17" s="40" t="s">
        <v>41</v>
      </c>
      <c r="B17" s="42" t="s">
        <v>10</v>
      </c>
      <c r="C17" s="58">
        <v>89966.58</v>
      </c>
      <c r="D17" s="67"/>
      <c r="E17" s="67"/>
      <c r="F17" s="17"/>
    </row>
    <row r="18" spans="1:6" ht="13" x14ac:dyDescent="0.15">
      <c r="A18" s="40" t="s">
        <v>42</v>
      </c>
      <c r="B18" s="71" t="s">
        <v>11</v>
      </c>
      <c r="C18" s="27">
        <v>238594.4</v>
      </c>
      <c r="D18" s="43"/>
      <c r="E18" s="43"/>
      <c r="F18" s="81"/>
    </row>
    <row r="19" spans="1:6" ht="13" x14ac:dyDescent="0.15">
      <c r="A19" s="40" t="s">
        <v>43</v>
      </c>
      <c r="B19" s="71" t="s">
        <v>44</v>
      </c>
      <c r="C19" s="27">
        <v>500575.64</v>
      </c>
      <c r="D19" s="43"/>
      <c r="E19" s="43"/>
      <c r="F19" s="81"/>
    </row>
    <row r="20" spans="1:6" ht="13" x14ac:dyDescent="0.15">
      <c r="A20" s="18">
        <v>44</v>
      </c>
      <c r="B20" s="106" t="s">
        <v>12</v>
      </c>
      <c r="C20" s="107">
        <v>2600929.38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07">
        <v>500</v>
      </c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107">
        <v>5910368.79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107">
        <v>1157908.8600000001</v>
      </c>
      <c r="D23" s="17"/>
      <c r="E23" s="17"/>
      <c r="F23" s="17"/>
    </row>
    <row r="24" spans="1:6" ht="13" x14ac:dyDescent="0.15">
      <c r="A24" s="2"/>
      <c r="B24" s="23" t="s">
        <v>16</v>
      </c>
      <c r="C24" s="126">
        <v>15222779.59</v>
      </c>
      <c r="D24" s="17"/>
      <c r="E24" s="17"/>
      <c r="F24" s="17"/>
    </row>
    <row r="25" spans="1:6" ht="13" x14ac:dyDescent="0.15">
      <c r="A25" s="2"/>
      <c r="B25" s="119" t="s">
        <v>59</v>
      </c>
      <c r="C25" s="128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191">
        <f>SUM(C27:C31)</f>
        <v>9619919.5899999999</v>
      </c>
      <c r="D26" s="96"/>
      <c r="E26" s="17"/>
      <c r="F26" s="14"/>
    </row>
    <row r="27" spans="1:6" ht="13" x14ac:dyDescent="0.15">
      <c r="A27" s="40">
        <v>711</v>
      </c>
      <c r="B27" s="42" t="s">
        <v>48</v>
      </c>
      <c r="C27" s="27">
        <v>7482880.0999999996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27">
        <v>265831.17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43">
        <f>138364.06+113964.01</f>
        <v>252328.07</v>
      </c>
      <c r="D29" s="96"/>
      <c r="E29" s="43"/>
      <c r="F29" s="28"/>
    </row>
    <row r="30" spans="1:6" ht="13" x14ac:dyDescent="0.15">
      <c r="A30" s="136"/>
      <c r="B30" s="42" t="s">
        <v>60</v>
      </c>
      <c r="C30" s="196">
        <f>1591525.33-C29</f>
        <v>1339197.26</v>
      </c>
      <c r="D30" s="43"/>
      <c r="E30" s="43"/>
      <c r="F30" s="28"/>
    </row>
    <row r="31" spans="1:6" ht="13" x14ac:dyDescent="0.15">
      <c r="A31" s="40">
        <v>715</v>
      </c>
      <c r="B31" s="42" t="s">
        <v>61</v>
      </c>
      <c r="C31" s="27">
        <v>279682.99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107">
        <v>143694.43</v>
      </c>
      <c r="D32" s="17"/>
      <c r="E32" s="17"/>
      <c r="F32" s="43"/>
    </row>
    <row r="33" spans="1:6" ht="18" customHeight="1" x14ac:dyDescent="0.15">
      <c r="A33" s="140">
        <v>73</v>
      </c>
      <c r="B33" s="62" t="s">
        <v>62</v>
      </c>
      <c r="C33" s="263">
        <v>7158.37</v>
      </c>
      <c r="D33" s="65"/>
      <c r="E33" s="65"/>
      <c r="F33" s="148"/>
    </row>
    <row r="34" spans="1:6" ht="13" x14ac:dyDescent="0.15">
      <c r="A34" s="18">
        <v>74</v>
      </c>
      <c r="B34" s="61" t="s">
        <v>52</v>
      </c>
      <c r="C34" s="107">
        <v>3996343.97</v>
      </c>
      <c r="D34" s="17"/>
      <c r="E34" s="17"/>
      <c r="F34" s="17"/>
    </row>
    <row r="35" spans="1:6" ht="13" x14ac:dyDescent="0.15">
      <c r="A35" s="40">
        <v>741</v>
      </c>
      <c r="B35" s="42" t="s">
        <v>53</v>
      </c>
      <c r="C35" s="56"/>
      <c r="D35" s="43"/>
      <c r="E35" s="43"/>
      <c r="F35" s="17"/>
    </row>
    <row r="36" spans="1:6" ht="13" x14ac:dyDescent="0.15">
      <c r="A36" s="40">
        <v>742</v>
      </c>
      <c r="B36" s="42" t="s">
        <v>54</v>
      </c>
      <c r="C36" s="27">
        <v>3876343.97</v>
      </c>
      <c r="D36" s="43"/>
      <c r="E36" s="43"/>
      <c r="F36" s="17"/>
    </row>
    <row r="37" spans="1:6" ht="13" x14ac:dyDescent="0.15">
      <c r="A37" s="136"/>
      <c r="B37" s="42" t="s">
        <v>63</v>
      </c>
      <c r="C37" s="182">
        <f>C34-C36</f>
        <v>120000</v>
      </c>
      <c r="D37" s="170"/>
      <c r="E37" s="170"/>
      <c r="F37" s="17"/>
    </row>
    <row r="38" spans="1:6" ht="13" x14ac:dyDescent="0.15">
      <c r="A38" s="18">
        <v>751</v>
      </c>
      <c r="B38" s="106" t="s">
        <v>58</v>
      </c>
      <c r="C38" s="107">
        <v>1595475.46</v>
      </c>
      <c r="D38" s="17"/>
      <c r="E38" s="17"/>
      <c r="F38" s="17"/>
    </row>
    <row r="39" spans="1:6" ht="13" x14ac:dyDescent="0.15">
      <c r="A39" s="2"/>
      <c r="B39" s="106" t="s">
        <v>64</v>
      </c>
      <c r="C39" s="126">
        <v>15362591.82</v>
      </c>
      <c r="D39" s="17"/>
      <c r="E39" s="17"/>
      <c r="F39" s="17"/>
    </row>
    <row r="40" spans="1:6" ht="13" x14ac:dyDescent="0.15">
      <c r="A40" s="2"/>
      <c r="B40" s="119" t="s">
        <v>65</v>
      </c>
      <c r="C40" s="128"/>
      <c r="D40" s="132"/>
      <c r="E40" s="132"/>
      <c r="F40" s="132"/>
    </row>
    <row r="41" spans="1:6" ht="13" x14ac:dyDescent="0.15">
      <c r="A41" s="2"/>
      <c r="B41" s="38" t="s">
        <v>66</v>
      </c>
      <c r="C41" s="56"/>
      <c r="D41" s="43"/>
      <c r="E41" s="43"/>
      <c r="F41" s="43"/>
    </row>
    <row r="42" spans="1:6" ht="13" x14ac:dyDescent="0.15">
      <c r="A42" s="2"/>
      <c r="B42" s="38" t="s">
        <v>67</v>
      </c>
      <c r="C42" s="56"/>
      <c r="D42" s="43"/>
      <c r="E42" s="43"/>
      <c r="F42" s="43"/>
    </row>
    <row r="43" spans="1:6" ht="13" x14ac:dyDescent="0.15">
      <c r="A43" s="2"/>
      <c r="B43" s="38" t="s">
        <v>68</v>
      </c>
      <c r="C43" s="56"/>
      <c r="D43" s="43"/>
      <c r="E43" s="43"/>
      <c r="F43" s="43"/>
    </row>
    <row r="44" spans="1:6" ht="13" x14ac:dyDescent="0.15">
      <c r="A44" s="2"/>
      <c r="B44" s="38" t="s">
        <v>69</v>
      </c>
      <c r="C44" s="56"/>
      <c r="D44" s="43"/>
      <c r="E44" s="43"/>
      <c r="F44" s="43"/>
    </row>
    <row r="45" spans="1:6" ht="13" x14ac:dyDescent="0.15">
      <c r="A45" s="2"/>
      <c r="B45" s="149"/>
      <c r="C45" s="128"/>
      <c r="D45" s="132"/>
      <c r="E45" s="132"/>
      <c r="F45" s="132"/>
    </row>
    <row r="46" spans="1:6" ht="19.5" customHeight="1" x14ac:dyDescent="0.15">
      <c r="B46" s="150"/>
      <c r="C46" s="150"/>
      <c r="D46" s="151"/>
      <c r="E46" s="150"/>
      <c r="F46" s="150"/>
    </row>
    <row r="47" spans="1:6" ht="19.5" customHeight="1" x14ac:dyDescent="0.15">
      <c r="B47" s="152" t="s">
        <v>70</v>
      </c>
      <c r="C47" s="1"/>
      <c r="D47" s="176"/>
      <c r="E47" s="1"/>
    </row>
    <row r="48" spans="1:6" ht="19.5" customHeight="1" x14ac:dyDescent="0.15">
      <c r="A48" s="2"/>
      <c r="B48" s="177" t="s">
        <v>71</v>
      </c>
      <c r="C48" s="231"/>
      <c r="D48" s="178"/>
      <c r="E48" s="170"/>
      <c r="F48" s="8"/>
    </row>
    <row r="49" spans="1:6" ht="19.5" customHeight="1" x14ac:dyDescent="0.15">
      <c r="A49" s="2"/>
      <c r="B49" s="179" t="s">
        <v>212</v>
      </c>
      <c r="C49" s="184">
        <v>409917.08</v>
      </c>
      <c r="D49" s="178"/>
      <c r="E49" s="170"/>
      <c r="F49" s="8"/>
    </row>
    <row r="50" spans="1:6" ht="19.5" customHeight="1" x14ac:dyDescent="0.15">
      <c r="A50" s="2"/>
      <c r="B50" s="186" t="s">
        <v>122</v>
      </c>
      <c r="C50" s="184">
        <v>200822.57</v>
      </c>
      <c r="D50" s="178"/>
      <c r="E50" s="170"/>
      <c r="F50" s="8"/>
    </row>
    <row r="51" spans="1:6" ht="19.5" customHeight="1" x14ac:dyDescent="0.15">
      <c r="A51" s="2"/>
      <c r="B51" s="186" t="s">
        <v>213</v>
      </c>
      <c r="C51" s="184">
        <v>98331.16</v>
      </c>
      <c r="D51" s="178"/>
      <c r="E51" s="170"/>
      <c r="F51" s="8"/>
    </row>
    <row r="52" spans="1:6" ht="19.5" customHeight="1" x14ac:dyDescent="0.15">
      <c r="A52" s="2"/>
      <c r="B52" s="186" t="s">
        <v>214</v>
      </c>
      <c r="C52" s="184">
        <v>62341.82</v>
      </c>
      <c r="D52" s="178"/>
      <c r="E52" s="170"/>
      <c r="F52" s="8"/>
    </row>
    <row r="53" spans="1:6" ht="19.5" customHeight="1" x14ac:dyDescent="0.15">
      <c r="A53" s="2"/>
      <c r="B53" s="186" t="s">
        <v>215</v>
      </c>
      <c r="C53" s="184">
        <v>43298.12</v>
      </c>
      <c r="D53" s="178"/>
      <c r="E53" s="170"/>
      <c r="F53" s="8"/>
    </row>
    <row r="54" spans="1:6" ht="19.5" customHeight="1" x14ac:dyDescent="0.15">
      <c r="A54" s="2"/>
      <c r="B54" s="186" t="s">
        <v>216</v>
      </c>
      <c r="C54" s="184">
        <v>61657.77</v>
      </c>
      <c r="D54" s="178"/>
      <c r="E54" s="170"/>
      <c r="F54" s="8"/>
    </row>
    <row r="55" spans="1:6" ht="19.5" customHeight="1" x14ac:dyDescent="0.15">
      <c r="A55" s="2"/>
      <c r="B55" s="186" t="s">
        <v>160</v>
      </c>
      <c r="C55" s="184">
        <v>620103.87</v>
      </c>
      <c r="D55" s="178"/>
      <c r="E55" s="170"/>
      <c r="F55" s="8"/>
    </row>
    <row r="56" spans="1:6" ht="19.5" customHeight="1" x14ac:dyDescent="0.15">
      <c r="A56" s="2"/>
      <c r="B56" s="186" t="s">
        <v>124</v>
      </c>
      <c r="C56" s="184">
        <v>198445.56</v>
      </c>
      <c r="D56" s="178"/>
      <c r="E56" s="170"/>
      <c r="F56" s="8"/>
    </row>
    <row r="57" spans="1:6" ht="19.5" customHeight="1" x14ac:dyDescent="0.15">
      <c r="A57" s="2"/>
      <c r="B57" s="186" t="s">
        <v>217</v>
      </c>
      <c r="C57" s="184">
        <v>13692.87</v>
      </c>
      <c r="D57" s="178"/>
      <c r="E57" s="170"/>
      <c r="F57" s="8"/>
    </row>
    <row r="58" spans="1:6" ht="19.5" customHeight="1" x14ac:dyDescent="0.15">
      <c r="A58" s="2"/>
      <c r="B58" s="186" t="s">
        <v>218</v>
      </c>
      <c r="C58" s="184">
        <v>14459.22</v>
      </c>
      <c r="D58" s="178"/>
      <c r="E58" s="170"/>
      <c r="F58" s="8"/>
    </row>
    <row r="59" spans="1:6" ht="19.5" customHeight="1" x14ac:dyDescent="0.15">
      <c r="A59" s="2"/>
      <c r="B59" s="186" t="s">
        <v>219</v>
      </c>
      <c r="C59" s="184">
        <v>98726.03</v>
      </c>
      <c r="D59" s="178"/>
      <c r="E59" s="170"/>
      <c r="F59" s="8"/>
    </row>
    <row r="60" spans="1:6" ht="19.5" customHeight="1" x14ac:dyDescent="0.15">
      <c r="A60" s="2"/>
      <c r="B60" s="186" t="s">
        <v>220</v>
      </c>
      <c r="C60" s="184">
        <v>1253832.32</v>
      </c>
      <c r="D60" s="178"/>
      <c r="E60" s="170"/>
      <c r="F60" s="8"/>
    </row>
    <row r="61" spans="1:6" ht="19.5" customHeight="1" x14ac:dyDescent="0.15">
      <c r="A61" s="2"/>
      <c r="B61" s="186" t="s">
        <v>221</v>
      </c>
      <c r="C61" s="184">
        <v>533232.43999999994</v>
      </c>
      <c r="D61" s="178"/>
      <c r="E61" s="170"/>
      <c r="F61" s="8"/>
    </row>
    <row r="62" spans="1:6" ht="19.5" customHeight="1" x14ac:dyDescent="0.15">
      <c r="A62" s="2"/>
      <c r="B62" s="186" t="s">
        <v>91</v>
      </c>
      <c r="C62" s="184">
        <v>80162.820000000007</v>
      </c>
      <c r="D62" s="178"/>
      <c r="E62" s="170"/>
      <c r="F62" s="8"/>
    </row>
    <row r="63" spans="1:6" ht="19.5" customHeight="1" x14ac:dyDescent="0.15">
      <c r="A63" s="2"/>
      <c r="B63" s="186" t="s">
        <v>222</v>
      </c>
      <c r="C63" s="184">
        <v>187627.21</v>
      </c>
      <c r="D63" s="178"/>
      <c r="E63" s="170"/>
      <c r="F63" s="8"/>
    </row>
    <row r="64" spans="1:6" ht="19.5" customHeight="1" x14ac:dyDescent="0.15">
      <c r="A64" s="2"/>
      <c r="B64" s="186" t="s">
        <v>94</v>
      </c>
      <c r="C64" s="184">
        <v>262000.95</v>
      </c>
      <c r="D64" s="178"/>
      <c r="E64" s="170"/>
      <c r="F64" s="8"/>
    </row>
    <row r="65" spans="1:6" ht="19.5" customHeight="1" x14ac:dyDescent="0.15">
      <c r="A65" s="2"/>
      <c r="B65" s="186" t="s">
        <v>80</v>
      </c>
      <c r="C65" s="184">
        <v>373029.74</v>
      </c>
      <c r="D65" s="178"/>
      <c r="E65" s="170"/>
      <c r="F65" s="8"/>
    </row>
    <row r="66" spans="1:6" ht="19.5" customHeight="1" x14ac:dyDescent="0.15">
      <c r="A66" s="2"/>
      <c r="B66" s="186" t="s">
        <v>130</v>
      </c>
      <c r="C66" s="184">
        <v>409827</v>
      </c>
      <c r="D66" s="178"/>
      <c r="E66" s="170"/>
      <c r="F66" s="8"/>
    </row>
    <row r="67" spans="1:6" ht="19.5" customHeight="1" x14ac:dyDescent="0.15">
      <c r="A67" s="2"/>
      <c r="B67" s="186" t="s">
        <v>223</v>
      </c>
      <c r="C67" s="184">
        <v>56672.93</v>
      </c>
      <c r="D67" s="178"/>
      <c r="E67" s="170"/>
      <c r="F67" s="8"/>
    </row>
    <row r="68" spans="1:6" ht="19.5" customHeight="1" x14ac:dyDescent="0.15">
      <c r="A68" s="2"/>
      <c r="B68" s="186" t="s">
        <v>224</v>
      </c>
      <c r="C68" s="184">
        <v>204442.55</v>
      </c>
      <c r="D68" s="178"/>
      <c r="E68" s="170"/>
      <c r="F68" s="8"/>
    </row>
    <row r="69" spans="1:6" ht="19.5" customHeight="1" x14ac:dyDescent="0.15">
      <c r="A69" s="2"/>
      <c r="B69" s="186" t="s">
        <v>78</v>
      </c>
      <c r="C69" s="184">
        <v>180369.5</v>
      </c>
      <c r="D69" s="178"/>
      <c r="E69" s="170"/>
      <c r="F69" s="8"/>
    </row>
    <row r="70" spans="1:6" ht="19.5" customHeight="1" x14ac:dyDescent="0.15">
      <c r="A70" s="2"/>
      <c r="B70" s="186" t="s">
        <v>225</v>
      </c>
      <c r="C70" s="184">
        <v>6074660.6699999999</v>
      </c>
      <c r="D70" s="178"/>
      <c r="E70" s="170"/>
      <c r="F70" s="8"/>
    </row>
    <row r="71" spans="1:6" ht="19.5" customHeight="1" x14ac:dyDescent="0.15">
      <c r="A71" s="2"/>
      <c r="B71" s="186" t="s">
        <v>158</v>
      </c>
      <c r="C71" s="184">
        <v>29932.98</v>
      </c>
      <c r="D71" s="178"/>
      <c r="E71" s="170"/>
      <c r="F71" s="8"/>
    </row>
    <row r="72" spans="1:6" ht="19.5" customHeight="1" x14ac:dyDescent="0.15">
      <c r="A72" s="2"/>
      <c r="B72" s="186" t="s">
        <v>187</v>
      </c>
      <c r="C72" s="184">
        <v>257981.67</v>
      </c>
      <c r="D72" s="178"/>
      <c r="E72" s="170"/>
      <c r="F72" s="8"/>
    </row>
    <row r="73" spans="1:6" ht="19.5" customHeight="1" x14ac:dyDescent="0.15">
      <c r="A73" s="2"/>
      <c r="B73" s="188"/>
      <c r="C73" s="185"/>
      <c r="D73" s="178"/>
      <c r="E73" s="170"/>
      <c r="F73" s="8"/>
    </row>
    <row r="74" spans="1:6" ht="19.5" customHeight="1" x14ac:dyDescent="0.15">
      <c r="A74" s="2"/>
      <c r="B74" s="236" t="s">
        <v>226</v>
      </c>
      <c r="C74" s="231"/>
      <c r="D74" s="178"/>
      <c r="E74" s="170"/>
      <c r="F74" s="8"/>
    </row>
    <row r="75" spans="1:6" ht="19.5" customHeight="1" x14ac:dyDescent="0.15">
      <c r="A75" s="2"/>
      <c r="B75" s="188"/>
      <c r="C75" s="185"/>
      <c r="D75" s="178"/>
      <c r="E75" s="170"/>
      <c r="F75" s="8"/>
    </row>
    <row r="76" spans="1:6" ht="19.5" customHeight="1" x14ac:dyDescent="0.15">
      <c r="A76" s="2"/>
      <c r="B76" s="236" t="s">
        <v>81</v>
      </c>
      <c r="C76" s="190">
        <f>SUM(C49:C72)</f>
        <v>11725568.85</v>
      </c>
      <c r="D76" s="96"/>
      <c r="E76" s="275"/>
      <c r="F76" s="8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0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44"/>
      <c r="D1" s="1"/>
      <c r="E1" s="1"/>
      <c r="F1" s="1"/>
    </row>
    <row r="2" spans="1:6" ht="13" x14ac:dyDescent="0.15">
      <c r="A2" s="2"/>
      <c r="B2" s="4" t="s">
        <v>47</v>
      </c>
      <c r="C2" s="4">
        <v>2012</v>
      </c>
      <c r="D2" s="5"/>
      <c r="E2" s="5"/>
      <c r="F2" s="6"/>
    </row>
    <row r="3" spans="1:6" ht="13" x14ac:dyDescent="0.15">
      <c r="A3" s="2"/>
      <c r="B3" s="7" t="s">
        <v>23</v>
      </c>
      <c r="C3" s="9"/>
      <c r="D3" s="10"/>
      <c r="E3" s="11"/>
      <c r="F3" s="12"/>
    </row>
    <row r="4" spans="1:6" ht="13" x14ac:dyDescent="0.15">
      <c r="A4" s="2"/>
      <c r="B4" s="14"/>
      <c r="C4" s="16"/>
      <c r="D4" s="17"/>
      <c r="E4" s="17"/>
      <c r="F4" s="17"/>
    </row>
    <row r="5" spans="1:6" ht="13" x14ac:dyDescent="0.15">
      <c r="A5" s="18">
        <v>41</v>
      </c>
      <c r="B5" s="23" t="s">
        <v>0</v>
      </c>
      <c r="C5" s="34">
        <f>SUM(C6:C13)</f>
        <v>622775.33000000007</v>
      </c>
      <c r="D5" s="96"/>
      <c r="E5" s="30"/>
      <c r="F5" s="17"/>
    </row>
    <row r="6" spans="1:6" ht="13" x14ac:dyDescent="0.15">
      <c r="A6" s="18">
        <v>411</v>
      </c>
      <c r="B6" s="26" t="s">
        <v>36</v>
      </c>
      <c r="C6" s="97">
        <v>460078.94</v>
      </c>
      <c r="D6" s="17"/>
      <c r="E6" s="17"/>
      <c r="F6" s="28"/>
    </row>
    <row r="7" spans="1:6" ht="13" x14ac:dyDescent="0.15">
      <c r="A7" s="18">
        <v>412</v>
      </c>
      <c r="B7" s="38" t="s">
        <v>37</v>
      </c>
      <c r="C7" s="97">
        <v>37559.480000000003</v>
      </c>
      <c r="D7" s="17"/>
      <c r="E7" s="17"/>
      <c r="F7" s="28"/>
    </row>
    <row r="8" spans="1:6" ht="13" x14ac:dyDescent="0.15">
      <c r="A8" s="18">
        <v>413</v>
      </c>
      <c r="B8" s="38" t="s">
        <v>2</v>
      </c>
      <c r="C8" s="97">
        <v>104719.46</v>
      </c>
      <c r="D8" s="17"/>
      <c r="E8" s="17"/>
      <c r="F8" s="28"/>
    </row>
    <row r="9" spans="1:6" ht="13" x14ac:dyDescent="0.15">
      <c r="A9" s="40">
        <v>414</v>
      </c>
      <c r="B9" s="26" t="s">
        <v>3</v>
      </c>
      <c r="C9" s="97">
        <v>6085.93</v>
      </c>
      <c r="D9" s="17"/>
      <c r="E9" s="17"/>
      <c r="F9" s="28"/>
    </row>
    <row r="10" spans="1:6" ht="13" x14ac:dyDescent="0.15">
      <c r="A10" s="18">
        <v>415</v>
      </c>
      <c r="B10" s="42" t="s">
        <v>4</v>
      </c>
      <c r="C10" s="99"/>
      <c r="D10" s="17"/>
      <c r="E10" s="17"/>
      <c r="F10" s="28"/>
    </row>
    <row r="11" spans="1:6" ht="13" x14ac:dyDescent="0.15">
      <c r="A11" s="18">
        <v>416</v>
      </c>
      <c r="B11" s="26" t="s">
        <v>5</v>
      </c>
      <c r="C11" s="99"/>
      <c r="D11" s="17"/>
      <c r="E11" s="17"/>
      <c r="F11" s="28"/>
    </row>
    <row r="12" spans="1:6" ht="13" x14ac:dyDescent="0.15">
      <c r="A12" s="18">
        <v>417</v>
      </c>
      <c r="B12" s="26" t="s">
        <v>6</v>
      </c>
      <c r="C12" s="99"/>
      <c r="D12" s="43"/>
      <c r="E12" s="17"/>
      <c r="F12" s="28"/>
    </row>
    <row r="13" spans="1:6" ht="13" x14ac:dyDescent="0.15">
      <c r="A13" s="18">
        <v>418</v>
      </c>
      <c r="B13" s="26" t="s">
        <v>38</v>
      </c>
      <c r="C13" s="97">
        <v>14331.52</v>
      </c>
      <c r="D13" s="17"/>
      <c r="E13" s="17"/>
      <c r="F13" s="28"/>
    </row>
    <row r="14" spans="1:6" ht="13" x14ac:dyDescent="0.15">
      <c r="A14" s="18">
        <v>42</v>
      </c>
      <c r="B14" s="53" t="s">
        <v>7</v>
      </c>
      <c r="C14" s="180">
        <v>919.93</v>
      </c>
      <c r="D14" s="22"/>
      <c r="E14" s="22"/>
      <c r="F14" s="55"/>
    </row>
    <row r="15" spans="1:6" ht="16.5" customHeight="1" x14ac:dyDescent="0.15">
      <c r="A15" s="59">
        <v>43</v>
      </c>
      <c r="B15" s="61" t="s">
        <v>8</v>
      </c>
      <c r="C15" s="101">
        <f>SUM(C16:C19)</f>
        <v>146278.09999999998</v>
      </c>
      <c r="D15" s="96"/>
      <c r="E15" s="63"/>
      <c r="F15" s="17"/>
    </row>
    <row r="16" spans="1:6" ht="13" x14ac:dyDescent="0.15">
      <c r="A16" s="40" t="s">
        <v>40</v>
      </c>
      <c r="B16" s="42" t="s">
        <v>9</v>
      </c>
      <c r="C16" s="182">
        <f>2340+48000+4000+1352+1507</f>
        <v>57199</v>
      </c>
      <c r="D16" s="69"/>
      <c r="E16" s="67"/>
      <c r="F16" s="17"/>
    </row>
    <row r="17" spans="1:6" ht="31.5" customHeight="1" x14ac:dyDescent="0.15">
      <c r="A17" s="40" t="s">
        <v>41</v>
      </c>
      <c r="B17" s="42" t="s">
        <v>10</v>
      </c>
      <c r="C17" s="183">
        <f>12001.17+4000+2000</f>
        <v>18001.169999999998</v>
      </c>
      <c r="D17" s="96"/>
      <c r="E17" s="67"/>
      <c r="F17" s="17"/>
    </row>
    <row r="18" spans="1:6" ht="13" x14ac:dyDescent="0.15">
      <c r="A18" s="40" t="s">
        <v>42</v>
      </c>
      <c r="B18" s="71" t="s">
        <v>11</v>
      </c>
      <c r="C18" s="182">
        <f>3689.28+15785+41603.65+10000</f>
        <v>71077.929999999993</v>
      </c>
      <c r="D18" s="67"/>
      <c r="E18" s="43"/>
      <c r="F18" s="85"/>
    </row>
    <row r="19" spans="1:6" ht="13" x14ac:dyDescent="0.15">
      <c r="A19" s="40" t="s">
        <v>43</v>
      </c>
      <c r="B19" s="71" t="s">
        <v>44</v>
      </c>
      <c r="C19" s="182"/>
      <c r="D19" s="67"/>
      <c r="E19" s="43"/>
      <c r="F19" s="104"/>
    </row>
    <row r="20" spans="1:6" ht="13" x14ac:dyDescent="0.15">
      <c r="A20" s="18">
        <v>44</v>
      </c>
      <c r="B20" s="106" t="s">
        <v>12</v>
      </c>
      <c r="C20" s="107">
        <v>208081.53</v>
      </c>
      <c r="D20" s="17"/>
      <c r="E20" s="17"/>
      <c r="F20" s="17"/>
    </row>
    <row r="21" spans="1:6" ht="13" x14ac:dyDescent="0.15">
      <c r="A21" s="18">
        <v>45</v>
      </c>
      <c r="B21" s="62" t="s">
        <v>58</v>
      </c>
      <c r="C21" s="16"/>
      <c r="D21" s="17"/>
      <c r="E21" s="17"/>
      <c r="F21" s="17"/>
    </row>
    <row r="22" spans="1:6" ht="13" x14ac:dyDescent="0.15">
      <c r="A22" s="18">
        <v>46</v>
      </c>
      <c r="B22" s="23" t="s">
        <v>14</v>
      </c>
      <c r="C22" s="107">
        <v>44815.08</v>
      </c>
      <c r="D22" s="17"/>
      <c r="E22" s="17"/>
      <c r="F22" s="17"/>
    </row>
    <row r="23" spans="1:6" ht="13" x14ac:dyDescent="0.15">
      <c r="A23" s="18">
        <v>47</v>
      </c>
      <c r="B23" s="23" t="s">
        <v>15</v>
      </c>
      <c r="C23" s="107">
        <v>0</v>
      </c>
      <c r="D23" s="17"/>
      <c r="E23" s="17"/>
      <c r="F23" s="17"/>
    </row>
    <row r="24" spans="1:6" ht="13" x14ac:dyDescent="0.15">
      <c r="A24" s="2"/>
      <c r="B24" s="23" t="s">
        <v>16</v>
      </c>
      <c r="C24" s="126">
        <v>1022869.97</v>
      </c>
      <c r="D24" s="17"/>
      <c r="E24" s="17"/>
      <c r="F24" s="17"/>
    </row>
    <row r="25" spans="1:6" ht="13" x14ac:dyDescent="0.15">
      <c r="A25" s="2"/>
      <c r="B25" s="119" t="s">
        <v>59</v>
      </c>
      <c r="C25" s="128"/>
      <c r="D25" s="132"/>
      <c r="E25" s="132"/>
      <c r="F25" s="132"/>
    </row>
    <row r="26" spans="1:6" ht="13" x14ac:dyDescent="0.15">
      <c r="A26" s="18">
        <v>71</v>
      </c>
      <c r="B26" s="23" t="s">
        <v>46</v>
      </c>
      <c r="C26" s="264">
        <f>SUM(C27:C31)</f>
        <v>694250.06999999983</v>
      </c>
      <c r="D26" s="96"/>
      <c r="E26" s="143"/>
      <c r="F26" s="14"/>
    </row>
    <row r="27" spans="1:6" ht="13" x14ac:dyDescent="0.15">
      <c r="A27" s="40">
        <v>711</v>
      </c>
      <c r="B27" s="42" t="s">
        <v>48</v>
      </c>
      <c r="C27" s="27">
        <v>387522.16</v>
      </c>
      <c r="D27" s="43"/>
      <c r="E27" s="43"/>
      <c r="F27" s="28"/>
    </row>
    <row r="28" spans="1:6" ht="13" x14ac:dyDescent="0.15">
      <c r="A28" s="40">
        <v>713</v>
      </c>
      <c r="B28" s="42" t="s">
        <v>49</v>
      </c>
      <c r="C28" s="27">
        <v>32040.91</v>
      </c>
      <c r="D28" s="43"/>
      <c r="E28" s="43"/>
      <c r="F28" s="28"/>
    </row>
    <row r="29" spans="1:6" ht="13" x14ac:dyDescent="0.15">
      <c r="A29" s="40">
        <v>714</v>
      </c>
      <c r="B29" s="42" t="s">
        <v>50</v>
      </c>
      <c r="C29" s="43">
        <f>5000.17+138178.17</f>
        <v>143178.34000000003</v>
      </c>
      <c r="D29" s="96"/>
      <c r="E29" s="43"/>
      <c r="F29" s="28"/>
    </row>
    <row r="30" spans="1:6" ht="13" x14ac:dyDescent="0.15">
      <c r="A30" s="136"/>
      <c r="B30" s="42" t="s">
        <v>60</v>
      </c>
      <c r="C30" s="196">
        <f>214983.74-C29</f>
        <v>71805.399999999965</v>
      </c>
      <c r="D30" s="96"/>
      <c r="E30" s="43"/>
      <c r="F30" s="28"/>
    </row>
    <row r="31" spans="1:6" ht="13" x14ac:dyDescent="0.15">
      <c r="A31" s="40">
        <v>715</v>
      </c>
      <c r="B31" s="42" t="s">
        <v>61</v>
      </c>
      <c r="C31" s="97">
        <v>59703.26</v>
      </c>
      <c r="D31" s="43"/>
      <c r="E31" s="43"/>
      <c r="F31" s="28"/>
    </row>
    <row r="32" spans="1:6" ht="13" x14ac:dyDescent="0.15">
      <c r="A32" s="18">
        <v>72</v>
      </c>
      <c r="B32" s="146" t="s">
        <v>51</v>
      </c>
      <c r="C32" s="16"/>
      <c r="D32" s="65"/>
      <c r="E32" s="17"/>
      <c r="F32" s="43"/>
    </row>
    <row r="33" spans="1:6" ht="18" customHeight="1" x14ac:dyDescent="0.15">
      <c r="A33" s="140">
        <v>73</v>
      </c>
      <c r="B33" s="62" t="s">
        <v>62</v>
      </c>
      <c r="C33" s="267">
        <v>13637.31</v>
      </c>
      <c r="D33" s="147"/>
      <c r="E33" s="147"/>
      <c r="F33" s="148"/>
    </row>
    <row r="34" spans="1:6" ht="13" x14ac:dyDescent="0.15">
      <c r="A34" s="18">
        <v>74</v>
      </c>
      <c r="B34" s="61" t="s">
        <v>52</v>
      </c>
      <c r="C34" s="199">
        <v>317254</v>
      </c>
      <c r="D34" s="65"/>
      <c r="E34" s="65"/>
      <c r="F34" s="17"/>
    </row>
    <row r="35" spans="1:6" ht="13" x14ac:dyDescent="0.15">
      <c r="A35" s="40" t="s">
        <v>96</v>
      </c>
      <c r="B35" s="42" t="s">
        <v>227</v>
      </c>
      <c r="C35" s="182"/>
      <c r="D35" s="69"/>
      <c r="E35" s="69"/>
      <c r="F35" s="17"/>
    </row>
    <row r="36" spans="1:6" ht="13" x14ac:dyDescent="0.15">
      <c r="A36" s="40" t="s">
        <v>97</v>
      </c>
      <c r="B36" s="42" t="s">
        <v>54</v>
      </c>
      <c r="C36" s="78">
        <v>27901</v>
      </c>
      <c r="D36" s="69"/>
      <c r="E36" s="69"/>
      <c r="F36" s="17"/>
    </row>
    <row r="37" spans="1:6" ht="13" x14ac:dyDescent="0.15">
      <c r="A37" s="136"/>
      <c r="B37" s="42" t="s">
        <v>63</v>
      </c>
      <c r="C37" s="182">
        <f>104685+34668+150000</f>
        <v>289353</v>
      </c>
      <c r="D37" s="96"/>
      <c r="E37" s="170"/>
      <c r="F37" s="17"/>
    </row>
    <row r="38" spans="1:6" ht="13" x14ac:dyDescent="0.15">
      <c r="A38" s="18">
        <v>751</v>
      </c>
      <c r="B38" s="106" t="s">
        <v>58</v>
      </c>
      <c r="C38" s="16"/>
      <c r="D38" s="17"/>
      <c r="E38" s="17"/>
      <c r="F38" s="17"/>
    </row>
    <row r="39" spans="1:6" ht="13" x14ac:dyDescent="0.15">
      <c r="A39" s="2"/>
      <c r="B39" s="106" t="s">
        <v>64</v>
      </c>
      <c r="C39" s="126">
        <v>1025141.38</v>
      </c>
      <c r="D39" s="17"/>
      <c r="E39" s="17"/>
      <c r="F39" s="17"/>
    </row>
    <row r="40" spans="1:6" ht="13" x14ac:dyDescent="0.15">
      <c r="A40" s="2"/>
      <c r="B40" s="119" t="s">
        <v>65</v>
      </c>
      <c r="C40" s="128"/>
      <c r="D40" s="132"/>
      <c r="E40" s="132"/>
      <c r="F40" s="132"/>
    </row>
    <row r="41" spans="1:6" ht="13" x14ac:dyDescent="0.15">
      <c r="A41" s="2"/>
      <c r="B41" s="38" t="s">
        <v>66</v>
      </c>
      <c r="C41" s="56"/>
      <c r="D41" s="43"/>
      <c r="E41" s="43"/>
      <c r="F41" s="43"/>
    </row>
    <row r="42" spans="1:6" ht="13" x14ac:dyDescent="0.15">
      <c r="A42" s="2"/>
      <c r="B42" s="38" t="s">
        <v>67</v>
      </c>
      <c r="C42" s="56"/>
      <c r="D42" s="43"/>
      <c r="E42" s="43"/>
      <c r="F42" s="43"/>
    </row>
    <row r="43" spans="1:6" ht="13" x14ac:dyDescent="0.15">
      <c r="A43" s="2"/>
      <c r="B43" s="38" t="s">
        <v>68</v>
      </c>
      <c r="C43" s="56"/>
      <c r="D43" s="43"/>
      <c r="E43" s="43"/>
      <c r="F43" s="43"/>
    </row>
    <row r="44" spans="1:6" ht="13" x14ac:dyDescent="0.15">
      <c r="A44" s="2"/>
      <c r="B44" s="38" t="s">
        <v>69</v>
      </c>
      <c r="C44" s="56"/>
      <c r="D44" s="43"/>
      <c r="E44" s="43"/>
      <c r="F44" s="43"/>
    </row>
    <row r="45" spans="1:6" ht="13" x14ac:dyDescent="0.15">
      <c r="A45" s="2"/>
      <c r="B45" s="149"/>
      <c r="C45" s="128"/>
      <c r="D45" s="132"/>
      <c r="E45" s="132"/>
      <c r="F45" s="132"/>
    </row>
    <row r="46" spans="1:6" ht="19.5" customHeight="1" x14ac:dyDescent="0.15">
      <c r="B46" s="150"/>
      <c r="C46" s="321"/>
      <c r="D46" s="151"/>
      <c r="E46" s="150"/>
      <c r="F46" s="150"/>
    </row>
    <row r="47" spans="1:6" ht="19.5" customHeight="1" x14ac:dyDescent="0.15">
      <c r="B47" s="152" t="s">
        <v>70</v>
      </c>
      <c r="C47" s="44"/>
      <c r="D47" s="176"/>
      <c r="E47" s="1"/>
    </row>
    <row r="48" spans="1:6" ht="19.5" customHeight="1" x14ac:dyDescent="0.15">
      <c r="A48" s="2"/>
      <c r="B48" s="177" t="s">
        <v>71</v>
      </c>
      <c r="C48" s="231">
        <f>SUM(C49:C56)</f>
        <v>769973.36</v>
      </c>
      <c r="D48" s="185"/>
      <c r="E48" s="185"/>
      <c r="F48" s="8"/>
    </row>
    <row r="49" spans="1:6" ht="24" customHeight="1" x14ac:dyDescent="0.15">
      <c r="A49" s="2"/>
      <c r="B49" s="179" t="s">
        <v>225</v>
      </c>
      <c r="C49" s="184">
        <v>139642.78</v>
      </c>
      <c r="D49" s="185"/>
      <c r="E49" s="185"/>
      <c r="F49" s="8"/>
    </row>
    <row r="50" spans="1:6" ht="24" customHeight="1" x14ac:dyDescent="0.15">
      <c r="A50" s="2"/>
      <c r="B50" s="179" t="s">
        <v>257</v>
      </c>
      <c r="C50" s="184">
        <v>119149.99</v>
      </c>
      <c r="D50" s="185"/>
      <c r="E50" s="185"/>
      <c r="F50" s="8"/>
    </row>
    <row r="51" spans="1:6" ht="24" customHeight="1" x14ac:dyDescent="0.15">
      <c r="A51" s="2"/>
      <c r="B51" s="186" t="s">
        <v>125</v>
      </c>
      <c r="C51" s="184">
        <v>138865.29999999999</v>
      </c>
      <c r="D51" s="185"/>
      <c r="E51" s="185"/>
      <c r="F51" s="8"/>
    </row>
    <row r="52" spans="1:6" ht="31.5" customHeight="1" x14ac:dyDescent="0.15">
      <c r="A52" s="2"/>
      <c r="B52" s="179" t="s">
        <v>258</v>
      </c>
      <c r="C52" s="184">
        <v>94499.13</v>
      </c>
      <c r="D52" s="185"/>
      <c r="E52" s="185"/>
      <c r="F52" s="8"/>
    </row>
    <row r="53" spans="1:6" ht="31.5" customHeight="1" x14ac:dyDescent="0.15">
      <c r="A53" s="2"/>
      <c r="B53" s="179" t="s">
        <v>232</v>
      </c>
      <c r="C53" s="184">
        <v>165169.23000000001</v>
      </c>
      <c r="D53" s="185"/>
      <c r="E53" s="185"/>
      <c r="F53" s="8"/>
    </row>
    <row r="54" spans="1:6" ht="24" customHeight="1" x14ac:dyDescent="0.15">
      <c r="A54" s="2"/>
      <c r="B54" s="186" t="s">
        <v>85</v>
      </c>
      <c r="C54" s="184">
        <v>32347.85</v>
      </c>
      <c r="D54" s="185"/>
      <c r="E54" s="185"/>
      <c r="F54" s="8"/>
    </row>
    <row r="55" spans="1:6" ht="24" customHeight="1" x14ac:dyDescent="0.15">
      <c r="A55" s="2"/>
      <c r="B55" s="179" t="s">
        <v>95</v>
      </c>
      <c r="C55" s="184">
        <v>64185.760000000002</v>
      </c>
      <c r="D55" s="185"/>
      <c r="E55" s="185"/>
      <c r="F55" s="8"/>
    </row>
    <row r="56" spans="1:6" ht="24" customHeight="1" x14ac:dyDescent="0.15">
      <c r="A56" s="2"/>
      <c r="B56" s="179" t="s">
        <v>259</v>
      </c>
      <c r="C56" s="184">
        <v>16113.32</v>
      </c>
      <c r="D56" s="185"/>
      <c r="E56" s="185"/>
      <c r="F56" s="8"/>
    </row>
    <row r="57" spans="1:6" ht="24" customHeight="1" x14ac:dyDescent="0.15">
      <c r="A57" s="2"/>
      <c r="B57" s="228"/>
      <c r="C57" s="185"/>
      <c r="D57" s="185"/>
      <c r="E57" s="185"/>
      <c r="F57" s="8"/>
    </row>
    <row r="58" spans="1:6" ht="24" customHeight="1" x14ac:dyDescent="0.15">
      <c r="A58" s="2"/>
      <c r="B58" s="139" t="s">
        <v>118</v>
      </c>
      <c r="C58" s="250">
        <v>252896.61</v>
      </c>
      <c r="D58" s="185"/>
      <c r="E58" s="185"/>
      <c r="F58" s="8"/>
    </row>
    <row r="59" spans="1:6" ht="19.5" customHeight="1" x14ac:dyDescent="0.15">
      <c r="A59" s="2"/>
      <c r="B59" s="188"/>
      <c r="C59" s="185"/>
      <c r="D59" s="185"/>
      <c r="E59" s="185"/>
      <c r="F59" s="8"/>
    </row>
    <row r="60" spans="1:6" ht="19.5" customHeight="1" x14ac:dyDescent="0.15">
      <c r="A60" s="2"/>
      <c r="B60" s="236" t="s">
        <v>81</v>
      </c>
      <c r="C60" s="190">
        <f>SUM(C49:C58)</f>
        <v>1022869.97</v>
      </c>
      <c r="D60" s="96"/>
      <c r="E60" s="185"/>
      <c r="F60" s="8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2"/>
      <c r="B2" s="4" t="s">
        <v>18</v>
      </c>
      <c r="C2" s="4">
        <v>2012</v>
      </c>
      <c r="D2" s="89"/>
      <c r="E2" s="74"/>
      <c r="F2" s="6"/>
    </row>
    <row r="3" spans="1:6" ht="13" x14ac:dyDescent="0.15">
      <c r="A3" s="2"/>
      <c r="B3" s="7" t="s">
        <v>23</v>
      </c>
      <c r="C3" s="9"/>
      <c r="D3" s="102"/>
      <c r="E3" s="103"/>
      <c r="F3" s="12"/>
    </row>
    <row r="4" spans="1:6" ht="13" x14ac:dyDescent="0.15">
      <c r="A4" s="2"/>
      <c r="B4" s="14"/>
      <c r="C4" s="16"/>
      <c r="D4" s="17"/>
      <c r="E4" s="22"/>
      <c r="F4" s="17"/>
    </row>
    <row r="5" spans="1:6" ht="13" x14ac:dyDescent="0.15">
      <c r="A5" s="18">
        <v>41</v>
      </c>
      <c r="B5" s="23" t="s">
        <v>0</v>
      </c>
      <c r="C5" s="105">
        <f>SUM(C6:C13)</f>
        <v>1961489.23</v>
      </c>
      <c r="D5" s="30"/>
      <c r="E5" s="91"/>
      <c r="F5" s="17"/>
    </row>
    <row r="6" spans="1:6" ht="13" x14ac:dyDescent="0.15">
      <c r="A6" s="18">
        <v>411</v>
      </c>
      <c r="B6" s="26" t="s">
        <v>36</v>
      </c>
      <c r="C6" s="56">
        <f>930561.37+95936.28+198435.59+88634.5+10238.28</f>
        <v>1323806.02</v>
      </c>
      <c r="D6" s="43"/>
      <c r="E6" s="82"/>
      <c r="F6" s="28"/>
    </row>
    <row r="7" spans="1:6" ht="13" x14ac:dyDescent="0.15">
      <c r="A7" s="18">
        <v>412</v>
      </c>
      <c r="B7" s="38" t="s">
        <v>37</v>
      </c>
      <c r="C7" s="56">
        <f>46620+10030.36+1371.03</f>
        <v>58021.39</v>
      </c>
      <c r="D7" s="43"/>
      <c r="E7" s="82"/>
      <c r="F7" s="28"/>
    </row>
    <row r="8" spans="1:6" ht="13" x14ac:dyDescent="0.15">
      <c r="A8" s="18">
        <v>413</v>
      </c>
      <c r="B8" s="38" t="s">
        <v>2</v>
      </c>
      <c r="C8" s="56">
        <f>10165.02+1161.15+6159.67+7346.34+3199.67+9078.96+24503.37+174826.35+31695+13308.81+1541.1+5559.55+4898.92+30478.15+320.11+2556.09+29854.37+2859+7041.14+16191.45</f>
        <v>382744.22000000003</v>
      </c>
      <c r="D8" s="43"/>
      <c r="E8" s="82"/>
      <c r="F8" s="28"/>
    </row>
    <row r="9" spans="1:6" ht="13" x14ac:dyDescent="0.15">
      <c r="A9" s="40">
        <v>414</v>
      </c>
      <c r="B9" s="26" t="s">
        <v>3</v>
      </c>
      <c r="C9" s="56">
        <f>143225.08+847.16+19019.77</f>
        <v>163092.00999999998</v>
      </c>
      <c r="D9" s="43"/>
      <c r="E9" s="82"/>
      <c r="F9" s="28"/>
    </row>
    <row r="10" spans="1:6" ht="13" x14ac:dyDescent="0.15">
      <c r="A10" s="18">
        <v>415</v>
      </c>
      <c r="B10" s="42" t="s">
        <v>4</v>
      </c>
      <c r="C10" s="56"/>
      <c r="D10" s="43"/>
      <c r="E10" s="82"/>
      <c r="F10" s="28"/>
    </row>
    <row r="11" spans="1:6" ht="13" x14ac:dyDescent="0.15">
      <c r="A11" s="18">
        <v>416</v>
      </c>
      <c r="B11" s="26" t="s">
        <v>5</v>
      </c>
      <c r="C11" s="56"/>
      <c r="D11" s="43"/>
      <c r="E11" s="82"/>
      <c r="F11" s="28"/>
    </row>
    <row r="12" spans="1:6" ht="13" x14ac:dyDescent="0.15">
      <c r="A12" s="18">
        <v>417</v>
      </c>
      <c r="B12" s="26" t="s">
        <v>6</v>
      </c>
      <c r="C12" s="27">
        <v>500</v>
      </c>
      <c r="D12" s="43"/>
      <c r="E12" s="82"/>
      <c r="F12" s="28"/>
    </row>
    <row r="13" spans="1:6" ht="13" x14ac:dyDescent="0.15">
      <c r="A13" s="18">
        <v>418</v>
      </c>
      <c r="B13" s="26" t="s">
        <v>38</v>
      </c>
      <c r="C13" s="56">
        <f>33325.59</f>
        <v>33325.589999999997</v>
      </c>
      <c r="D13" s="43"/>
      <c r="E13" s="82"/>
      <c r="F13" s="28"/>
    </row>
    <row r="14" spans="1:6" ht="13" x14ac:dyDescent="0.15">
      <c r="A14" s="18">
        <v>42</v>
      </c>
      <c r="B14" s="62" t="s">
        <v>7</v>
      </c>
      <c r="C14" s="107">
        <v>21625.7</v>
      </c>
      <c r="D14" s="17"/>
      <c r="E14" s="22"/>
      <c r="F14" s="28"/>
    </row>
    <row r="15" spans="1:6" ht="16.5" customHeight="1" x14ac:dyDescent="0.15">
      <c r="A15" s="59">
        <v>43</v>
      </c>
      <c r="B15" s="61" t="s">
        <v>8</v>
      </c>
      <c r="C15" s="15">
        <f>SUM(C16:C19)</f>
        <v>523009.26999999996</v>
      </c>
      <c r="D15" s="65"/>
      <c r="E15" s="95"/>
      <c r="F15" s="17"/>
    </row>
    <row r="16" spans="1:6" ht="13" x14ac:dyDescent="0.15">
      <c r="A16" s="40" t="s">
        <v>40</v>
      </c>
      <c r="B16" s="42" t="s">
        <v>9</v>
      </c>
      <c r="C16" s="78">
        <v>16910</v>
      </c>
      <c r="D16" s="69"/>
      <c r="E16" s="170"/>
      <c r="F16" s="17"/>
    </row>
    <row r="17" spans="1:6" ht="31.5" customHeight="1" x14ac:dyDescent="0.15">
      <c r="A17" s="40" t="s">
        <v>41</v>
      </c>
      <c r="B17" s="42" t="s">
        <v>10</v>
      </c>
      <c r="C17" s="70">
        <f>7300.33+3002.77</f>
        <v>10303.1</v>
      </c>
      <c r="D17" s="69"/>
      <c r="E17" s="170"/>
      <c r="F17" s="17"/>
    </row>
    <row r="18" spans="1:6" ht="13" x14ac:dyDescent="0.15">
      <c r="A18" s="40" t="s">
        <v>42</v>
      </c>
      <c r="B18" s="71" t="s">
        <v>11</v>
      </c>
      <c r="C18" s="69">
        <f>12158.28+7680+14280</f>
        <v>34118.28</v>
      </c>
      <c r="D18" s="67"/>
      <c r="E18" s="82"/>
      <c r="F18" s="85"/>
    </row>
    <row r="19" spans="1:6" ht="13" x14ac:dyDescent="0.15">
      <c r="A19" s="40" t="s">
        <v>43</v>
      </c>
      <c r="B19" s="71" t="s">
        <v>44</v>
      </c>
      <c r="C19" s="69">
        <f>100+190138.6+82452.5+80434.84+108551.95</f>
        <v>461677.88999999996</v>
      </c>
      <c r="D19" s="67"/>
      <c r="E19" s="82"/>
      <c r="F19" s="104"/>
    </row>
    <row r="20" spans="1:6" ht="13" x14ac:dyDescent="0.15">
      <c r="A20" s="18">
        <v>44</v>
      </c>
      <c r="B20" s="106" t="s">
        <v>12</v>
      </c>
      <c r="C20" s="16">
        <f>140664.57+85499.75+424.08+12779.16</f>
        <v>239367.56</v>
      </c>
      <c r="D20" s="17"/>
      <c r="E20" s="22"/>
      <c r="F20" s="17"/>
    </row>
    <row r="21" spans="1:6" ht="13" x14ac:dyDescent="0.15">
      <c r="A21" s="18">
        <v>45</v>
      </c>
      <c r="B21" s="62" t="s">
        <v>58</v>
      </c>
      <c r="C21" s="16"/>
      <c r="D21" s="17"/>
      <c r="E21" s="22"/>
      <c r="F21" s="17"/>
    </row>
    <row r="22" spans="1:6" ht="13" x14ac:dyDescent="0.15">
      <c r="A22" s="18">
        <v>46</v>
      </c>
      <c r="B22" s="23" t="s">
        <v>14</v>
      </c>
      <c r="C22" s="16">
        <f>357894.2+1179637.29</f>
        <v>1537531.49</v>
      </c>
      <c r="D22" s="17"/>
      <c r="E22" s="22"/>
      <c r="F22" s="17"/>
    </row>
    <row r="23" spans="1:6" ht="13" x14ac:dyDescent="0.15">
      <c r="A23" s="18">
        <v>47</v>
      </c>
      <c r="B23" s="23" t="s">
        <v>15</v>
      </c>
      <c r="C23" s="107">
        <v>10000</v>
      </c>
      <c r="D23" s="17"/>
      <c r="E23" s="22"/>
      <c r="F23" s="17"/>
    </row>
    <row r="24" spans="1:6" ht="13" x14ac:dyDescent="0.15">
      <c r="A24" s="2"/>
      <c r="B24" s="23" t="s">
        <v>16</v>
      </c>
      <c r="C24" s="49">
        <f>C5+C14+C15+C20+C22+C23</f>
        <v>4293023.25</v>
      </c>
      <c r="D24" s="173"/>
      <c r="E24" s="194"/>
      <c r="F24" s="17"/>
    </row>
    <row r="25" spans="1:6" ht="13" x14ac:dyDescent="0.15">
      <c r="A25" s="2"/>
      <c r="B25" s="119" t="s">
        <v>59</v>
      </c>
      <c r="C25" s="128"/>
      <c r="D25" s="132"/>
      <c r="E25" s="181"/>
      <c r="F25" s="132"/>
    </row>
    <row r="26" spans="1:6" ht="13" x14ac:dyDescent="0.15">
      <c r="A26" s="18">
        <v>71</v>
      </c>
      <c r="B26" s="23" t="s">
        <v>46</v>
      </c>
      <c r="C26" s="195">
        <f>SUM(C27:C31)</f>
        <v>2914728.07</v>
      </c>
      <c r="D26" s="30"/>
      <c r="E26" s="91"/>
      <c r="F26" s="14"/>
    </row>
    <row r="27" spans="1:6" ht="13" x14ac:dyDescent="0.15">
      <c r="A27" s="40">
        <v>711</v>
      </c>
      <c r="B27" s="42" t="s">
        <v>48</v>
      </c>
      <c r="C27" s="36">
        <v>2037928.16</v>
      </c>
      <c r="D27" s="43"/>
      <c r="E27" s="82"/>
      <c r="F27" s="28"/>
    </row>
    <row r="28" spans="1:6" ht="13" x14ac:dyDescent="0.15">
      <c r="A28" s="40">
        <v>713</v>
      </c>
      <c r="B28" s="42" t="s">
        <v>49</v>
      </c>
      <c r="C28" s="36">
        <v>280534.68</v>
      </c>
      <c r="D28" s="43"/>
      <c r="E28" s="82"/>
      <c r="F28" s="28"/>
    </row>
    <row r="29" spans="1:6" ht="13" x14ac:dyDescent="0.15">
      <c r="A29" s="40">
        <v>714</v>
      </c>
      <c r="B29" s="42" t="s">
        <v>50</v>
      </c>
      <c r="C29" s="43">
        <f>15423.7+174792.99</f>
        <v>190216.69</v>
      </c>
      <c r="D29" s="43"/>
      <c r="E29" s="82"/>
      <c r="F29" s="28"/>
    </row>
    <row r="30" spans="1:6" ht="13" x14ac:dyDescent="0.15">
      <c r="A30" s="136"/>
      <c r="B30" s="42" t="s">
        <v>60</v>
      </c>
      <c r="C30" s="43">
        <f>530032.9-C29</f>
        <v>339816.21</v>
      </c>
      <c r="D30" s="43"/>
      <c r="E30" s="82"/>
      <c r="F30" s="28"/>
    </row>
    <row r="31" spans="1:6" ht="13" x14ac:dyDescent="0.15">
      <c r="A31" s="40">
        <v>715</v>
      </c>
      <c r="B31" s="42" t="s">
        <v>61</v>
      </c>
      <c r="C31" s="27">
        <v>66232.33</v>
      </c>
      <c r="D31" s="43"/>
      <c r="E31" s="83"/>
      <c r="F31" s="28"/>
    </row>
    <row r="32" spans="1:6" ht="13" x14ac:dyDescent="0.15">
      <c r="A32" s="18">
        <v>72</v>
      </c>
      <c r="B32" s="146" t="s">
        <v>51</v>
      </c>
      <c r="C32" s="16"/>
      <c r="D32" s="43"/>
      <c r="E32" s="41"/>
      <c r="F32" s="43"/>
    </row>
    <row r="33" spans="1:6" ht="18" customHeight="1" x14ac:dyDescent="0.15">
      <c r="A33" s="140">
        <v>73</v>
      </c>
      <c r="B33" s="62" t="s">
        <v>62</v>
      </c>
      <c r="C33" s="166">
        <v>84106.13</v>
      </c>
      <c r="D33" s="147"/>
      <c r="E33" s="258"/>
      <c r="F33" s="148"/>
    </row>
    <row r="34" spans="1:6" ht="13" x14ac:dyDescent="0.15">
      <c r="A34" s="18">
        <v>74</v>
      </c>
      <c r="B34" s="61" t="s">
        <v>52</v>
      </c>
      <c r="C34" s="63">
        <f>99490+923864</f>
        <v>1023354</v>
      </c>
      <c r="D34" s="65"/>
      <c r="E34" s="95"/>
      <c r="F34" s="17"/>
    </row>
    <row r="35" spans="1:6" ht="13" x14ac:dyDescent="0.15">
      <c r="A35" s="40">
        <v>741</v>
      </c>
      <c r="B35" s="42" t="s">
        <v>53</v>
      </c>
      <c r="C35" s="260"/>
      <c r="D35" s="65"/>
      <c r="E35" s="261"/>
      <c r="F35" s="17"/>
    </row>
    <row r="36" spans="1:6" ht="13" x14ac:dyDescent="0.15">
      <c r="A36" s="40">
        <v>742</v>
      </c>
      <c r="B36" s="42" t="s">
        <v>54</v>
      </c>
      <c r="C36" s="78">
        <v>919636</v>
      </c>
      <c r="D36" s="69"/>
      <c r="E36" s="170"/>
      <c r="F36" s="17"/>
    </row>
    <row r="37" spans="1:6" ht="13" x14ac:dyDescent="0.15">
      <c r="A37" s="136"/>
      <c r="B37" s="42" t="s">
        <v>63</v>
      </c>
      <c r="C37" s="170">
        <f>C34-C36</f>
        <v>103718</v>
      </c>
      <c r="D37" s="170"/>
      <c r="E37" s="170"/>
      <c r="F37" s="17"/>
    </row>
    <row r="38" spans="1:6" ht="13" x14ac:dyDescent="0.15">
      <c r="A38" s="18">
        <v>751</v>
      </c>
      <c r="B38" s="106" t="s">
        <v>58</v>
      </c>
      <c r="C38" s="107">
        <v>360142.03</v>
      </c>
      <c r="D38" s="17"/>
      <c r="E38" s="41"/>
      <c r="F38" s="17"/>
    </row>
    <row r="39" spans="1:6" ht="13" x14ac:dyDescent="0.15">
      <c r="A39" s="2"/>
      <c r="B39" s="106" t="s">
        <v>64</v>
      </c>
      <c r="C39" s="126">
        <v>4382330.2300000004</v>
      </c>
      <c r="D39" s="17"/>
      <c r="E39" s="41"/>
      <c r="F39" s="17"/>
    </row>
    <row r="40" spans="1:6" ht="13" x14ac:dyDescent="0.15">
      <c r="A40" s="2"/>
      <c r="B40" s="119" t="s">
        <v>65</v>
      </c>
      <c r="C40" s="128"/>
      <c r="D40" s="132"/>
      <c r="E40" s="181"/>
      <c r="F40" s="132"/>
    </row>
    <row r="41" spans="1:6" ht="13" x14ac:dyDescent="0.15">
      <c r="A41" s="2"/>
      <c r="B41" s="38" t="s">
        <v>66</v>
      </c>
      <c r="C41" s="56"/>
      <c r="D41" s="43"/>
      <c r="E41" s="82"/>
      <c r="F41" s="43"/>
    </row>
    <row r="42" spans="1:6" ht="13" x14ac:dyDescent="0.15">
      <c r="A42" s="2"/>
      <c r="B42" s="38" t="s">
        <v>67</v>
      </c>
      <c r="C42" s="56"/>
      <c r="D42" s="43"/>
      <c r="E42" s="82"/>
      <c r="F42" s="43"/>
    </row>
    <row r="43" spans="1:6" ht="13" x14ac:dyDescent="0.15">
      <c r="A43" s="2"/>
      <c r="B43" s="38" t="s">
        <v>68</v>
      </c>
      <c r="C43" s="56"/>
      <c r="D43" s="43"/>
      <c r="E43" s="82"/>
      <c r="F43" s="43"/>
    </row>
    <row r="44" spans="1:6" ht="13" x14ac:dyDescent="0.15">
      <c r="A44" s="2"/>
      <c r="B44" s="38" t="s">
        <v>69</v>
      </c>
      <c r="C44" s="56"/>
      <c r="D44" s="43"/>
      <c r="E44" s="82"/>
      <c r="F44" s="43"/>
    </row>
    <row r="45" spans="1:6" ht="13" x14ac:dyDescent="0.15">
      <c r="A45" s="2"/>
      <c r="B45" s="149"/>
      <c r="C45" s="128"/>
      <c r="D45" s="132"/>
      <c r="E45" s="181"/>
      <c r="F45" s="132"/>
    </row>
    <row r="46" spans="1:6" ht="20.25" customHeight="1" x14ac:dyDescent="0.15">
      <c r="B46" s="150"/>
      <c r="C46" s="150"/>
      <c r="D46" s="150"/>
      <c r="E46" s="150"/>
      <c r="F46" s="150"/>
    </row>
    <row r="47" spans="1:6" ht="19.5" customHeight="1" x14ac:dyDescent="0.15">
      <c r="B47" s="152" t="s">
        <v>70</v>
      </c>
      <c r="C47" s="1"/>
      <c r="D47" s="1"/>
      <c r="E47" s="1"/>
    </row>
    <row r="48" spans="1:6" ht="19.5" customHeight="1" x14ac:dyDescent="0.15">
      <c r="A48" s="2"/>
      <c r="B48" s="177" t="s">
        <v>71</v>
      </c>
      <c r="C48" s="185"/>
      <c r="D48" s="185"/>
      <c r="E48" s="185"/>
      <c r="F48" s="8"/>
    </row>
    <row r="49" spans="1:6" ht="24" customHeight="1" x14ac:dyDescent="0.15">
      <c r="A49" s="2"/>
      <c r="B49" s="179" t="s">
        <v>84</v>
      </c>
      <c r="C49" s="184">
        <v>182773.5</v>
      </c>
      <c r="D49" s="185"/>
      <c r="E49" s="185"/>
      <c r="F49" s="8"/>
    </row>
    <row r="50" spans="1:6" ht="24" customHeight="1" x14ac:dyDescent="0.15">
      <c r="A50" s="2"/>
      <c r="B50" s="179" t="s">
        <v>203</v>
      </c>
      <c r="C50" s="184">
        <v>169362.11</v>
      </c>
      <c r="D50" s="185"/>
      <c r="E50" s="185"/>
      <c r="F50" s="8"/>
    </row>
    <row r="51" spans="1:6" ht="24" customHeight="1" x14ac:dyDescent="0.15">
      <c r="A51" s="2"/>
      <c r="B51" s="186" t="s">
        <v>204</v>
      </c>
      <c r="C51" s="184">
        <v>618384.68999999994</v>
      </c>
      <c r="D51" s="185"/>
      <c r="E51" s="185"/>
      <c r="F51" s="8"/>
    </row>
    <row r="52" spans="1:6" ht="24" customHeight="1" x14ac:dyDescent="0.15">
      <c r="A52" s="2"/>
      <c r="B52" s="186" t="s">
        <v>205</v>
      </c>
      <c r="C52" s="184">
        <v>1764635.57</v>
      </c>
      <c r="D52" s="185"/>
      <c r="E52" s="185"/>
      <c r="F52" s="8"/>
    </row>
    <row r="53" spans="1:6" ht="24" customHeight="1" x14ac:dyDescent="0.15">
      <c r="A53" s="2"/>
      <c r="B53" s="186" t="s">
        <v>206</v>
      </c>
      <c r="C53" s="184">
        <v>105208.09</v>
      </c>
      <c r="D53" s="185"/>
      <c r="E53" s="185"/>
      <c r="F53" s="8"/>
    </row>
    <row r="54" spans="1:6" ht="24" customHeight="1" x14ac:dyDescent="0.15">
      <c r="A54" s="2"/>
      <c r="B54" s="179" t="s">
        <v>207</v>
      </c>
      <c r="C54" s="184">
        <v>640435.56999999995</v>
      </c>
      <c r="D54" s="185"/>
      <c r="E54" s="185"/>
      <c r="F54" s="8"/>
    </row>
    <row r="55" spans="1:6" ht="24" customHeight="1" x14ac:dyDescent="0.15">
      <c r="A55" s="2"/>
      <c r="B55" s="179" t="s">
        <v>93</v>
      </c>
      <c r="C55" s="184">
        <v>145526.28</v>
      </c>
      <c r="D55" s="185"/>
      <c r="E55" s="185"/>
      <c r="F55" s="8"/>
    </row>
    <row r="56" spans="1:6" ht="24" customHeight="1" x14ac:dyDescent="0.15">
      <c r="A56" s="2"/>
      <c r="B56" s="186" t="s">
        <v>208</v>
      </c>
      <c r="C56" s="184">
        <v>119399.62</v>
      </c>
      <c r="D56" s="185"/>
      <c r="E56" s="185"/>
      <c r="F56" s="8"/>
    </row>
    <row r="57" spans="1:6" ht="24" customHeight="1" x14ac:dyDescent="0.15">
      <c r="A57" s="2"/>
      <c r="B57" s="186" t="s">
        <v>209</v>
      </c>
      <c r="C57" s="184">
        <v>50153.73</v>
      </c>
      <c r="D57" s="185"/>
      <c r="E57" s="185"/>
      <c r="F57" s="8"/>
    </row>
    <row r="58" spans="1:6" ht="24" customHeight="1" x14ac:dyDescent="0.15">
      <c r="A58" s="2"/>
      <c r="B58" s="186" t="s">
        <v>210</v>
      </c>
      <c r="C58" s="184">
        <v>24968.799999999999</v>
      </c>
      <c r="D58" s="185"/>
      <c r="E58" s="185"/>
      <c r="F58" s="8"/>
    </row>
    <row r="59" spans="1:6" ht="24" customHeight="1" x14ac:dyDescent="0.15">
      <c r="A59" s="2"/>
      <c r="B59" s="186" t="s">
        <v>130</v>
      </c>
      <c r="C59" s="184">
        <v>189431.8</v>
      </c>
      <c r="D59" s="185"/>
      <c r="E59" s="185"/>
      <c r="F59" s="8"/>
    </row>
    <row r="60" spans="1:6" ht="24" customHeight="1" x14ac:dyDescent="0.15">
      <c r="A60" s="2"/>
      <c r="B60" s="186" t="s">
        <v>95</v>
      </c>
      <c r="C60" s="184">
        <v>236038.97</v>
      </c>
      <c r="D60" s="185"/>
      <c r="E60" s="185"/>
      <c r="F60" s="8"/>
    </row>
    <row r="61" spans="1:6" ht="24" customHeight="1" x14ac:dyDescent="0.15">
      <c r="A61" s="2"/>
      <c r="B61" s="186" t="s">
        <v>211</v>
      </c>
      <c r="C61" s="184">
        <v>46704.52</v>
      </c>
      <c r="D61" s="185"/>
      <c r="E61" s="185"/>
      <c r="F61" s="8"/>
    </row>
    <row r="62" spans="1:6" ht="19.5" customHeight="1" x14ac:dyDescent="0.15">
      <c r="A62" s="2"/>
      <c r="B62" s="188"/>
      <c r="C62" s="185"/>
      <c r="D62" s="185"/>
      <c r="E62" s="185"/>
      <c r="F62" s="8"/>
    </row>
    <row r="63" spans="1:6" ht="19.5" customHeight="1" x14ac:dyDescent="0.15">
      <c r="A63" s="2"/>
      <c r="B63" s="177" t="s">
        <v>81</v>
      </c>
      <c r="C63" s="190">
        <f>SUM(C49:C61)</f>
        <v>4293023.2499999991</v>
      </c>
      <c r="D63" s="245"/>
      <c r="E63" s="245"/>
      <c r="F63" s="8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8" width="11.83203125" customWidth="1"/>
  </cols>
  <sheetData>
    <row r="1" spans="1:8" ht="27.75" customHeight="1" x14ac:dyDescent="0.15">
      <c r="B1" s="1"/>
      <c r="C1" s="3"/>
      <c r="D1" s="1"/>
      <c r="E1" s="1"/>
      <c r="F1" s="1"/>
    </row>
    <row r="2" spans="1:8" ht="13" x14ac:dyDescent="0.15">
      <c r="A2" s="2"/>
      <c r="B2" s="4" t="s">
        <v>45</v>
      </c>
      <c r="C2" s="84">
        <v>2012</v>
      </c>
      <c r="D2" s="86"/>
      <c r="E2" s="86"/>
      <c r="F2" s="6"/>
      <c r="G2" s="8"/>
    </row>
    <row r="3" spans="1:8" ht="13" x14ac:dyDescent="0.15">
      <c r="A3" s="2"/>
      <c r="B3" s="7" t="s">
        <v>23</v>
      </c>
      <c r="C3" s="87"/>
      <c r="D3" s="39"/>
      <c r="E3" s="39"/>
      <c r="F3" s="12"/>
      <c r="G3" s="8"/>
    </row>
    <row r="4" spans="1:8" ht="13" x14ac:dyDescent="0.15">
      <c r="A4" s="2"/>
      <c r="B4" s="14"/>
      <c r="C4" s="88"/>
      <c r="D4" s="22"/>
      <c r="E4" s="22"/>
      <c r="F4" s="17"/>
      <c r="G4" s="8"/>
    </row>
    <row r="5" spans="1:8" ht="13" x14ac:dyDescent="0.15">
      <c r="A5" s="18">
        <v>41</v>
      </c>
      <c r="B5" s="23" t="s">
        <v>0</v>
      </c>
      <c r="C5" s="90">
        <f>SUM(C6:C13)</f>
        <v>3140433.63</v>
      </c>
      <c r="D5" s="91"/>
      <c r="E5" s="91"/>
      <c r="F5" s="17"/>
      <c r="G5" s="8"/>
    </row>
    <row r="6" spans="1:8" ht="13" x14ac:dyDescent="0.15">
      <c r="A6" s="18">
        <v>411</v>
      </c>
      <c r="B6" s="26" t="s">
        <v>36</v>
      </c>
      <c r="C6" s="60">
        <v>1487921.72</v>
      </c>
      <c r="D6" s="82"/>
      <c r="E6" s="82"/>
      <c r="F6" s="28"/>
      <c r="G6" s="8"/>
    </row>
    <row r="7" spans="1:8" ht="13" x14ac:dyDescent="0.15">
      <c r="A7" s="18">
        <v>412</v>
      </c>
      <c r="B7" s="38" t="s">
        <v>37</v>
      </c>
      <c r="C7" s="60">
        <v>176850</v>
      </c>
      <c r="D7" s="82"/>
      <c r="E7" s="82"/>
      <c r="F7" s="28"/>
      <c r="G7" s="8"/>
    </row>
    <row r="8" spans="1:8" ht="13" x14ac:dyDescent="0.15">
      <c r="A8" s="18">
        <v>413</v>
      </c>
      <c r="B8" s="38" t="s">
        <v>2</v>
      </c>
      <c r="C8" s="60">
        <v>1248004.8999999999</v>
      </c>
      <c r="D8" s="82"/>
      <c r="E8" s="82"/>
      <c r="F8" s="28"/>
      <c r="G8" s="8"/>
    </row>
    <row r="9" spans="1:8" ht="13" x14ac:dyDescent="0.15">
      <c r="A9" s="40">
        <v>414</v>
      </c>
      <c r="B9" s="26" t="s">
        <v>3</v>
      </c>
      <c r="C9" s="60">
        <v>105636.07</v>
      </c>
      <c r="D9" s="82"/>
      <c r="E9" s="82"/>
      <c r="F9" s="28"/>
      <c r="G9" s="8"/>
    </row>
    <row r="10" spans="1:8" ht="13" x14ac:dyDescent="0.15">
      <c r="A10" s="18">
        <v>415</v>
      </c>
      <c r="B10" s="42" t="s">
        <v>4</v>
      </c>
      <c r="C10" s="92"/>
      <c r="D10" s="82"/>
      <c r="E10" s="82"/>
      <c r="F10" s="28"/>
      <c r="G10" s="8"/>
    </row>
    <row r="11" spans="1:8" ht="13" x14ac:dyDescent="0.15">
      <c r="A11" s="18">
        <v>416</v>
      </c>
      <c r="B11" s="26" t="s">
        <v>5</v>
      </c>
      <c r="C11" s="60">
        <v>34238</v>
      </c>
      <c r="D11" s="82"/>
      <c r="E11" s="82"/>
      <c r="F11" s="28"/>
      <c r="G11" s="8"/>
    </row>
    <row r="12" spans="1:8" ht="13" x14ac:dyDescent="0.15">
      <c r="A12" s="18">
        <v>417</v>
      </c>
      <c r="B12" s="26" t="s">
        <v>6</v>
      </c>
      <c r="C12" s="92"/>
      <c r="D12" s="82"/>
      <c r="E12" s="82"/>
      <c r="F12" s="28"/>
      <c r="G12" s="8"/>
    </row>
    <row r="13" spans="1:8" ht="13" x14ac:dyDescent="0.15">
      <c r="A13" s="18">
        <v>418</v>
      </c>
      <c r="B13" s="26" t="s">
        <v>38</v>
      </c>
      <c r="C13" s="60">
        <v>87782.94</v>
      </c>
      <c r="D13" s="82"/>
      <c r="E13" s="82"/>
      <c r="F13" s="28"/>
      <c r="G13" s="8"/>
    </row>
    <row r="14" spans="1:8" ht="13" x14ac:dyDescent="0.15">
      <c r="A14" s="18">
        <v>42</v>
      </c>
      <c r="B14" s="62" t="s">
        <v>7</v>
      </c>
      <c r="C14" s="93">
        <v>39999.370000000003</v>
      </c>
      <c r="D14" s="22"/>
      <c r="E14" s="22"/>
      <c r="F14" s="28"/>
      <c r="G14" s="8"/>
    </row>
    <row r="15" spans="1:8" ht="16.5" customHeight="1" x14ac:dyDescent="0.15">
      <c r="A15" s="59">
        <v>43</v>
      </c>
      <c r="B15" s="61" t="s">
        <v>8</v>
      </c>
      <c r="C15" s="88">
        <f>SUM(C16:C19)</f>
        <v>1111127.94</v>
      </c>
      <c r="D15" s="94"/>
      <c r="E15" s="95"/>
      <c r="F15" s="17"/>
      <c r="G15" s="8"/>
    </row>
    <row r="16" spans="1:8" ht="13" x14ac:dyDescent="0.15">
      <c r="A16" s="40" t="s">
        <v>40</v>
      </c>
      <c r="B16" s="42" t="s">
        <v>9</v>
      </c>
      <c r="C16" s="92">
        <f>198411.29+11741.74+8250+8000+34653.52</f>
        <v>261056.55</v>
      </c>
      <c r="D16" s="94"/>
      <c r="E16" s="95"/>
      <c r="F16" s="17"/>
      <c r="G16" s="8"/>
      <c r="H16" s="98"/>
    </row>
    <row r="17" spans="1:8" ht="31.5" customHeight="1" x14ac:dyDescent="0.15">
      <c r="A17" s="40" t="s">
        <v>41</v>
      </c>
      <c r="B17" s="42" t="s">
        <v>10</v>
      </c>
      <c r="C17" s="92">
        <f>53500+41990.43</f>
        <v>95490.43</v>
      </c>
      <c r="D17" s="94"/>
      <c r="E17" s="95"/>
      <c r="F17" s="17"/>
      <c r="G17" s="8"/>
    </row>
    <row r="18" spans="1:8" ht="13" x14ac:dyDescent="0.15">
      <c r="A18" s="40" t="s">
        <v>42</v>
      </c>
      <c r="B18" s="71" t="s">
        <v>11</v>
      </c>
      <c r="C18" s="92">
        <f>21435+29576+30200+76302.01</f>
        <v>157513.01</v>
      </c>
      <c r="D18" s="95"/>
      <c r="E18" s="22"/>
      <c r="F18" s="85"/>
    </row>
    <row r="19" spans="1:8" ht="13" x14ac:dyDescent="0.15">
      <c r="A19" s="40" t="s">
        <v>43</v>
      </c>
      <c r="B19" s="71" t="s">
        <v>44</v>
      </c>
      <c r="C19" s="92">
        <f>170000+18750+44000+12000+198787.43+118531.49+34999.03</f>
        <v>597067.95000000007</v>
      </c>
      <c r="D19" s="170"/>
      <c r="E19" s="22"/>
      <c r="F19" s="104"/>
    </row>
    <row r="20" spans="1:8" ht="13" x14ac:dyDescent="0.15">
      <c r="A20" s="18">
        <v>44</v>
      </c>
      <c r="B20" s="106" t="s">
        <v>12</v>
      </c>
      <c r="C20" s="93">
        <v>2787155.2</v>
      </c>
      <c r="D20" s="22"/>
      <c r="E20" s="22"/>
      <c r="F20" s="17"/>
      <c r="G20" s="8"/>
    </row>
    <row r="21" spans="1:8" ht="13" x14ac:dyDescent="0.15">
      <c r="A21" s="18">
        <v>45</v>
      </c>
      <c r="B21" s="62" t="s">
        <v>58</v>
      </c>
      <c r="C21" s="93">
        <v>100000</v>
      </c>
      <c r="D21" s="22"/>
      <c r="E21" s="22"/>
      <c r="F21" s="17"/>
      <c r="G21" s="8"/>
      <c r="H21" s="98"/>
    </row>
    <row r="22" spans="1:8" ht="13" x14ac:dyDescent="0.15">
      <c r="A22" s="18">
        <v>46</v>
      </c>
      <c r="B22" s="23" t="s">
        <v>14</v>
      </c>
      <c r="C22" s="93">
        <v>641976.35</v>
      </c>
      <c r="D22" s="22"/>
      <c r="E22" s="22"/>
      <c r="F22" s="17"/>
      <c r="G22" s="8"/>
      <c r="H22" s="98"/>
    </row>
    <row r="23" spans="1:8" ht="13" x14ac:dyDescent="0.15">
      <c r="A23" s="18">
        <v>47</v>
      </c>
      <c r="B23" s="23" t="s">
        <v>15</v>
      </c>
      <c r="C23" s="93">
        <v>56740.98</v>
      </c>
      <c r="D23" s="22"/>
      <c r="E23" s="22"/>
      <c r="F23" s="17"/>
      <c r="G23" s="8"/>
    </row>
    <row r="24" spans="1:8" ht="13" x14ac:dyDescent="0.15">
      <c r="A24" s="2"/>
      <c r="B24" s="23" t="s">
        <v>16</v>
      </c>
      <c r="C24" s="118">
        <v>7877433.4699999997</v>
      </c>
      <c r="D24" s="22"/>
      <c r="E24" s="22"/>
      <c r="F24" s="17"/>
      <c r="G24" s="8"/>
    </row>
    <row r="25" spans="1:8" ht="13" x14ac:dyDescent="0.15">
      <c r="A25" s="2"/>
      <c r="B25" s="119" t="s">
        <v>59</v>
      </c>
      <c r="C25" s="87"/>
      <c r="D25" s="181"/>
      <c r="E25" s="181"/>
      <c r="F25" s="132"/>
      <c r="G25" s="8"/>
      <c r="H25" s="98"/>
    </row>
    <row r="26" spans="1:8" ht="13" x14ac:dyDescent="0.15">
      <c r="A26" s="18">
        <v>71</v>
      </c>
      <c r="B26" s="23" t="s">
        <v>46</v>
      </c>
      <c r="C26" s="200">
        <f>SUM(C27:C31)</f>
        <v>7206117.4500000002</v>
      </c>
      <c r="D26" s="91"/>
      <c r="E26" s="91"/>
      <c r="F26" s="14"/>
      <c r="G26" s="8"/>
    </row>
    <row r="27" spans="1:8" ht="13" x14ac:dyDescent="0.15">
      <c r="A27" s="40">
        <v>711</v>
      </c>
      <c r="B27" s="42" t="s">
        <v>48</v>
      </c>
      <c r="C27" s="265">
        <v>3452080.54</v>
      </c>
      <c r="D27" s="82"/>
      <c r="E27" s="266"/>
      <c r="F27" s="28"/>
      <c r="G27" s="8"/>
    </row>
    <row r="28" spans="1:8" ht="13" x14ac:dyDescent="0.15">
      <c r="A28" s="40">
        <v>713</v>
      </c>
      <c r="B28" s="42" t="s">
        <v>49</v>
      </c>
      <c r="C28" s="265">
        <v>301841.91999999998</v>
      </c>
      <c r="D28" s="82"/>
      <c r="E28" s="266"/>
      <c r="F28" s="28"/>
      <c r="G28" s="8"/>
    </row>
    <row r="29" spans="1:8" ht="13" x14ac:dyDescent="0.15">
      <c r="A29" s="40">
        <v>714</v>
      </c>
      <c r="B29" s="42" t="s">
        <v>50</v>
      </c>
      <c r="C29" s="193">
        <f>3000.95+607730.59</f>
        <v>610731.53999999992</v>
      </c>
      <c r="D29" s="82"/>
      <c r="E29" s="82"/>
      <c r="F29" s="28"/>
      <c r="G29" s="8"/>
    </row>
    <row r="30" spans="1:8" ht="13" x14ac:dyDescent="0.15">
      <c r="A30" s="136"/>
      <c r="B30" s="42" t="s">
        <v>60</v>
      </c>
      <c r="C30" s="193">
        <f>3163970.74-C29</f>
        <v>2553239.2000000002</v>
      </c>
      <c r="D30" s="82"/>
      <c r="E30" s="82"/>
      <c r="F30" s="28"/>
      <c r="G30" s="8"/>
    </row>
    <row r="31" spans="1:8" ht="13" x14ac:dyDescent="0.15">
      <c r="A31" s="40">
        <v>715</v>
      </c>
      <c r="B31" s="42" t="s">
        <v>61</v>
      </c>
      <c r="C31" s="60">
        <v>288224.25</v>
      </c>
      <c r="D31" s="82"/>
      <c r="E31" s="82"/>
      <c r="F31" s="28"/>
      <c r="G31" s="8"/>
    </row>
    <row r="32" spans="1:8" ht="13" x14ac:dyDescent="0.15">
      <c r="A32" s="18">
        <v>72</v>
      </c>
      <c r="B32" s="146" t="s">
        <v>51</v>
      </c>
      <c r="C32" s="93">
        <v>49572.639999999999</v>
      </c>
      <c r="D32" s="82"/>
      <c r="E32" s="22"/>
      <c r="F32" s="43"/>
      <c r="G32" s="8"/>
    </row>
    <row r="33" spans="1:8" ht="13" x14ac:dyDescent="0.15">
      <c r="A33" s="140">
        <v>73</v>
      </c>
      <c r="B33" s="62" t="s">
        <v>62</v>
      </c>
      <c r="C33" s="268">
        <f>1646.61+3505801.48</f>
        <v>3507448.09</v>
      </c>
      <c r="D33" s="269"/>
      <c r="E33" s="269"/>
      <c r="F33" s="148"/>
      <c r="G33" s="8"/>
      <c r="H33" s="133"/>
    </row>
    <row r="34" spans="1:8" ht="13" x14ac:dyDescent="0.15">
      <c r="A34" s="18">
        <v>74</v>
      </c>
      <c r="B34" s="61" t="s">
        <v>52</v>
      </c>
      <c r="C34" s="88"/>
      <c r="D34" s="94"/>
      <c r="E34" s="94"/>
      <c r="F34" s="17"/>
      <c r="G34" s="8"/>
    </row>
    <row r="35" spans="1:8" ht="13" x14ac:dyDescent="0.15">
      <c r="A35" s="40">
        <v>741</v>
      </c>
      <c r="B35" s="42" t="s">
        <v>53</v>
      </c>
      <c r="C35" s="88"/>
      <c r="D35" s="94"/>
      <c r="E35" s="94"/>
      <c r="F35" s="17"/>
      <c r="G35" s="8"/>
    </row>
    <row r="36" spans="1:8" ht="13" x14ac:dyDescent="0.15">
      <c r="A36" s="40">
        <v>742</v>
      </c>
      <c r="B36" s="42" t="s">
        <v>54</v>
      </c>
      <c r="C36" s="88"/>
      <c r="D36" s="94"/>
      <c r="E36" s="94"/>
      <c r="F36" s="17"/>
      <c r="G36" s="8"/>
    </row>
    <row r="37" spans="1:8" ht="13" x14ac:dyDescent="0.15">
      <c r="A37" s="136"/>
      <c r="B37" s="42" t="s">
        <v>63</v>
      </c>
      <c r="C37" s="88"/>
      <c r="D37" s="94"/>
      <c r="E37" s="170"/>
      <c r="F37" s="17"/>
      <c r="G37" s="8"/>
    </row>
    <row r="38" spans="1:8" ht="13" x14ac:dyDescent="0.15">
      <c r="A38" s="18">
        <v>751</v>
      </c>
      <c r="B38" s="106" t="s">
        <v>58</v>
      </c>
      <c r="C38" s="88"/>
      <c r="D38" s="22"/>
      <c r="E38" s="22"/>
      <c r="F38" s="17"/>
      <c r="G38" s="8"/>
    </row>
    <row r="39" spans="1:8" ht="13" x14ac:dyDescent="0.15">
      <c r="A39" s="2"/>
      <c r="B39" s="106" t="s">
        <v>64</v>
      </c>
      <c r="C39" s="118">
        <v>10763138.18</v>
      </c>
      <c r="D39" s="22"/>
      <c r="E39" s="22"/>
      <c r="F39" s="17"/>
      <c r="G39" s="8"/>
    </row>
    <row r="40" spans="1:8" ht="13" x14ac:dyDescent="0.15">
      <c r="A40" s="2"/>
      <c r="B40" s="119" t="s">
        <v>65</v>
      </c>
      <c r="C40" s="87"/>
      <c r="D40" s="181"/>
      <c r="E40" s="181"/>
      <c r="F40" s="132"/>
      <c r="G40" s="8"/>
    </row>
    <row r="41" spans="1:8" ht="13" x14ac:dyDescent="0.15">
      <c r="A41" s="2"/>
      <c r="B41" s="38" t="s">
        <v>66</v>
      </c>
      <c r="C41" s="92"/>
      <c r="D41" s="82"/>
      <c r="E41" s="82"/>
      <c r="F41" s="43"/>
      <c r="G41" s="8"/>
    </row>
    <row r="42" spans="1:8" ht="13" x14ac:dyDescent="0.15">
      <c r="A42" s="2"/>
      <c r="B42" s="38" t="s">
        <v>67</v>
      </c>
      <c r="C42" s="92"/>
      <c r="D42" s="82"/>
      <c r="E42" s="82"/>
      <c r="F42" s="43"/>
      <c r="G42" s="8"/>
    </row>
    <row r="43" spans="1:8" ht="13" x14ac:dyDescent="0.15">
      <c r="A43" s="2"/>
      <c r="B43" s="38" t="s">
        <v>68</v>
      </c>
      <c r="C43" s="92"/>
      <c r="D43" s="82"/>
      <c r="E43" s="82"/>
      <c r="F43" s="43"/>
      <c r="G43" s="8"/>
    </row>
    <row r="44" spans="1:8" ht="13" x14ac:dyDescent="0.15">
      <c r="A44" s="2"/>
      <c r="B44" s="38" t="s">
        <v>69</v>
      </c>
      <c r="C44" s="92"/>
      <c r="D44" s="82"/>
      <c r="E44" s="82"/>
      <c r="F44" s="43"/>
      <c r="G44" s="8"/>
    </row>
    <row r="45" spans="1:8" ht="13" x14ac:dyDescent="0.15">
      <c r="A45" s="2"/>
      <c r="B45" s="149"/>
      <c r="C45" s="92"/>
      <c r="D45" s="82"/>
      <c r="E45" s="82"/>
      <c r="F45" s="132"/>
      <c r="G45" s="8"/>
    </row>
    <row r="46" spans="1:8" ht="19.5" customHeight="1" x14ac:dyDescent="0.15">
      <c r="B46" s="150"/>
      <c r="C46" s="246"/>
      <c r="D46" s="151"/>
      <c r="E46" s="150"/>
      <c r="F46" s="150"/>
    </row>
    <row r="47" spans="1:8" ht="19.5" customHeight="1" x14ac:dyDescent="0.15">
      <c r="B47" s="152" t="s">
        <v>70</v>
      </c>
      <c r="C47" s="3"/>
      <c r="D47" s="176"/>
      <c r="E47" s="1"/>
    </row>
    <row r="48" spans="1:8" ht="19.5" customHeight="1" x14ac:dyDescent="0.15">
      <c r="A48" s="2"/>
      <c r="B48" s="236" t="s">
        <v>71</v>
      </c>
      <c r="C48" s="92"/>
      <c r="D48" s="178"/>
      <c r="E48" s="247"/>
      <c r="F48" s="8"/>
    </row>
    <row r="49" spans="1:6" ht="24" customHeight="1" x14ac:dyDescent="0.15">
      <c r="A49" s="2"/>
      <c r="B49" s="179" t="s">
        <v>229</v>
      </c>
      <c r="C49" s="184">
        <v>453702.98</v>
      </c>
      <c r="D49" s="178"/>
      <c r="E49" s="247"/>
      <c r="F49" s="8"/>
    </row>
    <row r="50" spans="1:6" ht="24" customHeight="1" x14ac:dyDescent="0.15">
      <c r="A50" s="2"/>
      <c r="B50" s="179" t="s">
        <v>172</v>
      </c>
      <c r="C50" s="184">
        <v>92637.64</v>
      </c>
      <c r="D50" s="178"/>
      <c r="E50" s="247"/>
      <c r="F50" s="8"/>
    </row>
    <row r="51" spans="1:6" ht="24" customHeight="1" x14ac:dyDescent="0.15">
      <c r="A51" s="2"/>
      <c r="B51" s="186" t="s">
        <v>230</v>
      </c>
      <c r="C51" s="184">
        <v>247959.06</v>
      </c>
      <c r="D51" s="178"/>
      <c r="E51" s="247"/>
      <c r="F51" s="8"/>
    </row>
    <row r="52" spans="1:6" ht="24" customHeight="1" x14ac:dyDescent="0.15">
      <c r="A52" s="2"/>
      <c r="B52" s="186" t="s">
        <v>231</v>
      </c>
      <c r="C52" s="184">
        <v>137620.37</v>
      </c>
      <c r="D52" s="178"/>
      <c r="E52" s="247"/>
      <c r="F52" s="8"/>
    </row>
    <row r="53" spans="1:6" ht="24" customHeight="1" x14ac:dyDescent="0.15">
      <c r="A53" s="2"/>
      <c r="B53" s="186" t="s">
        <v>94</v>
      </c>
      <c r="C53" s="184">
        <v>144034.04</v>
      </c>
      <c r="D53" s="178"/>
      <c r="E53" s="247"/>
      <c r="F53" s="8"/>
    </row>
    <row r="54" spans="1:6" ht="24" customHeight="1" x14ac:dyDescent="0.15">
      <c r="A54" s="2"/>
      <c r="B54" s="186" t="s">
        <v>125</v>
      </c>
      <c r="C54" s="184">
        <v>2887108.01</v>
      </c>
      <c r="D54" s="178"/>
      <c r="E54" s="247"/>
      <c r="F54" s="8"/>
    </row>
    <row r="55" spans="1:6" ht="24" customHeight="1" x14ac:dyDescent="0.15">
      <c r="A55" s="2"/>
      <c r="B55" s="179" t="s">
        <v>91</v>
      </c>
      <c r="C55" s="184">
        <v>48368.77</v>
      </c>
      <c r="D55" s="178"/>
      <c r="E55" s="247"/>
      <c r="F55" s="8"/>
    </row>
    <row r="56" spans="1:6" ht="24" customHeight="1" x14ac:dyDescent="0.15">
      <c r="A56" s="2"/>
      <c r="B56" s="186" t="s">
        <v>232</v>
      </c>
      <c r="C56" s="184">
        <v>939892.64</v>
      </c>
      <c r="D56" s="178"/>
      <c r="E56" s="247"/>
      <c r="F56" s="8"/>
    </row>
    <row r="57" spans="1:6" ht="24" customHeight="1" x14ac:dyDescent="0.15">
      <c r="A57" s="2"/>
      <c r="B57" s="186" t="s">
        <v>164</v>
      </c>
      <c r="C57" s="184">
        <v>241559.18</v>
      </c>
      <c r="D57" s="178"/>
      <c r="E57" s="247"/>
      <c r="F57" s="8"/>
    </row>
    <row r="58" spans="1:6" ht="24" customHeight="1" x14ac:dyDescent="0.15">
      <c r="A58" s="2"/>
      <c r="B58" s="186" t="s">
        <v>141</v>
      </c>
      <c r="C58" s="184">
        <v>85913.63</v>
      </c>
      <c r="D58" s="178"/>
      <c r="E58" s="247"/>
      <c r="F58" s="8"/>
    </row>
    <row r="59" spans="1:6" ht="24" customHeight="1" x14ac:dyDescent="0.15">
      <c r="A59" s="2"/>
      <c r="B59" s="186" t="s">
        <v>233</v>
      </c>
      <c r="C59" s="184">
        <v>1843863.24</v>
      </c>
      <c r="D59" s="178"/>
      <c r="E59" s="247"/>
      <c r="F59" s="8"/>
    </row>
    <row r="60" spans="1:6" ht="24" customHeight="1" x14ac:dyDescent="0.15">
      <c r="A60" s="2"/>
      <c r="B60" s="239" t="s">
        <v>122</v>
      </c>
      <c r="C60" s="184">
        <v>649802.29</v>
      </c>
      <c r="D60" s="178"/>
      <c r="E60" s="247"/>
      <c r="F60" s="8"/>
    </row>
    <row r="61" spans="1:6" ht="24" customHeight="1" x14ac:dyDescent="0.15">
      <c r="A61" s="2"/>
      <c r="B61" s="239" t="s">
        <v>234</v>
      </c>
      <c r="C61" s="184">
        <v>0</v>
      </c>
      <c r="D61" s="178"/>
      <c r="E61" s="247"/>
      <c r="F61" s="8"/>
    </row>
    <row r="62" spans="1:6" ht="24" customHeight="1" x14ac:dyDescent="0.15">
      <c r="A62" s="2"/>
      <c r="B62" s="239" t="s">
        <v>235</v>
      </c>
      <c r="C62" s="184">
        <v>104971.62</v>
      </c>
      <c r="D62" s="178"/>
      <c r="E62" s="247"/>
      <c r="F62" s="8"/>
    </row>
    <row r="63" spans="1:6" ht="19.5" customHeight="1" x14ac:dyDescent="0.15">
      <c r="A63" s="2"/>
      <c r="B63" s="188"/>
      <c r="C63" s="185"/>
      <c r="D63" s="178"/>
      <c r="E63" s="247"/>
      <c r="F63" s="8"/>
    </row>
    <row r="64" spans="1:6" ht="19.5" customHeight="1" x14ac:dyDescent="0.15">
      <c r="A64" s="2"/>
      <c r="B64" s="236" t="s">
        <v>81</v>
      </c>
      <c r="C64" s="189">
        <v>7877433.4699999997</v>
      </c>
      <c r="D64" s="273"/>
      <c r="E64" s="275"/>
      <c r="F64" s="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Uporedni pregled za 2012. godin</vt:lpstr>
      <vt:lpstr>Kolašin</vt:lpstr>
      <vt:lpstr>Budva</vt:lpstr>
      <vt:lpstr>Plav</vt:lpstr>
      <vt:lpstr>Rožaje</vt:lpstr>
      <vt:lpstr>Nikšić</vt:lpstr>
      <vt:lpstr>Žabljak</vt:lpstr>
      <vt:lpstr>Ulcinj</vt:lpstr>
      <vt:lpstr>Tivat</vt:lpstr>
      <vt:lpstr>Šavnik</vt:lpstr>
      <vt:lpstr>Podgorica</vt:lpstr>
      <vt:lpstr>Plužine</vt:lpstr>
      <vt:lpstr>Pljevlja</vt:lpstr>
      <vt:lpstr>Mojkovac</vt:lpstr>
      <vt:lpstr>Kotor</vt:lpstr>
      <vt:lpstr>Herceg Novi</vt:lpstr>
      <vt:lpstr>Danilovgrad</vt:lpstr>
      <vt:lpstr>Cetinje</vt:lpstr>
      <vt:lpstr>Bijelo Polje</vt:lpstr>
      <vt:lpstr>Berane</vt:lpstr>
      <vt:lpstr>Bar</vt:lpstr>
      <vt:lpstr>Andrijevica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Sošić</cp:lastModifiedBy>
  <dcterms:modified xsi:type="dcterms:W3CDTF">2015-09-19T09:52:24Z</dcterms:modified>
</cp:coreProperties>
</file>