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defaultThemeVersion="124226"/>
  <bookViews>
    <workbookView xWindow="240" yWindow="75" windowWidth="19980" windowHeight="7560" firstSheet="1" activeTab="8"/>
  </bookViews>
  <sheets>
    <sheet name="User" sheetId="20" state="hidden" r:id="rId1"/>
    <sheet name="Model" sheetId="26" r:id="rId2"/>
    <sheet name="Surv" sheetId="21" r:id="rId3"/>
    <sheet name="Abattoir" sheetId="22" r:id="rId4"/>
    <sheet name="SRM" sheetId="23" r:id="rId5"/>
    <sheet name="Processing" sheetId="24" r:id="rId6"/>
    <sheet name="Infectivity" sheetId="25" r:id="rId7"/>
    <sheet name="RiskSerializationData" sheetId="34" state="hidden" r:id="rId8"/>
    <sheet name="Results (2)" sheetId="32" r:id="rId9"/>
    <sheet name="KEY" sheetId="10" r:id="rId10"/>
  </sheets>
  <externalReferences>
    <externalReference r:id="rId11"/>
  </externalReferences>
  <definedNames>
    <definedName name="_AtRisk_FitDataRange_FIT_26CFB_A1464" hidden="1">[1]Sheet8!$C$28:$D$60</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Age">KEY!$G$4:$H$13</definedName>
    <definedName name="Age_exposure">Surv!$I$7</definedName>
    <definedName name="Age_postinf">Surv!$I$8</definedName>
    <definedName name="Age_slaughter">Surv!$I$6</definedName>
    <definedName name="BOunit">Infectivity!$I$47</definedName>
    <definedName name="CInf">Model!$M$20</definedName>
    <definedName name="CInf_1">Model!$M$12</definedName>
    <definedName name="CInf_2">Model!$M$13</definedName>
    <definedName name="CInf_3">Model!$M$14</definedName>
    <definedName name="CInf_3i">Model!$M$22</definedName>
    <definedName name="CInf_4">Model!$M$15</definedName>
    <definedName name="CInf_5">Model!$M$16</definedName>
    <definedName name="CInf_6">Model!$M$17</definedName>
    <definedName name="CInf_7">Model!$M$18</definedName>
    <definedName name="CInf_8">Model!$M$19</definedName>
    <definedName name="CInf_9">Model!$M$21</definedName>
    <definedName name="CLengh_1">Model!$N$12</definedName>
    <definedName name="CLength_1">Model!$N$12</definedName>
    <definedName name="CLength_2">Model!$N$13</definedName>
    <definedName name="CLength_3">Model!$N$14</definedName>
    <definedName name="CLength_3i">Model!$N$22</definedName>
    <definedName name="CLength_4">Model!$N$15</definedName>
    <definedName name="CLength_5">Model!$N$16</definedName>
    <definedName name="CLength_9">Model!$N$21</definedName>
    <definedName name="ColonIntestcorr">Abattoir!$D$122:$E$123</definedName>
    <definedName name="Cumul_carcases">Model!$J$4</definedName>
    <definedName name="Date">Surv!$K$1</definedName>
    <definedName name="End">KEY!$E$4:$E$12</definedName>
    <definedName name="Fixed_carcases">Model!$K$4</definedName>
    <definedName name="Ileocorr">Abattoir!$D$128:$F$130</definedName>
    <definedName name="Inf">Model!$H$20</definedName>
    <definedName name="Inf_1">Model!$H$12</definedName>
    <definedName name="Inf_2">Model!$H$13</definedName>
    <definedName name="Inf_3">Model!$H$14</definedName>
    <definedName name="Inf_3i">Model!$H$22</definedName>
    <definedName name="Inf_4">Model!$H$15</definedName>
    <definedName name="Inf_5">Model!$H$16</definedName>
    <definedName name="Inf_6">Model!$H$17</definedName>
    <definedName name="Inf_7">Model!$H$18</definedName>
    <definedName name="Inf_8">Model!$H$19</definedName>
    <definedName name="Inf_9">Model!$H$21</definedName>
    <definedName name="Inf_yr">Model!$K$20</definedName>
    <definedName name="Inf_yr_1">Model!$K$12</definedName>
    <definedName name="Inf_yr_2">Model!$K$13</definedName>
    <definedName name="Inf_yr_3">Model!$K$14</definedName>
    <definedName name="Inf_yr_3i">Model!$K$22</definedName>
    <definedName name="Inf_yr_4">Model!$K$15</definedName>
    <definedName name="Inf_yr_5">Model!$K$16</definedName>
    <definedName name="Inf_yr_6">Model!$K$17</definedName>
    <definedName name="Inf_yr_7">Model!$K$18</definedName>
    <definedName name="Inf_yr_8">Model!$K$19</definedName>
    <definedName name="Inf_yr_9">Model!$K$21</definedName>
    <definedName name="Infm_1">Model!$I$12</definedName>
    <definedName name="Infm_2">Model!$I$13</definedName>
    <definedName name="Infm_3">Model!$I$14</definedName>
    <definedName name="Infm_3i">Model!$I$22</definedName>
    <definedName name="Infm_4">Model!$I$15</definedName>
    <definedName name="Infm_5">Model!$I$16</definedName>
    <definedName name="Infm_9">Model!$I$21</definedName>
    <definedName name="Length_yr1">Model!$L$12</definedName>
    <definedName name="Length_yr2">Model!$L$13</definedName>
    <definedName name="Length_yr3">Model!$L$14</definedName>
    <definedName name="Length_yr3i">Model!$L$22</definedName>
    <definedName name="Length_yr4">Model!$L$15</definedName>
    <definedName name="Length_yr5">Model!$L$16</definedName>
    <definedName name="Length_yr9">Model!$L$21</definedName>
    <definedName name="Mesentericwts">Abattoir!$D$135:$E$136</definedName>
    <definedName name="N_carcases">Model!$G$4</definedName>
    <definedName name="P_processing_1">Processing!$I$6</definedName>
    <definedName name="P_processing_2">Processing!$I$7</definedName>
    <definedName name="P_processing_3">Processing!$I$8</definedName>
    <definedName name="P_processing_4">Processing!$I$9</definedName>
    <definedName name="P_processing_5">Processing!$I$10</definedName>
    <definedName name="P_processing_6">Processing!$I$11</definedName>
    <definedName name="P_processing_7">Processing!$I$12</definedName>
    <definedName name="P_processing_8">Processing!$I$13</definedName>
    <definedName name="Pal_Workbook_GUID" hidden="1">"7QK22IY3GAWBLDLST2LR9N33"</definedName>
    <definedName name="RiskAfterRecalcMacro" hidden="1">""</definedName>
    <definedName name="RiskAfterSimMacro" hidden="1">""</definedName>
    <definedName name="RiskBeforeRecalcMacro" localSheetId="8" hidden="1">"BeforeIt"</definedName>
    <definedName name="RiskBeforeRecalcMacro" hidden="1">"BeforeIt"</definedName>
    <definedName name="RiskBeforeSimMacro" localSheetId="8" hidden="1">"StartSim"</definedName>
    <definedName name="RiskBeforeSimMacro" hidden="1">"StartSim"</definedName>
    <definedName name="RiskCollectDistributionSamples" hidden="1">0</definedName>
    <definedName name="RiskFixedSeed" localSheetId="8" hidden="1">4444</definedName>
    <definedName name="RiskFixedSeed" hidden="1">4444</definedName>
    <definedName name="RiskHasSettings" localSheetId="8" hidden="1">6</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localSheetId="8" hidden="1">300000</definedName>
    <definedName name="RiskNumIterations" hidden="1">300000</definedName>
    <definedName name="RiskNumSimulations" localSheetId="8" hidden="1">1</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localSheetId="8" hidden="1">TRUE</definedName>
    <definedName name="RiskRunBeforeRecalcMacro" hidden="1">TRUE</definedName>
    <definedName name="RiskRunBeforeSimMacro" localSheetId="8" hidden="1">TRUE</definedName>
    <definedName name="RiskRunBeforeSimMacro" hidden="1">TRUE</definedName>
    <definedName name="RiskSamplingType" hidden="1">3</definedName>
    <definedName name="RiskStandardRecalc" localSheetId="8" hidden="1">1</definedName>
    <definedName name="RiskStandardRecalc" hidden="1">1</definedName>
    <definedName name="RiskUpdateDisplay" hidden="1">FALSE</definedName>
    <definedName name="RiskUseDifferentSeedForEachSim" hidden="1">FALSE</definedName>
    <definedName name="RiskUseFixedSeed" localSheetId="8" hidden="1">TRUE</definedName>
    <definedName name="RiskUseFixedSeed" hidden="1">TRUE</definedName>
    <definedName name="RiskUseMultipleCPUs" hidden="1">TRUE</definedName>
    <definedName name="Scenario">Surv!$N$1</definedName>
    <definedName name="Tgunit">Infectivity!$I$49</definedName>
    <definedName name="Titre_1">Infectivity!$I$16</definedName>
    <definedName name="Titre_1_m">Infectivity!$I$31</definedName>
    <definedName name="Titre_2">Infectivity!$I$17</definedName>
    <definedName name="Titre_3i">Infectivity!$I$18</definedName>
    <definedName name="Titre_3ii">Infectivity!$I$19</definedName>
    <definedName name="Titre_4">Infectivity!$I$20</definedName>
    <definedName name="Titre_5">Infectivity!$I$21</definedName>
    <definedName name="Titre_6">Infectivity!$I$22</definedName>
    <definedName name="Titre_6_m">Infectivity!$I$35</definedName>
    <definedName name="Titre_7">Infectivity!$I$23</definedName>
    <definedName name="Titre_7_m">Infectivity!$I$41</definedName>
    <definedName name="Titre_8">Infectivity!$I$24</definedName>
    <definedName name="Titre_8_m">Infectivity!$I$45</definedName>
    <definedName name="Titre_lower">Infectivity!$I$33</definedName>
    <definedName name="TitreBO_1">Infectivity!$I$6</definedName>
    <definedName name="TitreBO_2">Infectivity!$I$7</definedName>
    <definedName name="TitreBO_3i">Infectivity!$I$8</definedName>
    <definedName name="TitreBO_3ii">Infectivity!$I$9</definedName>
    <definedName name="TitreBO_4">Infectivity!$I$10</definedName>
    <definedName name="TitreBO_5">Infectivity!$I$11</definedName>
    <definedName name="TitreBO_6">Infectivity!$I$12</definedName>
    <definedName name="TitreBO_7">Infectivity!$I$13</definedName>
    <definedName name="TitreBO_8">Infectivity!$I$14</definedName>
    <definedName name="Uncertainty">KEY!$Q$2</definedName>
    <definedName name="Weight_1">Abattoir!$I$6</definedName>
    <definedName name="Weight_2">Abattoir!$I$7</definedName>
    <definedName name="Weight_3i">Abattoir!$I$8</definedName>
    <definedName name="Weight_3ii">Abattoir!$I$9</definedName>
    <definedName name="Weight_4">Abattoir!$I$10</definedName>
    <definedName name="Weight_5">Abattoir!$I$11</definedName>
    <definedName name="Weight_6">Abattoir!$I$12</definedName>
    <definedName name="Weight_7">Abattoir!$I$13</definedName>
    <definedName name="Weight_8">Abattoir!$I$14</definedName>
  </definedNames>
  <calcPr calcId="145621"/>
</workbook>
</file>

<file path=xl/calcChain.xml><?xml version="1.0" encoding="utf-8"?>
<calcChain xmlns="http://schemas.openxmlformats.org/spreadsheetml/2006/main">
  <c r="F49" i="25" l="1"/>
  <c r="F47" i="25"/>
  <c r="I47" i="25" s="1"/>
  <c r="F43" i="25"/>
  <c r="F39" i="25"/>
  <c r="F35" i="25"/>
  <c r="I35" i="25" s="1"/>
  <c r="I22" i="25" s="1"/>
  <c r="F33" i="25"/>
  <c r="I33" i="25" s="1"/>
  <c r="G31" i="25"/>
  <c r="I31" i="25" s="1"/>
  <c r="I16" i="25" s="1"/>
  <c r="I18" i="25" s="1"/>
  <c r="G6" i="24"/>
  <c r="G7" i="24"/>
  <c r="G8" i="24"/>
  <c r="G9" i="24"/>
  <c r="G10" i="24"/>
  <c r="G11" i="24"/>
  <c r="G12" i="24"/>
  <c r="I12" i="24" s="1"/>
  <c r="G13" i="24"/>
  <c r="I13" i="24" s="1"/>
  <c r="K40" i="22"/>
  <c r="D79" i="21"/>
  <c r="D80" i="21"/>
  <c r="D81" i="21"/>
  <c r="D82" i="21"/>
  <c r="D83" i="21"/>
  <c r="D84" i="21"/>
  <c r="D85" i="21"/>
  <c r="D86" i="21"/>
  <c r="D87" i="21"/>
  <c r="D88" i="21"/>
  <c r="D89" i="21"/>
  <c r="D90" i="21"/>
  <c r="D91" i="21"/>
  <c r="D92" i="21"/>
  <c r="D93" i="21"/>
  <c r="D94" i="21"/>
  <c r="D95" i="21"/>
  <c r="D96" i="21"/>
  <c r="D97" i="21"/>
  <c r="D98" i="21"/>
  <c r="J35" i="21"/>
  <c r="F35" i="21"/>
  <c r="K35" i="21" s="1"/>
  <c r="M35" i="21" s="1"/>
  <c r="J34" i="21"/>
  <c r="F34" i="21"/>
  <c r="K34" i="21" s="1"/>
  <c r="M34" i="21" s="1"/>
  <c r="J33" i="21"/>
  <c r="F33" i="21"/>
  <c r="K33" i="21" s="1"/>
  <c r="M33" i="21" s="1"/>
  <c r="J32" i="21"/>
  <c r="F32" i="21"/>
  <c r="K32" i="21" s="1"/>
  <c r="M32" i="21" s="1"/>
  <c r="J31" i="21"/>
  <c r="F31" i="21"/>
  <c r="K31" i="21" s="1"/>
  <c r="M31" i="21" s="1"/>
  <c r="J30" i="21"/>
  <c r="F30" i="21"/>
  <c r="K30" i="21" s="1"/>
  <c r="M30" i="21" s="1"/>
  <c r="J29" i="21"/>
  <c r="F29" i="21"/>
  <c r="K29" i="21" s="1"/>
  <c r="M29" i="21" s="1"/>
  <c r="J28" i="21"/>
  <c r="F28" i="21"/>
  <c r="K28" i="21" s="1"/>
  <c r="M28" i="21" s="1"/>
  <c r="J27" i="21"/>
  <c r="F27" i="21"/>
  <c r="K27" i="21" s="1"/>
  <c r="M27" i="21" s="1"/>
  <c r="J26" i="21"/>
  <c r="F26" i="21"/>
  <c r="K26" i="21" s="1"/>
  <c r="M26" i="21" s="1"/>
  <c r="J25" i="21"/>
  <c r="F25" i="21"/>
  <c r="K25" i="21" s="1"/>
  <c r="M25" i="21" s="1"/>
  <c r="J24" i="21"/>
  <c r="F24" i="21"/>
  <c r="K24" i="21" s="1"/>
  <c r="M24" i="21" s="1"/>
  <c r="J23" i="21"/>
  <c r="F23" i="21"/>
  <c r="K23" i="21" s="1"/>
  <c r="M23" i="21" s="1"/>
  <c r="J22" i="21"/>
  <c r="F22" i="21"/>
  <c r="K22" i="21" s="1"/>
  <c r="M22" i="21" s="1"/>
  <c r="J21" i="21"/>
  <c r="F21" i="21"/>
  <c r="K21" i="21" s="1"/>
  <c r="M21" i="21" s="1"/>
  <c r="J20" i="21"/>
  <c r="F20" i="21"/>
  <c r="K20" i="21" s="1"/>
  <c r="M20" i="21" s="1"/>
  <c r="J19" i="21"/>
  <c r="F19" i="21"/>
  <c r="K19" i="21" s="1"/>
  <c r="M19" i="21" s="1"/>
  <c r="J18" i="21"/>
  <c r="F18" i="21"/>
  <c r="K18" i="21" s="1"/>
  <c r="M18" i="21" s="1"/>
  <c r="J17" i="21"/>
  <c r="F17" i="21"/>
  <c r="K17" i="21" s="1"/>
  <c r="M17" i="21" s="1"/>
  <c r="J16" i="21"/>
  <c r="F16" i="21"/>
  <c r="K16" i="21" s="1"/>
  <c r="M16" i="21" s="1"/>
  <c r="J15" i="21"/>
  <c r="F15" i="21"/>
  <c r="K15" i="21" s="1"/>
  <c r="K22" i="26"/>
  <c r="L22" i="26"/>
  <c r="K21" i="26"/>
  <c r="L21" i="26"/>
  <c r="K20" i="26"/>
  <c r="K19" i="26"/>
  <c r="K18" i="26"/>
  <c r="K17" i="26"/>
  <c r="K16" i="26"/>
  <c r="L16" i="26"/>
  <c r="K15" i="26"/>
  <c r="L15" i="26"/>
  <c r="K14" i="26"/>
  <c r="L14" i="26"/>
  <c r="K13" i="26"/>
  <c r="L13" i="26"/>
  <c r="K12" i="26"/>
  <c r="L12" i="26"/>
  <c r="F14" i="26"/>
  <c r="F22" i="26"/>
  <c r="F12" i="26"/>
  <c r="F21" i="26"/>
  <c r="F19" i="26"/>
  <c r="F18" i="26"/>
  <c r="F17" i="26"/>
  <c r="F16" i="26"/>
  <c r="F15" i="26"/>
  <c r="F13" i="26"/>
  <c r="G14" i="26"/>
  <c r="G22" i="26"/>
  <c r="G12" i="26"/>
  <c r="G21" i="26"/>
  <c r="F14" i="23"/>
  <c r="G14" i="23"/>
  <c r="C123" i="22"/>
  <c r="E121" i="22"/>
  <c r="D121" i="22"/>
  <c r="C122" i="22"/>
  <c r="C136" i="22"/>
  <c r="E134" i="22"/>
  <c r="D134" i="22"/>
  <c r="C135" i="22"/>
  <c r="C130" i="22"/>
  <c r="C129" i="22"/>
  <c r="F127" i="22"/>
  <c r="E127" i="22"/>
  <c r="D127" i="22"/>
  <c r="C128" i="22"/>
  <c r="F13" i="23"/>
  <c r="G13" i="23"/>
  <c r="F34" i="24"/>
  <c r="G18" i="26"/>
  <c r="F35" i="24"/>
  <c r="G19" i="26"/>
  <c r="F58" i="21"/>
  <c r="G35" i="21"/>
  <c r="C58" i="21"/>
  <c r="C35" i="21"/>
  <c r="G58" i="21"/>
  <c r="H35" i="21"/>
  <c r="H58" i="21"/>
  <c r="I35" i="21"/>
  <c r="D58" i="21"/>
  <c r="D35" i="21"/>
  <c r="E58" i="21"/>
  <c r="E35" i="21"/>
  <c r="F57" i="21"/>
  <c r="G34" i="21"/>
  <c r="G57" i="21"/>
  <c r="H34" i="21"/>
  <c r="H57" i="21"/>
  <c r="I34" i="21"/>
  <c r="C57" i="21"/>
  <c r="C34" i="21"/>
  <c r="D57" i="21"/>
  <c r="D34" i="21"/>
  <c r="E57" i="21"/>
  <c r="E34" i="21"/>
  <c r="F56" i="21"/>
  <c r="G33" i="21"/>
  <c r="G56" i="21"/>
  <c r="H33" i="21"/>
  <c r="H56" i="21"/>
  <c r="I33" i="21"/>
  <c r="F55" i="21"/>
  <c r="G32" i="21"/>
  <c r="G55" i="21"/>
  <c r="H32" i="21"/>
  <c r="H55" i="21"/>
  <c r="I32" i="21"/>
  <c r="F54" i="21"/>
  <c r="G31" i="21"/>
  <c r="G54" i="21"/>
  <c r="H31" i="21"/>
  <c r="H54" i="21"/>
  <c r="I31" i="21"/>
  <c r="F53" i="21"/>
  <c r="G30" i="21"/>
  <c r="G53" i="21"/>
  <c r="H30" i="21"/>
  <c r="H53" i="21"/>
  <c r="I30" i="21"/>
  <c r="F52" i="21"/>
  <c r="G29" i="21"/>
  <c r="G52" i="21"/>
  <c r="H29" i="21"/>
  <c r="H52" i="21"/>
  <c r="I29" i="21"/>
  <c r="F51" i="21"/>
  <c r="G28" i="21"/>
  <c r="G51" i="21"/>
  <c r="H28" i="21"/>
  <c r="H51" i="21"/>
  <c r="I28" i="21"/>
  <c r="F50" i="21"/>
  <c r="G27" i="21"/>
  <c r="G50" i="21"/>
  <c r="H27" i="21"/>
  <c r="H50" i="21"/>
  <c r="I27" i="21"/>
  <c r="G17" i="26"/>
  <c r="G16" i="26"/>
  <c r="G15" i="26"/>
  <c r="G13" i="26"/>
  <c r="D68" i="25"/>
  <c r="E68" i="25"/>
  <c r="G35" i="25"/>
  <c r="G49" i="25"/>
  <c r="G47" i="25"/>
  <c r="G43" i="25"/>
  <c r="G39" i="25"/>
  <c r="G33" i="25"/>
  <c r="E35" i="24"/>
  <c r="D35" i="24"/>
  <c r="E34" i="24"/>
  <c r="D34" i="24"/>
  <c r="J14" i="23"/>
  <c r="I14" i="23"/>
  <c r="H14" i="23"/>
  <c r="J13" i="23"/>
  <c r="I13" i="23"/>
  <c r="H13" i="23"/>
  <c r="H112" i="22"/>
  <c r="G112" i="22"/>
  <c r="D111" i="22"/>
  <c r="F111" i="22"/>
  <c r="C111" i="22"/>
  <c r="E111" i="22"/>
  <c r="E102" i="22"/>
  <c r="C102" i="22"/>
  <c r="D102" i="22"/>
  <c r="F102" i="22"/>
  <c r="G102" i="22"/>
  <c r="C101" i="22"/>
  <c r="D101" i="22"/>
  <c r="F101" i="22"/>
  <c r="G101" i="22"/>
  <c r="E101" i="22"/>
  <c r="J89" i="22"/>
  <c r="J90" i="22"/>
  <c r="J91" i="22"/>
  <c r="H89" i="22"/>
  <c r="H90" i="22"/>
  <c r="H91" i="22"/>
  <c r="M88" i="22"/>
  <c r="M89" i="22"/>
  <c r="M90" i="22"/>
  <c r="M91" i="22"/>
  <c r="K89" i="22"/>
  <c r="K90" i="22"/>
  <c r="K91" i="22"/>
  <c r="I89" i="22"/>
  <c r="I90" i="22"/>
  <c r="I91" i="22"/>
  <c r="O88" i="22"/>
  <c r="O89" i="22"/>
  <c r="O90" i="22"/>
  <c r="O91" i="22"/>
  <c r="D78" i="21"/>
  <c r="E68" i="21"/>
  <c r="H41" i="21"/>
  <c r="I18" i="21"/>
  <c r="D68" i="21"/>
  <c r="C68" i="21"/>
  <c r="E56" i="21"/>
  <c r="E33" i="21"/>
  <c r="D56" i="21"/>
  <c r="D33" i="21"/>
  <c r="C56" i="21"/>
  <c r="C33" i="21"/>
  <c r="L33" i="21"/>
  <c r="E55" i="21"/>
  <c r="E32" i="21"/>
  <c r="D55" i="21"/>
  <c r="D32" i="21"/>
  <c r="C55" i="21"/>
  <c r="C32" i="21"/>
  <c r="E54" i="21"/>
  <c r="D54" i="21"/>
  <c r="D31" i="21"/>
  <c r="C54" i="21"/>
  <c r="C31" i="21"/>
  <c r="E53" i="21"/>
  <c r="E30" i="21"/>
  <c r="D53" i="21"/>
  <c r="D30" i="21"/>
  <c r="C53" i="21"/>
  <c r="C30" i="21"/>
  <c r="E52" i="21"/>
  <c r="D52" i="21"/>
  <c r="D29" i="21"/>
  <c r="C52" i="21"/>
  <c r="C29" i="21"/>
  <c r="E51" i="21"/>
  <c r="E28" i="21"/>
  <c r="D51" i="21"/>
  <c r="D28" i="21"/>
  <c r="C51" i="21"/>
  <c r="C28" i="21"/>
  <c r="E50" i="21"/>
  <c r="E27" i="21"/>
  <c r="D50" i="21"/>
  <c r="D27" i="21"/>
  <c r="C50" i="21"/>
  <c r="H49" i="21"/>
  <c r="I26" i="21"/>
  <c r="G49" i="21"/>
  <c r="H26" i="21"/>
  <c r="F49" i="21"/>
  <c r="G26" i="21"/>
  <c r="E49" i="21"/>
  <c r="E26" i="21"/>
  <c r="D49" i="21"/>
  <c r="D26" i="21"/>
  <c r="C49" i="21"/>
  <c r="C26" i="21"/>
  <c r="H48" i="21"/>
  <c r="G48" i="21"/>
  <c r="H25" i="21"/>
  <c r="F48" i="21"/>
  <c r="E48" i="21"/>
  <c r="E25" i="21"/>
  <c r="D48" i="21"/>
  <c r="D25" i="21"/>
  <c r="C48" i="21"/>
  <c r="C25" i="21"/>
  <c r="H47" i="21"/>
  <c r="I24" i="21"/>
  <c r="F47" i="21"/>
  <c r="G24" i="21"/>
  <c r="G47" i="21"/>
  <c r="H24" i="21"/>
  <c r="E47" i="21"/>
  <c r="E24" i="21"/>
  <c r="D47" i="21"/>
  <c r="D24" i="21"/>
  <c r="C47" i="21"/>
  <c r="C24" i="21"/>
  <c r="H46" i="21"/>
  <c r="I23" i="21"/>
  <c r="G46" i="21"/>
  <c r="H23" i="21"/>
  <c r="F46" i="21"/>
  <c r="G23" i="21"/>
  <c r="E46" i="21"/>
  <c r="E23" i="21"/>
  <c r="D46" i="21"/>
  <c r="D23" i="21"/>
  <c r="C46" i="21"/>
  <c r="C23" i="21"/>
  <c r="H45" i="21"/>
  <c r="I22" i="21"/>
  <c r="G45" i="21"/>
  <c r="H22" i="21"/>
  <c r="F45" i="21"/>
  <c r="G22" i="21"/>
  <c r="E45" i="21"/>
  <c r="E22" i="21"/>
  <c r="D45" i="21"/>
  <c r="D22" i="21"/>
  <c r="C45" i="21"/>
  <c r="H44" i="21"/>
  <c r="I21" i="21"/>
  <c r="G44" i="21"/>
  <c r="H21" i="21"/>
  <c r="F44" i="21"/>
  <c r="G21" i="21"/>
  <c r="E44" i="21"/>
  <c r="E21" i="21"/>
  <c r="D44" i="21"/>
  <c r="D21" i="21"/>
  <c r="C44" i="21"/>
  <c r="C21" i="21"/>
  <c r="H43" i="21"/>
  <c r="G43" i="21"/>
  <c r="H20" i="21"/>
  <c r="F43" i="21"/>
  <c r="G20" i="21"/>
  <c r="E43" i="21"/>
  <c r="E20" i="21"/>
  <c r="D43" i="21"/>
  <c r="D20" i="21"/>
  <c r="C43" i="21"/>
  <c r="C20" i="21"/>
  <c r="H42" i="21"/>
  <c r="G42" i="21"/>
  <c r="H19" i="21"/>
  <c r="F42" i="21"/>
  <c r="G19" i="21"/>
  <c r="C42" i="21"/>
  <c r="C19" i="21"/>
  <c r="E42" i="21"/>
  <c r="E19" i="21"/>
  <c r="D42" i="21"/>
  <c r="D19" i="21"/>
  <c r="G41" i="21"/>
  <c r="F41" i="21"/>
  <c r="G18" i="21"/>
  <c r="E41" i="21"/>
  <c r="E16" i="21"/>
  <c r="D41" i="21"/>
  <c r="D16" i="21"/>
  <c r="C41" i="21"/>
  <c r="C15" i="21"/>
  <c r="E31" i="21"/>
  <c r="E29" i="21"/>
  <c r="C27" i="21"/>
  <c r="I25" i="21"/>
  <c r="G25" i="21"/>
  <c r="C22" i="21"/>
  <c r="I20" i="21"/>
  <c r="I19" i="21"/>
  <c r="H18" i="21"/>
  <c r="H16" i="21"/>
  <c r="I15" i="21"/>
  <c r="I16" i="21"/>
  <c r="H15" i="21"/>
  <c r="C17" i="21"/>
  <c r="H17" i="21"/>
  <c r="L27" i="21"/>
  <c r="E18" i="21"/>
  <c r="G103" i="22"/>
  <c r="L92" i="22"/>
  <c r="L88" i="22"/>
  <c r="L89" i="22"/>
  <c r="L90" i="22"/>
  <c r="L91" i="22"/>
  <c r="D17" i="21"/>
  <c r="L22" i="21"/>
  <c r="G17" i="21"/>
  <c r="I17" i="21"/>
  <c r="D18" i="21"/>
  <c r="E15" i="21"/>
  <c r="E17" i="21"/>
  <c r="D15" i="21"/>
  <c r="L35" i="21"/>
  <c r="G16" i="21"/>
  <c r="G15" i="21"/>
  <c r="L19" i="21"/>
  <c r="C16" i="21"/>
  <c r="C18" i="21"/>
  <c r="L34" i="21"/>
  <c r="L32" i="21"/>
  <c r="L31" i="21"/>
  <c r="L30" i="21"/>
  <c r="L29" i="21"/>
  <c r="L28" i="21"/>
  <c r="L26" i="21"/>
  <c r="L25" i="21"/>
  <c r="L24" i="21"/>
  <c r="L23" i="21"/>
  <c r="L21" i="21"/>
  <c r="L20" i="21"/>
  <c r="I6" i="24"/>
  <c r="I11" i="24"/>
  <c r="I49" i="25"/>
  <c r="I10" i="24"/>
  <c r="I9" i="24"/>
  <c r="I8" i="24"/>
  <c r="I7" i="24"/>
  <c r="L15" i="21"/>
  <c r="L17" i="21"/>
  <c r="L18" i="21"/>
  <c r="L16" i="21"/>
  <c r="L36" i="21"/>
  <c r="I50" i="32"/>
  <c r="I48" i="32"/>
  <c r="I33" i="32"/>
  <c r="I31" i="32"/>
  <c r="I16" i="32"/>
  <c r="I14" i="32"/>
  <c r="I51" i="32"/>
  <c r="I52" i="32"/>
  <c r="I49" i="32"/>
  <c r="I47" i="32"/>
  <c r="I42" i="32"/>
  <c r="I43" i="32"/>
  <c r="I44" i="32"/>
  <c r="I45" i="32"/>
  <c r="I46" i="32"/>
  <c r="I34" i="32"/>
  <c r="I35" i="32"/>
  <c r="I32" i="32"/>
  <c r="I30" i="32"/>
  <c r="I25" i="32"/>
  <c r="I26" i="32"/>
  <c r="I27" i="32"/>
  <c r="I28" i="32"/>
  <c r="I29" i="32"/>
  <c r="I17" i="32"/>
  <c r="I18" i="32"/>
  <c r="I15" i="32"/>
  <c r="I13" i="32"/>
  <c r="I8" i="32"/>
  <c r="I9" i="32"/>
  <c r="I10" i="32"/>
  <c r="I11" i="32"/>
  <c r="I12" i="32"/>
  <c r="J51" i="32"/>
  <c r="J52" i="32"/>
  <c r="J42" i="32"/>
  <c r="J43" i="32"/>
  <c r="J44" i="32"/>
  <c r="J45" i="32"/>
  <c r="J46" i="32"/>
  <c r="J34" i="32"/>
  <c r="J35" i="32"/>
  <c r="J25" i="32"/>
  <c r="J26" i="32"/>
  <c r="J27" i="32"/>
  <c r="J28" i="32"/>
  <c r="J29" i="32"/>
  <c r="J17" i="32"/>
  <c r="J18" i="32"/>
  <c r="J8" i="32"/>
  <c r="J9" i="32"/>
  <c r="J10" i="32"/>
  <c r="J11" i="32"/>
  <c r="J12" i="32"/>
  <c r="I8" i="25" l="1"/>
  <c r="I19" i="25"/>
  <c r="I9" i="25" s="1"/>
  <c r="I17" i="25"/>
  <c r="I7" i="25" s="1"/>
  <c r="I20" i="25"/>
  <c r="J80" i="32"/>
  <c r="J63" i="32"/>
  <c r="J62" i="32"/>
  <c r="J79" i="32"/>
  <c r="J61" i="32"/>
  <c r="J78" i="32"/>
  <c r="J77" i="32"/>
  <c r="J60" i="32"/>
  <c r="J76" i="32"/>
  <c r="J59" i="32"/>
  <c r="J16" i="32"/>
  <c r="J69" i="32"/>
  <c r="J86" i="32"/>
  <c r="J85" i="32"/>
  <c r="J68" i="32"/>
  <c r="J33" i="32"/>
  <c r="J50" i="32"/>
  <c r="I63" i="32"/>
  <c r="I80" i="32"/>
  <c r="I79" i="32"/>
  <c r="I62" i="32"/>
  <c r="I61" i="32"/>
  <c r="I78" i="32"/>
  <c r="I77" i="32"/>
  <c r="I60" i="32"/>
  <c r="I76" i="32"/>
  <c r="I59" i="32"/>
  <c r="I81" i="32"/>
  <c r="I64" i="32"/>
  <c r="I66" i="32"/>
  <c r="I83" i="32"/>
  <c r="I69" i="32"/>
  <c r="I86" i="32"/>
  <c r="I85" i="32"/>
  <c r="I68" i="32"/>
  <c r="I65" i="32"/>
  <c r="I82" i="32"/>
  <c r="I67" i="32"/>
  <c r="I84" i="32"/>
  <c r="K19" i="25"/>
  <c r="K36" i="21"/>
  <c r="M15" i="21"/>
  <c r="K18" i="25"/>
  <c r="K16" i="25"/>
  <c r="K22" i="25"/>
  <c r="I6" i="25"/>
  <c r="I12" i="25"/>
  <c r="I21" i="25"/>
  <c r="K17" i="25" l="1"/>
  <c r="K20" i="25"/>
  <c r="I10" i="25"/>
  <c r="K21" i="25"/>
  <c r="I11" i="25"/>
  <c r="I6" i="21"/>
  <c r="M36" i="21"/>
  <c r="G4" i="26" s="1"/>
  <c r="J84" i="32"/>
  <c r="J67" i="32"/>
  <c r="K27" i="22" l="1"/>
  <c r="G33" i="22"/>
  <c r="H36" i="22"/>
  <c r="I38" i="22"/>
  <c r="G37" i="22"/>
  <c r="I7" i="21"/>
  <c r="I8" i="21" s="1"/>
  <c r="H33" i="22"/>
  <c r="I21" i="22"/>
  <c r="I26" i="22"/>
  <c r="F29" i="22"/>
  <c r="H38" i="22"/>
  <c r="F28" i="22"/>
  <c r="K28" i="22" s="1"/>
  <c r="J15" i="26" s="1"/>
  <c r="G38" i="22"/>
  <c r="F23" i="22"/>
  <c r="K23" i="22" s="1"/>
  <c r="H30" i="22"/>
  <c r="G30" i="22"/>
  <c r="G21" i="22"/>
  <c r="G26" i="22"/>
  <c r="I37" i="22"/>
  <c r="I36" i="22"/>
  <c r="I33" i="22"/>
  <c r="F22" i="22"/>
  <c r="K22" i="22" s="1"/>
  <c r="J12" i="26" s="1"/>
  <c r="I30" i="22"/>
  <c r="G36" i="22"/>
  <c r="H37" i="22"/>
  <c r="K26" i="22"/>
  <c r="K37" i="22"/>
  <c r="K33" i="22"/>
  <c r="K29" i="22"/>
  <c r="K38" i="22"/>
  <c r="K30" i="22"/>
  <c r="K21" i="22"/>
  <c r="K36" i="22" l="1"/>
  <c r="I12" i="22" s="1"/>
  <c r="H17" i="26" s="1"/>
  <c r="K24" i="22"/>
  <c r="J14" i="26" s="1"/>
  <c r="H21" i="26"/>
  <c r="I21" i="26"/>
  <c r="I14" i="22"/>
  <c r="J16" i="26"/>
  <c r="I13" i="22"/>
  <c r="K39" i="22"/>
  <c r="K41" i="22" s="1"/>
  <c r="J21" i="26"/>
  <c r="F37" i="25"/>
  <c r="G37" i="25"/>
  <c r="K31" i="22"/>
  <c r="K32" i="22" s="1"/>
  <c r="I8" i="22" s="1"/>
  <c r="K25" i="22"/>
  <c r="K34" i="22" s="1"/>
  <c r="J13" i="26"/>
  <c r="G47" i="32"/>
  <c r="G30" i="32"/>
  <c r="G13" i="32"/>
  <c r="H17" i="32"/>
  <c r="H34" i="32"/>
  <c r="H51" i="32"/>
  <c r="G17" i="32"/>
  <c r="G34" i="32"/>
  <c r="G51" i="32"/>
  <c r="G64" i="32" l="1"/>
  <c r="G81" i="32"/>
  <c r="G68" i="32"/>
  <c r="G85" i="32"/>
  <c r="H68" i="32"/>
  <c r="H85" i="32"/>
  <c r="H22" i="26"/>
  <c r="I7" i="22"/>
  <c r="K35" i="22"/>
  <c r="F45" i="25"/>
  <c r="I45" i="25" s="1"/>
  <c r="I24" i="25" s="1"/>
  <c r="F41" i="25"/>
  <c r="I41" i="25" s="1"/>
  <c r="I23" i="25" s="1"/>
  <c r="I6" i="22"/>
  <c r="K42" i="22"/>
  <c r="I10" i="22" s="1"/>
  <c r="J22" i="26"/>
  <c r="G41" i="25"/>
  <c r="G45" i="25"/>
  <c r="G18" i="32"/>
  <c r="G35" i="32"/>
  <c r="G52" i="32"/>
  <c r="G69" i="32" l="1"/>
  <c r="G86" i="32"/>
  <c r="I15" i="26"/>
  <c r="H15" i="26"/>
  <c r="I13" i="25"/>
  <c r="H18" i="26" s="1"/>
  <c r="K23" i="25"/>
  <c r="I22" i="26"/>
  <c r="I13" i="26"/>
  <c r="H13" i="26"/>
  <c r="I12" i="26"/>
  <c r="H12" i="26"/>
  <c r="I14" i="25"/>
  <c r="H19" i="26" s="1"/>
  <c r="K24" i="25"/>
  <c r="K43" i="22"/>
  <c r="I11" i="22" s="1"/>
  <c r="I9" i="22"/>
  <c r="G14" i="32"/>
  <c r="G31" i="32"/>
  <c r="G48" i="32"/>
  <c r="H11" i="32"/>
  <c r="H28" i="32"/>
  <c r="H45" i="32"/>
  <c r="H18" i="32"/>
  <c r="H35" i="32"/>
  <c r="H52" i="32"/>
  <c r="G8" i="32"/>
  <c r="G25" i="32"/>
  <c r="G42" i="32"/>
  <c r="G11" i="32"/>
  <c r="G28" i="32"/>
  <c r="G45" i="32"/>
  <c r="H9" i="32"/>
  <c r="H26" i="32"/>
  <c r="H43" i="32"/>
  <c r="G15" i="32"/>
  <c r="G32" i="32"/>
  <c r="G49" i="32"/>
  <c r="G9" i="32"/>
  <c r="G26" i="32"/>
  <c r="G43" i="32"/>
  <c r="H8" i="32"/>
  <c r="H25" i="32"/>
  <c r="H42" i="32"/>
  <c r="H59" i="32" l="1"/>
  <c r="H76" i="32"/>
  <c r="G60" i="32"/>
  <c r="G77" i="32"/>
  <c r="G66" i="32"/>
  <c r="G83" i="32"/>
  <c r="H77" i="32"/>
  <c r="H60" i="32"/>
  <c r="G62" i="32"/>
  <c r="G79" i="32"/>
  <c r="G59" i="32"/>
  <c r="G76" i="32"/>
  <c r="H86" i="32"/>
  <c r="H69" i="32"/>
  <c r="H79" i="32"/>
  <c r="H62" i="32"/>
  <c r="G82" i="32"/>
  <c r="G65" i="32"/>
  <c r="I14" i="26"/>
  <c r="H14" i="26"/>
  <c r="I16" i="26"/>
  <c r="H16" i="26"/>
  <c r="H10" i="32"/>
  <c r="H27" i="32"/>
  <c r="H44" i="32"/>
  <c r="G12" i="32"/>
  <c r="G29" i="32"/>
  <c r="G46" i="32"/>
  <c r="G10" i="32"/>
  <c r="G27" i="32"/>
  <c r="G44" i="32"/>
  <c r="H12" i="32"/>
  <c r="H29" i="32"/>
  <c r="H46" i="32"/>
  <c r="H20" i="26" l="1"/>
  <c r="G5" i="26" s="1"/>
  <c r="H80" i="32"/>
  <c r="H63" i="32"/>
  <c r="G78" i="32"/>
  <c r="G61" i="32"/>
  <c r="G63" i="32"/>
  <c r="G80" i="32"/>
  <c r="H61" i="32"/>
  <c r="H78" i="32"/>
  <c r="G50" i="32"/>
  <c r="G33" i="32"/>
  <c r="G16" i="32"/>
  <c r="G67" i="32" l="1"/>
  <c r="G84" i="32"/>
</calcChain>
</file>

<file path=xl/comments1.xml><?xml version="1.0" encoding="utf-8"?>
<comments xmlns="http://schemas.openxmlformats.org/spreadsheetml/2006/main">
  <authors>
    <author>Adkin, Amie</author>
  </authors>
  <commentList>
    <comment ref="C121" authorId="0">
      <text>
        <r>
          <rPr>
            <b/>
            <sz val="8"/>
            <color indexed="81"/>
            <rFont val="Tahoma"/>
            <family val="2"/>
          </rPr>
          <t>@RISK Correlation ColonIntestcorr
Updated: 15/08/2013 14:44:03</t>
        </r>
      </text>
    </comment>
    <comment ref="C127" authorId="0">
      <text>
        <r>
          <rPr>
            <b/>
            <sz val="8"/>
            <color indexed="81"/>
            <rFont val="Tahoma"/>
            <family val="2"/>
          </rPr>
          <t>@RISK Correlation Ileocorr
Updated: 15/08/2013 14:44:03</t>
        </r>
      </text>
    </comment>
    <comment ref="C134" authorId="0">
      <text>
        <r>
          <rPr>
            <b/>
            <sz val="8"/>
            <color indexed="81"/>
            <rFont val="Tahoma"/>
            <family val="2"/>
          </rPr>
          <t>@RISK Correlation Mesentericwts
Updated: 15/08/2013 14:44:03</t>
        </r>
      </text>
    </comment>
  </commentList>
</comments>
</file>

<file path=xl/sharedStrings.xml><?xml version="1.0" encoding="utf-8"?>
<sst xmlns="http://schemas.openxmlformats.org/spreadsheetml/2006/main" count="1209" uniqueCount="618">
  <si>
    <t>EU25</t>
  </si>
  <si>
    <t>Value</t>
  </si>
  <si>
    <t>Ileum</t>
  </si>
  <si>
    <t>Duodenum</t>
  </si>
  <si>
    <t>Caecum</t>
  </si>
  <si>
    <t>Colon</t>
  </si>
  <si>
    <t>Mesenteric nerves</t>
  </si>
  <si>
    <t>Jejunum</t>
  </si>
  <si>
    <t>ES</t>
  </si>
  <si>
    <t>&lt;12</t>
  </si>
  <si>
    <t>&lt;24</t>
  </si>
  <si>
    <t>PP1+PP3i</t>
  </si>
  <si>
    <t>PP1</t>
  </si>
  <si>
    <t>PP3i</t>
  </si>
  <si>
    <t>PP2+PP3ii</t>
  </si>
  <si>
    <t>PP2</t>
  </si>
  <si>
    <t>PP3ii</t>
  </si>
  <si>
    <t>PP4</t>
  </si>
  <si>
    <t>Age (months)</t>
  </si>
  <si>
    <t>&gt;24</t>
  </si>
  <si>
    <t>CMGC</t>
  </si>
  <si>
    <t>ListIndex</t>
  </si>
  <si>
    <t>Initials</t>
  </si>
  <si>
    <t>Member States</t>
  </si>
  <si>
    <t>t</t>
  </si>
  <si>
    <t>AT</t>
  </si>
  <si>
    <t>Austria</t>
  </si>
  <si>
    <t>BE</t>
  </si>
  <si>
    <t>Belgium</t>
  </si>
  <si>
    <t>CY</t>
  </si>
  <si>
    <t>Cyprus</t>
  </si>
  <si>
    <t>CZ</t>
  </si>
  <si>
    <t>Czech Republic</t>
  </si>
  <si>
    <t>DK</t>
  </si>
  <si>
    <t>Denmark</t>
  </si>
  <si>
    <t>EE</t>
  </si>
  <si>
    <t>Estonia</t>
  </si>
  <si>
    <t>Mesentery lymph nodes</t>
  </si>
  <si>
    <t>FI</t>
  </si>
  <si>
    <t>Finland</t>
  </si>
  <si>
    <t>FR</t>
  </si>
  <si>
    <t>France</t>
  </si>
  <si>
    <t>DE</t>
  </si>
  <si>
    <t>Germany</t>
  </si>
  <si>
    <t>EL</t>
  </si>
  <si>
    <t>Greece</t>
  </si>
  <si>
    <t>HU</t>
  </si>
  <si>
    <t>Hungary</t>
  </si>
  <si>
    <t>IE</t>
  </si>
  <si>
    <t>Ireland</t>
  </si>
  <si>
    <t>IT</t>
  </si>
  <si>
    <t>Italy</t>
  </si>
  <si>
    <t>LV</t>
  </si>
  <si>
    <t>Latvia</t>
  </si>
  <si>
    <t>Ileocaecal plate in ileum</t>
  </si>
  <si>
    <t>PP3</t>
  </si>
  <si>
    <t>LT</t>
  </si>
  <si>
    <t>Lithuania</t>
  </si>
  <si>
    <t>Peyer's patches in duodenum</t>
  </si>
  <si>
    <t>PP5</t>
  </si>
  <si>
    <t>LU</t>
  </si>
  <si>
    <t>Luxembourg</t>
  </si>
  <si>
    <t>Ileocaecal plate in jejunum</t>
  </si>
  <si>
    <t>MT</t>
  </si>
  <si>
    <t>Malta</t>
  </si>
  <si>
    <t>Peyer's patches in jejunum</t>
  </si>
  <si>
    <t>PP6</t>
  </si>
  <si>
    <t>NL</t>
  </si>
  <si>
    <t>Netherlands</t>
  </si>
  <si>
    <t>Ileocaecal plate in caecum</t>
  </si>
  <si>
    <t>PP7</t>
  </si>
  <si>
    <t>PL</t>
  </si>
  <si>
    <t>Poland</t>
  </si>
  <si>
    <t>Lymphoid tissue in colon</t>
  </si>
  <si>
    <t>PP8</t>
  </si>
  <si>
    <t>PT</t>
  </si>
  <si>
    <t>Portugal</t>
  </si>
  <si>
    <t>Total Peyer's patches in duodenum and jejunum</t>
  </si>
  <si>
    <t>SK</t>
  </si>
  <si>
    <t>Slovakia</t>
  </si>
  <si>
    <t>Total Ileocaecal plate in small intestine</t>
  </si>
  <si>
    <t>SI</t>
  </si>
  <si>
    <t>Slovenia</t>
  </si>
  <si>
    <t>Spain</t>
  </si>
  <si>
    <t>SE</t>
  </si>
  <si>
    <t>Sweden</t>
  </si>
  <si>
    <t>UK</t>
  </si>
  <si>
    <t>United Kingdom</t>
  </si>
  <si>
    <t>End (months)</t>
  </si>
  <si>
    <t>No limit</t>
  </si>
  <si>
    <t>&gt;0</t>
  </si>
  <si>
    <t>&lt;48</t>
  </si>
  <si>
    <t>&lt;60</t>
  </si>
  <si>
    <t>&gt;36</t>
  </si>
  <si>
    <t>&lt;72</t>
  </si>
  <si>
    <t>&gt;48</t>
  </si>
  <si>
    <t>&lt;84</t>
  </si>
  <si>
    <t>&gt;60</t>
  </si>
  <si>
    <t>&lt;96</t>
  </si>
  <si>
    <t>&gt;72</t>
  </si>
  <si>
    <t>&lt;108</t>
  </si>
  <si>
    <t>&gt;84</t>
  </si>
  <si>
    <t>&lt;120</t>
  </si>
  <si>
    <t>&gt;96</t>
  </si>
  <si>
    <t>&gt;108</t>
  </si>
  <si>
    <t>NO</t>
  </si>
  <si>
    <t>Norway</t>
  </si>
  <si>
    <t>BG</t>
  </si>
  <si>
    <t>Bulgaria</t>
  </si>
  <si>
    <t>RO</t>
  </si>
  <si>
    <t>Romania</t>
  </si>
  <si>
    <t>CH</t>
  </si>
  <si>
    <t>Switzerland</t>
  </si>
  <si>
    <t>HR</t>
  </si>
  <si>
    <t>Croatia</t>
  </si>
  <si>
    <t>FYRM</t>
  </si>
  <si>
    <t>Former Yugoslave Republic of Macedonia</t>
  </si>
  <si>
    <t>IS</t>
  </si>
  <si>
    <t>Iceland</t>
  </si>
  <si>
    <t>TR</t>
  </si>
  <si>
    <t>Turkey</t>
  </si>
  <si>
    <t>ALB</t>
  </si>
  <si>
    <t>Albania</t>
  </si>
  <si>
    <t>BIH</t>
  </si>
  <si>
    <t>Bosnia and Herzegovina</t>
  </si>
  <si>
    <t>KS</t>
  </si>
  <si>
    <t>Kosovo under UN Security Council Resolution 1244</t>
  </si>
  <si>
    <t>&gt;12</t>
  </si>
  <si>
    <t>BSE Tissue types</t>
  </si>
  <si>
    <t>BSE Lymphoid types</t>
  </si>
  <si>
    <t>Modelling Uncertainty and Variability</t>
  </si>
  <si>
    <t>Surveillance Component</t>
  </si>
  <si>
    <t>MS data loaded</t>
  </si>
  <si>
    <t>Year</t>
  </si>
  <si>
    <t xml:space="preserve">Scenario </t>
  </si>
  <si>
    <t>Surveillance characteristics for a random infected animal</t>
  </si>
  <si>
    <r>
      <t>Tissue Type (</t>
    </r>
    <r>
      <rPr>
        <b/>
        <i/>
        <sz val="10"/>
        <rFont val="Arial"/>
        <family val="2"/>
      </rPr>
      <t>t</t>
    </r>
    <r>
      <rPr>
        <b/>
        <sz val="10"/>
        <rFont val="Arial"/>
        <family val="2"/>
      </rPr>
      <t>)</t>
    </r>
  </si>
  <si>
    <t>Symbol</t>
  </si>
  <si>
    <t>Unit</t>
  </si>
  <si>
    <t>Reference</t>
  </si>
  <si>
    <t>Age at slaughter of infected post test (HS+ES)</t>
  </si>
  <si>
    <t>Age_slaughter</t>
  </si>
  <si>
    <t>months</t>
  </si>
  <si>
    <t>see Tables below</t>
  </si>
  <si>
    <t>Age at exposure</t>
  </si>
  <si>
    <t>Months post infection at slaughter</t>
  </si>
  <si>
    <t>Age_postinf</t>
  </si>
  <si>
    <t>Table 1</t>
  </si>
  <si>
    <t>Number infected and slaughtered (HS and ES) by age in months including younger cohorts (C, U L and H type combined)</t>
  </si>
  <si>
    <t>Where available, uncertainty taken into account described by a Pert distribution</t>
  </si>
  <si>
    <t>Blank indicates C-TSEMM unable to converge on value, or confidence intervals unavailable for historic or emergence runs</t>
  </si>
  <si>
    <t>HS 2.5th</t>
  </si>
  <si>
    <t>HS 97.5th</t>
  </si>
  <si>
    <t>Uncertainty</t>
  </si>
  <si>
    <t>ES 2.5th</t>
  </si>
  <si>
    <t>ES 97.5th</t>
  </si>
  <si>
    <t>HS</t>
  </si>
  <si>
    <t>HS + ES</t>
  </si>
  <si>
    <t>Total number in HS Infected and ES Infected and Missed (using data to year end 2011)</t>
  </si>
  <si>
    <t>Table 2</t>
  </si>
  <si>
    <t>0-23</t>
  </si>
  <si>
    <t>24-29</t>
  </si>
  <si>
    <t>30-35</t>
  </si>
  <si>
    <t>36-47</t>
  </si>
  <si>
    <t>48-59</t>
  </si>
  <si>
    <t>60-71</t>
  </si>
  <si>
    <t>72-83</t>
  </si>
  <si>
    <t>84-95</t>
  </si>
  <si>
    <t>96-107</t>
  </si>
  <si>
    <t>108-119</t>
  </si>
  <si>
    <t>120-131</t>
  </si>
  <si>
    <t>132-143</t>
  </si>
  <si>
    <t>144-155</t>
  </si>
  <si>
    <t>156-167</t>
  </si>
  <si>
    <t>168-179</t>
  </si>
  <si>
    <t>180-191</t>
  </si>
  <si>
    <t>192-203</t>
  </si>
  <si>
    <t>204-</t>
  </si>
  <si>
    <t>*Uses surveillance and demographic data up to year end 2011</t>
  </si>
  <si>
    <t>Table 3</t>
  </si>
  <si>
    <t>Combined</t>
  </si>
  <si>
    <t>&lt;6</t>
  </si>
  <si>
    <t xml:space="preserve"> </t>
  </si>
  <si>
    <t>&lt;18</t>
  </si>
  <si>
    <t>Total</t>
  </si>
  <si>
    <t>Table 4</t>
  </si>
  <si>
    <t>Probable age at exposure truncated by Age at death (Arnold and Wilesmith, 2004)</t>
  </si>
  <si>
    <t>Adapted from Arnold and Wilesmith, 2004; Arnold pers. comm. 2013</t>
  </si>
  <si>
    <t xml:space="preserve">Probability  </t>
  </si>
  <si>
    <t>Age (m)</t>
  </si>
  <si>
    <t>Variability</t>
  </si>
  <si>
    <t>P_exposure_exa</t>
  </si>
  <si>
    <t>exa</t>
  </si>
  <si>
    <t>P_exposure_a</t>
  </si>
  <si>
    <t>Discrete(exa, P_exposure_exa)</t>
  </si>
  <si>
    <t>Table 5</t>
  </si>
  <si>
    <t>Table input from C-TSEMM outputs: Baseline/Historic/Emergence</t>
  </si>
  <si>
    <t>Mean</t>
  </si>
  <si>
    <t>Lower</t>
  </si>
  <si>
    <t>Upper</t>
  </si>
  <si>
    <t>Abattoir Component</t>
  </si>
  <si>
    <t>Abattoir weights for a random animal</t>
  </si>
  <si>
    <t>Weight of tissues per animal</t>
  </si>
  <si>
    <t>Weight_1</t>
  </si>
  <si>
    <t>PP g</t>
  </si>
  <si>
    <t>Weight_2</t>
  </si>
  <si>
    <t>Jejunum ileocaecal plate</t>
  </si>
  <si>
    <t>3i</t>
  </si>
  <si>
    <t>Weight_3i</t>
  </si>
  <si>
    <t>Jejunum Peyer's patches</t>
  </si>
  <si>
    <t>3ii</t>
  </si>
  <si>
    <t>Weight_3ii</t>
  </si>
  <si>
    <t>Weight_4</t>
  </si>
  <si>
    <t>Weight_5</t>
  </si>
  <si>
    <t>Mesenteric lymph nodes</t>
  </si>
  <si>
    <t>Weight_6</t>
  </si>
  <si>
    <t>Weight_7</t>
  </si>
  <si>
    <t>CGMC</t>
  </si>
  <si>
    <t>Weight_8</t>
  </si>
  <si>
    <t>Formula</t>
  </si>
  <si>
    <t>Description</t>
  </si>
  <si>
    <r>
      <t>Tissue type (</t>
    </r>
    <r>
      <rPr>
        <b/>
        <i/>
        <sz val="10"/>
        <rFont val="Arial"/>
        <family val="2"/>
      </rPr>
      <t>t</t>
    </r>
    <r>
      <rPr>
        <b/>
        <sz val="10"/>
        <rFont val="Arial"/>
        <family val="2"/>
      </rPr>
      <t>)</t>
    </r>
  </si>
  <si>
    <r>
      <t xml:space="preserve">Variability by </t>
    </r>
    <r>
      <rPr>
        <b/>
        <sz val="10"/>
        <rFont val="Arial"/>
        <family val="2"/>
      </rPr>
      <t>Age</t>
    </r>
    <r>
      <rPr>
        <b/>
        <i/>
        <sz val="10"/>
        <rFont val="Arial"/>
        <family val="2"/>
      </rPr>
      <t xml:space="preserve"> (a)</t>
    </r>
  </si>
  <si>
    <t>Min</t>
  </si>
  <si>
    <t>ML</t>
  </si>
  <si>
    <t>Max</t>
  </si>
  <si>
    <t>Length</t>
  </si>
  <si>
    <t>Small intestine length</t>
  </si>
  <si>
    <t>1+2+3</t>
  </si>
  <si>
    <t>Length(1+2+3,a)</t>
  </si>
  <si>
    <t>m</t>
  </si>
  <si>
    <t>Carlens, O. (1928)</t>
  </si>
  <si>
    <t>Ileum length</t>
  </si>
  <si>
    <t>Length(1,a)</t>
  </si>
  <si>
    <t>ENSCA, 2012</t>
  </si>
  <si>
    <t>Duodenum length</t>
  </si>
  <si>
    <t>Length(2,a)</t>
  </si>
  <si>
    <t>Liebler-Tenorio and Pabst, 2006</t>
  </si>
  <si>
    <t>Jejunum length</t>
  </si>
  <si>
    <t>Length(3,a)</t>
  </si>
  <si>
    <t>Length(1+2+3,a)-Length(1,a)-Length(2,a)</t>
  </si>
  <si>
    <t>Calculated</t>
  </si>
  <si>
    <t>Proportion of PP in duodenum</t>
  </si>
  <si>
    <t>P(PP2,a)</t>
  </si>
  <si>
    <t>P</t>
  </si>
  <si>
    <t>Length(2,a)/(Length(2,a)+Length(3,a))</t>
  </si>
  <si>
    <t>Total ileocaecal plate length in small intestine</t>
  </si>
  <si>
    <t>Length(PP1+PP3i,a)</t>
  </si>
  <si>
    <t>90% Correlated with ileocaecal plate weight</t>
  </si>
  <si>
    <t>Proportion of ileocaecal plate in ileum</t>
  </si>
  <si>
    <t>P(PP1)</t>
  </si>
  <si>
    <t>Length(1,1))/Length(PP1+PP3i,1)</t>
  </si>
  <si>
    <t>Caecum length</t>
  </si>
  <si>
    <t>Length(4,a)</t>
  </si>
  <si>
    <t>Nickel et al., 1987; Sisson and Grossman, 1953</t>
  </si>
  <si>
    <t>Colon length</t>
  </si>
  <si>
    <t>Length(5,a)</t>
  </si>
  <si>
    <t>Correlated to length of small intestine (&gt;24 months)</t>
  </si>
  <si>
    <t>Weight</t>
  </si>
  <si>
    <t>Ileocaecal plate weight in small intestines</t>
  </si>
  <si>
    <t>Weight(PP1+PP3i,a)</t>
  </si>
  <si>
    <t>Figure 1 and 2, Carlens, O. (1928)</t>
  </si>
  <si>
    <t>90% Correlated to ileocaecal plate length in small intestine</t>
  </si>
  <si>
    <t>Ileocaecal plate weight in ileum</t>
  </si>
  <si>
    <t>Weight(PP1,a)</t>
  </si>
  <si>
    <t>P(PP1)*Weight(PP1+PP3i,a)</t>
  </si>
  <si>
    <t>Ileocaecal plate weight in jejunum</t>
  </si>
  <si>
    <t>Weight(PP3i,a)</t>
  </si>
  <si>
    <t>Weight(PP1+PP3i,a)-Weight(PP1,a)</t>
  </si>
  <si>
    <t>Peyer's patches weight in duodenum and jejunum</t>
  </si>
  <si>
    <t>Weight(PP2+PP3ii,a)</t>
  </si>
  <si>
    <t>90% Correlated to ileocaecal plate weight in small intestines</t>
  </si>
  <si>
    <t>Peyer's patches weight in duodenum</t>
  </si>
  <si>
    <t>Weight(PP2,a)</t>
  </si>
  <si>
    <t>Weight(PP2+PP3ii,a)*P(PP2,a)</t>
  </si>
  <si>
    <t>Peyer's patches weight in jejunum</t>
  </si>
  <si>
    <t>Weight(PP3ii,a)</t>
  </si>
  <si>
    <t>Weight(PP2+PP3ii,a)-Weight(PP2,a)</t>
  </si>
  <si>
    <t>Mesenteric lymph nodes weight</t>
  </si>
  <si>
    <t>Weight(6,a)</t>
  </si>
  <si>
    <t>Jänicke, 1911</t>
  </si>
  <si>
    <t xml:space="preserve">Mesenteric nerves weight </t>
  </si>
  <si>
    <t>Weight(7,a)</t>
  </si>
  <si>
    <t>EFSA Working Group Opinion, 2013</t>
  </si>
  <si>
    <t>90% Correlated to CMGC weight</t>
  </si>
  <si>
    <t>CMGC weight</t>
  </si>
  <si>
    <t>Weight(8,a)</t>
  </si>
  <si>
    <t>Dyce, 1958; adapted by EFSA WG, 2013</t>
  </si>
  <si>
    <t>90% Correlated to Mesenteric nerves weight</t>
  </si>
  <si>
    <t>Other</t>
  </si>
  <si>
    <t>Ileocaecal length in the ileum</t>
  </si>
  <si>
    <t>Length(PP1,a)</t>
  </si>
  <si>
    <t>Length(PP1+PP3i,a)*P(PP1)</t>
  </si>
  <si>
    <t>Surface area of ileocaecal plate in caecum</t>
  </si>
  <si>
    <t>Area(PP4)</t>
  </si>
  <si>
    <r>
      <t>m</t>
    </r>
    <r>
      <rPr>
        <vertAlign val="superscript"/>
        <sz val="10"/>
        <rFont val="Arial"/>
        <family val="2"/>
      </rPr>
      <t>2</t>
    </r>
  </si>
  <si>
    <t>Surface area of ileocaecal plate in ileum</t>
  </si>
  <si>
    <t>Area(PP1,a)</t>
  </si>
  <si>
    <t>2πrh</t>
  </si>
  <si>
    <t>Ileocaecal weight in caecum</t>
  </si>
  <si>
    <t>Weight(PP4,a)</t>
  </si>
  <si>
    <t>Area(PP4)*(Weight(PP1,a)/Area(PP1))</t>
  </si>
  <si>
    <t>PP weight per meter of jejunum</t>
  </si>
  <si>
    <t>WLength(PP3ii,a)</t>
  </si>
  <si>
    <t>PP g/m</t>
  </si>
  <si>
    <t>Weight(PP3ii,a))/Length(3,a)</t>
  </si>
  <si>
    <t>Data Tables</t>
  </si>
  <si>
    <t xml:space="preserve">Length of tissues in small intestines </t>
  </si>
  <si>
    <t>Small intestine</t>
  </si>
  <si>
    <t>Ileocaecal plate</t>
  </si>
  <si>
    <t>Minimum length (m)*</t>
  </si>
  <si>
    <t>Maximum length (m)*</t>
  </si>
  <si>
    <r>
      <t>Average length (m)</t>
    </r>
    <r>
      <rPr>
        <sz val="10"/>
        <color rgb="FF000000"/>
        <rFont val="Calibri"/>
        <family val="2"/>
      </rPr>
      <t>†</t>
    </r>
  </si>
  <si>
    <r>
      <t>Average length (m)</t>
    </r>
    <r>
      <rPr>
        <sz val="10"/>
        <rFont val="Calibri"/>
        <family val="2"/>
      </rPr>
      <t>‡</t>
    </r>
  </si>
  <si>
    <r>
      <t>Average length (m)</t>
    </r>
    <r>
      <rPr>
        <sz val="10"/>
        <color rgb="FF000000"/>
        <rFont val="Calibri"/>
        <family val="2"/>
      </rPr>
      <t>∞</t>
    </r>
  </si>
  <si>
    <r>
      <t>Maximum length (m)</t>
    </r>
    <r>
      <rPr>
        <sz val="10"/>
        <color rgb="FF000000"/>
        <rFont val="Calibri"/>
        <family val="2"/>
      </rPr>
      <t>∞</t>
    </r>
  </si>
  <si>
    <t>Length_l (1+2+3,a)</t>
  </si>
  <si>
    <t>Length_u (1+2+3,a)</t>
  </si>
  <si>
    <t>Length (1,a)</t>
  </si>
  <si>
    <t>Length (2,a)</t>
  </si>
  <si>
    <t>Length_l (PP1+PP3i,a)</t>
  </si>
  <si>
    <t>Length_u (PP1+PP3i,a)</t>
  </si>
  <si>
    <t>Length (4)</t>
  </si>
  <si>
    <t>Length (5)</t>
  </si>
  <si>
    <t>Length_u (5,a)</t>
  </si>
  <si>
    <t>4 - 6</t>
  </si>
  <si>
    <t>&gt; 6 - 12</t>
  </si>
  <si>
    <t>&gt; 12 - 18</t>
  </si>
  <si>
    <t>&gt; 18 - 24</t>
  </si>
  <si>
    <t>*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</si>
  <si>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t xml:space="preserve">† </t>
    </r>
    <r>
      <rPr>
        <sz val="10"/>
        <rFont val="Arial"/>
        <family val="2"/>
      </rPr>
      <t>ENCSA, 2012 pers. comm., assumed to follow linear increase with age (minimum length of small intestine)</t>
    </r>
  </si>
  <si>
    <r>
      <t xml:space="preserve">‡ </t>
    </r>
    <r>
      <rPr>
        <sz val="10"/>
        <rFont val="Arial"/>
        <family val="2"/>
      </rPr>
      <t>Liebler-Tenorio and Pabst, 2006., assumed to follow linear increase with age</t>
    </r>
  </si>
  <si>
    <r>
      <t xml:space="preserve">∞ </t>
    </r>
    <r>
      <rPr>
        <sz val="10"/>
        <rFont val="Arial"/>
        <family val="2"/>
      </rPr>
      <t>Nickel et al., 1987, Sisson and Grossman, 1953</t>
    </r>
  </si>
  <si>
    <t>Assume that 4-6 months old group is representative of  0-6 month animals destined for sausage casing</t>
  </si>
  <si>
    <t>Weight of infectious tissues</t>
  </si>
  <si>
    <t>Peyer's patches</t>
  </si>
  <si>
    <t>Mean weight (g)*</t>
  </si>
  <si>
    <t>Min weight (g)†</t>
  </si>
  <si>
    <t>Fitted ML weight (g)</t>
  </si>
  <si>
    <t>Max weight (g)†</t>
  </si>
  <si>
    <t>Weight (PP1+ PP3i,a)</t>
  </si>
  <si>
    <t>Weight_l (PP1+ PP3i,a)</t>
  </si>
  <si>
    <t>Weight_ ml(PP1+ PP3i,a)</t>
  </si>
  <si>
    <t>Weight_u (PP1+ PP3i,a)</t>
  </si>
  <si>
    <t>Weight (PP2+ PP3ii,a)</t>
  </si>
  <si>
    <t>Weight_l (PP2+ PP3ii,a)</t>
  </si>
  <si>
    <t>Weight_ ml(PP2+ PP3ii,a)</t>
  </si>
  <si>
    <t>Weight_u (PP2+ PP3ii,a)</t>
  </si>
  <si>
    <t>&gt;24 - 59</t>
  </si>
  <si>
    <t>&gt; 60 - 120</t>
  </si>
  <si>
    <t>&gt; 120</t>
  </si>
  <si>
    <t>* from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</si>
  <si>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rPr>
        <sz val="10"/>
        <rFont val="Calibri"/>
        <family val="2"/>
      </rPr>
      <t xml:space="preserve">† </t>
    </r>
    <r>
      <rPr>
        <sz val="10"/>
        <rFont val="Arial"/>
        <family val="2"/>
      </rPr>
      <t>Manually read from Figure 1 and Figure 2 with single animals linked by age (months)</t>
    </r>
  </si>
  <si>
    <r>
      <rPr>
        <sz val="10"/>
        <rFont val="Calibri"/>
        <family val="2"/>
      </rPr>
      <t>‡</t>
    </r>
    <r>
      <rPr>
        <sz val="10"/>
        <rFont val="Arial"/>
        <family val="2"/>
      </rPr>
      <t>Assuming weight reaches adult size at 24 months</t>
    </r>
  </si>
  <si>
    <t>Assume that weight of tissues can be described by a pert distribution (fitted most likely from data)</t>
  </si>
  <si>
    <t>Weight of mesentery lymph nodes and mesenteric nerves</t>
  </si>
  <si>
    <t>M. lymph nodes</t>
  </si>
  <si>
    <t>M. nerves</t>
  </si>
  <si>
    <t>Min weight (g)*</t>
  </si>
  <si>
    <t>Fitted ML weight (g)*</t>
  </si>
  <si>
    <t>Max weight (g)*</t>
  </si>
  <si>
    <r>
      <t xml:space="preserve">Mean weight (g)† </t>
    </r>
    <r>
      <rPr>
        <sz val="10"/>
        <rFont val="Calibri"/>
        <family val="2"/>
      </rPr>
      <t>ⱡ</t>
    </r>
  </si>
  <si>
    <r>
      <t xml:space="preserve">Min weight (g)† </t>
    </r>
    <r>
      <rPr>
        <sz val="10"/>
        <rFont val="Calibri"/>
        <family val="2"/>
      </rPr>
      <t>ⱡ</t>
    </r>
  </si>
  <si>
    <r>
      <t xml:space="preserve">Fitted ML weight (g) </t>
    </r>
    <r>
      <rPr>
        <sz val="10"/>
        <color rgb="FF000000"/>
        <rFont val="Calibri"/>
        <family val="2"/>
      </rPr>
      <t>ⱡ</t>
    </r>
  </si>
  <si>
    <r>
      <t>Max weight (g)†</t>
    </r>
    <r>
      <rPr>
        <sz val="10"/>
        <rFont val="Calibri"/>
        <family val="2"/>
      </rPr>
      <t>ⱡ</t>
    </r>
  </si>
  <si>
    <r>
      <t xml:space="preserve">Max weight (g)† </t>
    </r>
    <r>
      <rPr>
        <sz val="10"/>
        <rFont val="Calibri"/>
        <family val="2"/>
      </rPr>
      <t>ⱡ</t>
    </r>
  </si>
  <si>
    <t>Weight (6)</t>
  </si>
  <si>
    <t>Weight_l (6)</t>
  </si>
  <si>
    <t>Weight_ ml(6)</t>
  </si>
  <si>
    <t>Weight_u (6)</t>
  </si>
  <si>
    <t>Weight (7)</t>
  </si>
  <si>
    <t>Weight_l (7)</t>
  </si>
  <si>
    <t>Weight_ ml(7)</t>
  </si>
  <si>
    <t>Weight_u (7)</t>
  </si>
  <si>
    <t>Weight (8)</t>
  </si>
  <si>
    <t>Weight_l (8)</t>
  </si>
  <si>
    <t>Weight_ ml(8)</t>
  </si>
  <si>
    <t>Weight_u (8)</t>
  </si>
  <si>
    <t>&lt; 6</t>
  </si>
  <si>
    <t>&gt; 6</t>
  </si>
  <si>
    <t>* Jänicke, 1911</t>
  </si>
  <si>
    <t>† Working Group Opinion, 2012</t>
  </si>
  <si>
    <r>
      <rPr>
        <sz val="10"/>
        <rFont val="Calibri"/>
        <family val="2"/>
      </rPr>
      <t>ⱡ</t>
    </r>
    <r>
      <rPr>
        <sz val="10"/>
        <rFont val="Arial"/>
        <family val="2"/>
      </rPr>
      <t xml:space="preserve"> Mean estimate for those animals &lt; 6 months assumed to be 50% less than that estimated for adult cattle</t>
    </r>
  </si>
  <si>
    <t>Dimensions for estimating mean CGMC weight for Pony at 350 kg</t>
  </si>
  <si>
    <t xml:space="preserve">Diameter (m)† </t>
  </si>
  <si>
    <t>Radius (m)</t>
  </si>
  <si>
    <t xml:space="preserve">Height (m)† </t>
  </si>
  <si>
    <t>Volume (m3)*</t>
  </si>
  <si>
    <t>Weight (g)</t>
  </si>
  <si>
    <t>Right</t>
  </si>
  <si>
    <t>Left</t>
  </si>
  <si>
    <t>*Assuming volume can be estimated by a cylinder</t>
  </si>
  <si>
    <r>
      <t xml:space="preserve">† </t>
    </r>
    <r>
      <rPr>
        <sz val="10"/>
        <rFont val="Arial"/>
        <family val="2"/>
      </rPr>
      <t>Dyce, 1958</t>
    </r>
  </si>
  <si>
    <r>
      <t>‡ Assuming that the density of nerves = 1 g/cm</t>
    </r>
    <r>
      <rPr>
        <vertAlign val="superscript"/>
        <sz val="10"/>
        <rFont val="Arial"/>
        <family val="2"/>
      </rPr>
      <t xml:space="preserve">3 </t>
    </r>
    <r>
      <rPr>
        <sz val="10"/>
        <rFont val="Arial"/>
        <family val="2"/>
      </rPr>
      <t>= 1,000,000 g/m</t>
    </r>
    <r>
      <rPr>
        <vertAlign val="superscript"/>
        <sz val="10"/>
        <rFont val="Arial"/>
        <family val="2"/>
      </rPr>
      <t>3</t>
    </r>
  </si>
  <si>
    <t>Dimensions of ileum and lymphoid tissue in caecum</t>
  </si>
  <si>
    <r>
      <t>Surface Area (m</t>
    </r>
    <r>
      <rPr>
        <vertAlign val="superscript"/>
        <sz val="10"/>
        <rFont val="Arial"/>
        <family val="2"/>
      </rPr>
      <t>2</t>
    </r>
    <r>
      <rPr>
        <sz val="10"/>
        <rFont val="Arial"/>
        <family val="2"/>
      </rPr>
      <t>) *</t>
    </r>
  </si>
  <si>
    <t>Radius_l (1)</t>
  </si>
  <si>
    <t>Area_l(4)</t>
  </si>
  <si>
    <t>Area_u(4)</t>
  </si>
  <si>
    <t>† ENSCA, 2012 pers. comm</t>
  </si>
  <si>
    <t>*Carlens (1928) for the surface area of lymphoid tissue in caecum</t>
  </si>
  <si>
    <t>Table 6</t>
  </si>
  <si>
    <t>Correlation tables</t>
  </si>
  <si>
    <t>90% correlation</t>
  </si>
  <si>
    <t>Length of colon and length of small intestine</t>
  </si>
  <si>
    <t>&gt;24m</t>
  </si>
  <si>
    <t>@RISK Correlations</t>
  </si>
  <si>
    <t>Ileo plate weight and length, and PP in jejunum weight</t>
  </si>
  <si>
    <t>All ages</t>
  </si>
  <si>
    <t>Weight of mesentery nerves and CMGC</t>
  </si>
  <si>
    <t>SRM Component</t>
  </si>
  <si>
    <t>SRM management selected by user</t>
  </si>
  <si>
    <t>SRM Management</t>
  </si>
  <si>
    <t>Tissue</t>
  </si>
  <si>
    <t>For all ages</t>
  </si>
  <si>
    <t>Not at any age</t>
  </si>
  <si>
    <t>Start age</t>
  </si>
  <si>
    <t>End age</t>
  </si>
  <si>
    <t>Processing Component</t>
  </si>
  <si>
    <t>Processing reduction for a random animal</t>
  </si>
  <si>
    <t>Mean - Variability</t>
  </si>
  <si>
    <r>
      <t>Age (</t>
    </r>
    <r>
      <rPr>
        <b/>
        <i/>
        <sz val="10"/>
        <rFont val="Arial"/>
        <family val="2"/>
      </rPr>
      <t>a</t>
    </r>
    <r>
      <rPr>
        <b/>
        <sz val="10"/>
        <rFont val="Arial"/>
        <family val="2"/>
      </rPr>
      <t>)</t>
    </r>
  </si>
  <si>
    <t>Reduction of infectivity due to processing</t>
  </si>
  <si>
    <t>P_processing(t)</t>
  </si>
  <si>
    <t>P_processing(1)</t>
  </si>
  <si>
    <t>Unknown</t>
  </si>
  <si>
    <t>All</t>
  </si>
  <si>
    <t>Not applicable</t>
  </si>
  <si>
    <t>P_processing(2)</t>
  </si>
  <si>
    <t>EFSA, 2007; Wijnker et al., 2008</t>
  </si>
  <si>
    <t>P_processing(3)</t>
  </si>
  <si>
    <t>P_processing(4)</t>
  </si>
  <si>
    <t>EFSA working group, 2012</t>
  </si>
  <si>
    <t>P_processing(5)</t>
  </si>
  <si>
    <t>P_processing(6)</t>
  </si>
  <si>
    <t>P_processing(7)</t>
  </si>
  <si>
    <t>P_processing(8)</t>
  </si>
  <si>
    <t>Reduction of infectivity due to processing (sausage casing t=2, 3, 4, 5, and fat production t=6, 7, 8)</t>
  </si>
  <si>
    <t>Duodenum and jejunum</t>
  </si>
  <si>
    <t>Mesentery</t>
  </si>
  <si>
    <t>2,3</t>
  </si>
  <si>
    <t>5, 6, 7</t>
  </si>
  <si>
    <t>Min reduction (P)*</t>
  </si>
  <si>
    <t>Max reduction (P)*</t>
  </si>
  <si>
    <t>Mean reduction (P)</t>
  </si>
  <si>
    <t>P_Rinfectivity_l(t)</t>
  </si>
  <si>
    <t>P_Rinfectivity_u(t)</t>
  </si>
  <si>
    <t>P_Rinfectivity(t)</t>
  </si>
  <si>
    <t>* Based on reduction in lymphoid tissue EFSA, 2007; Wijnker et al., 2008</t>
  </si>
  <si>
    <t>t=4 and 5, Caecum and colon assumed to be the same as duodenum and jejunum</t>
  </si>
  <si>
    <t>User entry reduction of infectivity due to processing</t>
  </si>
  <si>
    <t>Processing</t>
  </si>
  <si>
    <t>Jejunum, caecum and colon assumed to be the same as duodenum?</t>
  </si>
  <si>
    <t>Infectivity Component</t>
  </si>
  <si>
    <t>Infectivity titre for a random infected animal</t>
  </si>
  <si>
    <t>Infectivity titre (Bovine Oral ID50/g)</t>
  </si>
  <si>
    <t>TitreBO_1</t>
  </si>
  <si>
    <t>BO ID50/g</t>
  </si>
  <si>
    <t>TitreBO_2</t>
  </si>
  <si>
    <t>TitreBO_3i</t>
  </si>
  <si>
    <t>TitreBO_3ii</t>
  </si>
  <si>
    <t>TitreBO_4</t>
  </si>
  <si>
    <t>TitreBO_5</t>
  </si>
  <si>
    <t>TitreBO_6</t>
  </si>
  <si>
    <t>TitreBO_7</t>
  </si>
  <si>
    <t>TitreBO_8</t>
  </si>
  <si>
    <t>Infectivity titre (log10 RIII ic ip ID50/g)</t>
  </si>
  <si>
    <t>(log10 TgBov ic ip ID50/g)</t>
  </si>
  <si>
    <t>Titre_1</t>
  </si>
  <si>
    <t>log10 RIII ic ip ID50/g</t>
  </si>
  <si>
    <t>log10 TgBov ic ip ID50/g</t>
  </si>
  <si>
    <t>Titre_2</t>
  </si>
  <si>
    <t>Titre_3i</t>
  </si>
  <si>
    <t>Titre_3ii</t>
  </si>
  <si>
    <t>Titre_4</t>
  </si>
  <si>
    <t>Titre_5</t>
  </si>
  <si>
    <t>Titre_6</t>
  </si>
  <si>
    <t>Titre_7</t>
  </si>
  <si>
    <t>Titre_8</t>
  </si>
  <si>
    <t>Parameter description</t>
  </si>
  <si>
    <t>Tissue Type (t)</t>
  </si>
  <si>
    <t>mpi</t>
  </si>
  <si>
    <t>Infectivity titre of ileum</t>
  </si>
  <si>
    <t>Titre(1,m)</t>
  </si>
  <si>
    <t>Infectivity(1,m)</t>
  </si>
  <si>
    <r>
      <t>log</t>
    </r>
    <r>
      <rPr>
        <vertAlign val="subscript"/>
        <sz val="11"/>
        <rFont val="Calibri"/>
        <family val="2"/>
        <scheme val="minor"/>
      </rPr>
      <t>10</t>
    </r>
    <r>
      <rPr>
        <sz val="11"/>
        <rFont val="Calibri"/>
        <family val="2"/>
        <scheme val="minor"/>
      </rPr>
      <t xml:space="preserve"> RIII ic ip ID</t>
    </r>
    <r>
      <rPr>
        <vertAlign val="subscript"/>
        <sz val="11"/>
        <rFont val="Calibri"/>
        <family val="2"/>
        <scheme val="minor"/>
      </rPr>
      <t>50</t>
    </r>
    <r>
      <rPr>
        <sz val="11"/>
        <rFont val="Calibri"/>
        <family val="2"/>
        <scheme val="minor"/>
      </rPr>
      <t>/g</t>
    </r>
  </si>
  <si>
    <t>Hoffman et al., 2011 adapted by Arnold et al., 2013</t>
  </si>
  <si>
    <t>Relative titre of jejunum</t>
  </si>
  <si>
    <t>Titre_lower</t>
  </si>
  <si>
    <t>P_infjejunum</t>
  </si>
  <si>
    <t>2, 3</t>
  </si>
  <si>
    <r>
      <t>log</t>
    </r>
    <r>
      <rPr>
        <vertAlign val="subscript"/>
        <sz val="11"/>
        <rFont val="Calibri"/>
        <family val="2"/>
        <scheme val="minor"/>
      </rPr>
      <t>10</t>
    </r>
    <r>
      <rPr>
        <sz val="11"/>
        <rFont val="Calibri"/>
        <family val="2"/>
        <scheme val="minor"/>
      </rPr>
      <t xml:space="preserve"> factor</t>
    </r>
  </si>
  <si>
    <t>Hoffman et al., 2011 adapted by Arnold, 2013</t>
  </si>
  <si>
    <t>Mesenteric lymph nodes infectivity</t>
  </si>
  <si>
    <t>Titre(6,m)</t>
  </si>
  <si>
    <t>Infectivity(5,m)</t>
  </si>
  <si>
    <t>Buschmann et al., 2005 adapted by Arnold, pers. comm. 2013</t>
  </si>
  <si>
    <t>Mesenteric nerves and CGMC infectivity growth rate</t>
  </si>
  <si>
    <t>Growth(m)</t>
  </si>
  <si>
    <t>7, 8</t>
  </si>
  <si>
    <t>Kaatz et al., 2012 and Arnold et al., 2009 adapted by Arnold, 2013</t>
  </si>
  <si>
    <t>Mesenteric nerves infectivity constant</t>
  </si>
  <si>
    <t>Constant(7)</t>
  </si>
  <si>
    <t>Mesenteric nerves infectivity</t>
  </si>
  <si>
    <t>Titre(7,m)</t>
  </si>
  <si>
    <t>Infectivity(6,m)</t>
  </si>
  <si>
    <t>Kaatz et al., 2012 adapted by Arnold, 2013</t>
  </si>
  <si>
    <t>CMGC infectivity constant</t>
  </si>
  <si>
    <t>Constant(8)</t>
  </si>
  <si>
    <t>CMGC infectivity</t>
  </si>
  <si>
    <t>Titre(8,m)</t>
  </si>
  <si>
    <t>Infectivity(7,m)</t>
  </si>
  <si>
    <t>Conversion of log10 RIII icip ID50/g into log10 bovine oral ID50/g</t>
  </si>
  <si>
    <t>BOunit</t>
  </si>
  <si>
    <t>Wells et al., 2007</t>
  </si>
  <si>
    <t>Conversion of log10 RIII icip ID50/g into TgBov log10 ID50/g</t>
  </si>
  <si>
    <t>Tgunit</t>
  </si>
  <si>
    <t>Arnold, unpublished</t>
  </si>
  <si>
    <t>Infectivity of Ileum (Arnold et al., 2009; Hoffman et al., 2011 as adapted by Arnold, pers. comm. 2013)</t>
  </si>
  <si>
    <t>Sd</t>
  </si>
  <si>
    <t>Variability associated mean</t>
  </si>
  <si>
    <r>
      <t>log</t>
    </r>
    <r>
      <rPr>
        <vertAlign val="subscript"/>
        <sz val="10"/>
        <rFont val="Arial"/>
        <family val="2"/>
      </rPr>
      <t>10</t>
    </r>
    <r>
      <rPr>
        <sz val="10"/>
        <rFont val="Arial"/>
        <family val="2"/>
      </rPr>
      <t xml:space="preserve"> RIII ic ip ID</t>
    </r>
    <r>
      <rPr>
        <vertAlign val="subscript"/>
        <sz val="10"/>
        <rFont val="Arial"/>
        <family val="2"/>
      </rPr>
      <t>50</t>
    </r>
    <r>
      <rPr>
        <sz val="10"/>
        <rFont val="Arial"/>
        <family val="2"/>
      </rPr>
      <t>/g</t>
    </r>
  </si>
  <si>
    <t>Mean log difference between titre in distal ileum and jejunum</t>
  </si>
  <si>
    <t>Mean difference</t>
  </si>
  <si>
    <t>2.5% estimate difference</t>
  </si>
  <si>
    <t>97.5% estimate difference</t>
  </si>
  <si>
    <t>Fitted ML difference</t>
  </si>
  <si>
    <t>Log difference</t>
  </si>
  <si>
    <t>Assume that difference can be described by a pert distribution (fitted most likely from data)</t>
  </si>
  <si>
    <t>Titre of infectivity in mesenteric lymph node, mesenteric nerves, and CMGC</t>
  </si>
  <si>
    <r>
      <t>M. nerves</t>
    </r>
    <r>
      <rPr>
        <sz val="10"/>
        <rFont val="Calibri"/>
        <family val="2"/>
      </rPr>
      <t>‡</t>
    </r>
  </si>
  <si>
    <t>mpi (months)</t>
  </si>
  <si>
    <r>
      <t>Min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</si>
  <si>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t>
    </r>
    <r>
      <rPr>
        <sz val="10"/>
        <color rgb="FF000000"/>
        <rFont val="Arial"/>
        <family val="2"/>
      </rPr>
      <t>RIII icip ID</t>
    </r>
    <r>
      <rPr>
        <vertAlign val="subscript"/>
        <sz val="10"/>
        <color rgb="FF000000"/>
        <rFont val="Arial"/>
        <family val="2"/>
      </rPr>
      <t>50</t>
    </r>
    <r>
      <rPr>
        <sz val="10"/>
        <color rgb="FF000000"/>
        <rFont val="Arial"/>
        <family val="2"/>
      </rPr>
      <t>/g)</t>
    </r>
    <r>
      <rPr>
        <sz val="10"/>
        <color rgb="FF000000"/>
        <rFont val="Calibri"/>
        <family val="2"/>
      </rPr>
      <t>†</t>
    </r>
  </si>
  <si>
    <r>
      <t>Mean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</si>
  <si>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</si>
  <si>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</si>
  <si>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t>Infectivity_l (6)</t>
  </si>
  <si>
    <t>Infectivity_u (6)</t>
  </si>
  <si>
    <t>Infectivity (6)</t>
  </si>
  <si>
    <t>Infectivity_u (7)</t>
  </si>
  <si>
    <t>Infectivity_u (8)</t>
  </si>
  <si>
    <t>* EFSA Working group assumption, 2012</t>
  </si>
  <si>
    <r>
      <rPr>
        <sz val="10"/>
        <rFont val="Calibri"/>
        <family val="2"/>
      </rPr>
      <t>†</t>
    </r>
    <r>
      <rPr>
        <sz val="10"/>
        <rFont val="Arial"/>
        <family val="2"/>
      </rPr>
      <t xml:space="preserve"> 0 positives out of 12 Tgbov XV mice (Buschmann et al., 2005) with upper confidence limit estimated (Arnold, pers. comm. 2013)</t>
    </r>
  </si>
  <si>
    <r>
      <rPr>
        <sz val="10"/>
        <rFont val="Calibri"/>
        <family val="2"/>
      </rPr>
      <t>‡</t>
    </r>
    <r>
      <rPr>
        <sz val="10"/>
        <rFont val="Arial"/>
        <family val="2"/>
      </rPr>
      <t xml:space="preserve"> Mesenteric nerves infectivity represented by that measured for the vagus (cervical) and vagus (thoracic) Kaatz et al., 2012</t>
    </r>
  </si>
  <si>
    <t>• Maximum titre assumed to be the upper confidence of data at 36 mpi measured Kaatz et al., 2012</t>
  </si>
  <si>
    <t>Increase in titre in mesenteric nerves and CGMC</t>
  </si>
  <si>
    <t>Common growth rate of CNS, vagus and cmgc is 0.224 (0.20, 0.25), constant terms are -8.40 (-9.22, -7.47) for vagus and -7.70 (-8.53, -6.82) for cmgc.</t>
  </si>
  <si>
    <t>Arnold unpublished adapted from Kaatz et al., 2012 and Arnold et al., 2009</t>
  </si>
  <si>
    <t>Mean (log10)</t>
  </si>
  <si>
    <t>Fitted ML (log10)</t>
  </si>
  <si>
    <t>2.5% estimate (log10)</t>
  </si>
  <si>
    <t>97.5% estimate (log10)</t>
  </si>
  <si>
    <t>Growth rate‡</t>
  </si>
  <si>
    <t>‡ Growth rate of CNS, vagus and CMGC</t>
  </si>
  <si>
    <t>Reference: Arnold, 2013 analysis of data from Kaatz et al., 2012</t>
  </si>
  <si>
    <t>Assume that the log10 increase in titre can be described by a pert distribution (fitted most likely from data)</t>
  </si>
  <si>
    <t>Conversion factor for RIII ICIP ID50 per gram to Bovine Oral ID50 per gram</t>
  </si>
  <si>
    <t>Konold et al., 2012</t>
  </si>
  <si>
    <t>Mean estimate</t>
  </si>
  <si>
    <t>2.5th estimate</t>
  </si>
  <si>
    <t>97.5th estimate</t>
  </si>
  <si>
    <t>Fitted ML</t>
  </si>
  <si>
    <t>Factor</t>
  </si>
  <si>
    <t>Arnold et al., unpublished</t>
  </si>
  <si>
    <t>TSE Risk Assessment</t>
  </si>
  <si>
    <t>Outputs</t>
  </si>
  <si>
    <t>Cumulative</t>
  </si>
  <si>
    <t>Fixed</t>
  </si>
  <si>
    <t>Number of infected animals in one year</t>
  </si>
  <si>
    <t>N_carcases</t>
  </si>
  <si>
    <t>infected carcases</t>
  </si>
  <si>
    <t>Sensitivity</t>
  </si>
  <si>
    <t>Sens</t>
  </si>
  <si>
    <t>BOID50 per year</t>
  </si>
  <si>
    <t>Main results: Amount of infectivity</t>
  </si>
  <si>
    <t>Per animal</t>
  </si>
  <si>
    <t>Per year</t>
  </si>
  <si>
    <t>animal</t>
  </si>
  <si>
    <t>length</t>
  </si>
  <si>
    <t>SRM?</t>
  </si>
  <si>
    <t>Processed?</t>
  </si>
  <si>
    <t xml:space="preserve">BO ID50 </t>
  </si>
  <si>
    <t>BO ID50/m</t>
  </si>
  <si>
    <t>Total ileocaecal plate</t>
  </si>
  <si>
    <t>Where NA() indicated, these outputs were not selected for this specific risk assessment</t>
  </si>
  <si>
    <t>Mean results</t>
  </si>
  <si>
    <t xml:space="preserve"> 2.5th results</t>
  </si>
  <si>
    <t xml:space="preserve">97.5th results </t>
  </si>
  <si>
    <t>Age_exposure</t>
  </si>
  <si>
    <t>Results from annual infectivity simulation</t>
  </si>
  <si>
    <t>Concatenate Number</t>
  </si>
  <si>
    <t>Concatenate Scientific</t>
  </si>
  <si>
    <t xml:space="preserve">  </t>
  </si>
  <si>
    <t xml:space="preserve"> per animal</t>
  </si>
  <si>
    <t xml:space="preserve"> per meter</t>
  </si>
  <si>
    <t xml:space="preserve"> per yr</t>
  </si>
  <si>
    <t>Infectivity</t>
  </si>
  <si>
    <t>per animal</t>
  </si>
  <si>
    <t>per meter</t>
  </si>
  <si>
    <t>per year</t>
  </si>
  <si>
    <t>User defined</t>
  </si>
  <si>
    <t>Dependent on which run type, 2012 is derived from Table 5 for 2012,  previous historic years from Table 6, and future emergence from Table 7</t>
  </si>
  <si>
    <t>EU27</t>
  </si>
  <si>
    <t>1+3i</t>
  </si>
  <si>
    <t>BSE QRA Builder for use with Palisade @Risk</t>
  </si>
  <si>
    <t>HS ML</t>
  </si>
  <si>
    <t>ES ML</t>
  </si>
  <si>
    <t>Reformatted: (C-TSEMM (C, U L and H type combined) Output Examples Version, AHVLA)</t>
  </si>
  <si>
    <t>Proportion of animals slaughtered at younger cohorts (Examples)</t>
  </si>
  <si>
    <t>LL</t>
  </si>
  <si>
    <t>Example 1</t>
  </si>
  <si>
    <t>MM</t>
  </si>
  <si>
    <t>Example 2</t>
  </si>
  <si>
    <t>Version 2.0 (280814) Example country only</t>
  </si>
  <si>
    <t>Emerge</t>
  </si>
  <si>
    <t>Scenario</t>
  </si>
  <si>
    <t>48 - 72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</si>
</sst>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E+00"/>
    <numFmt numFmtId="165" formatCode="0.0"/>
  </numFmts>
  <fonts count="31" x14ac:knownFonts="1">
    <font>
      <sz val="11"/>
      <color theme="1"/>
      <name val="Calibri"/>
      <family val="2"/>
      <scheme val="minor"/>
    </font>
    <font>
      <sz val="11"/>
      <color theme="1"/>
      <name val="Calibri"/>
      <family val="2"/>
      <scheme val="minor"/>
    </font>
    <font>
      <sz val="10"/>
      <name val="Arial"/>
      <family val="2"/>
    </font>
    <font>
      <sz val="11"/>
      <color rgb="FF000000"/>
      <name val="Calibri"/>
      <family val="2"/>
    </font>
    <font>
      <sz val="11"/>
      <color rgb="FF000000"/>
      <name val="Calibri"/>
      <family val="2"/>
      <scheme val="minor"/>
    </font>
    <font>
      <b/>
      <sz val="11"/>
      <color theme="1"/>
      <name val="Calibri"/>
      <family val="2"/>
      <scheme val="minor"/>
    </font>
    <font>
      <b/>
      <sz val="14"/>
      <name val="Arial"/>
      <family val="2"/>
    </font>
    <font>
      <b/>
      <sz val="10"/>
      <name val="Arial"/>
      <family val="2"/>
    </font>
    <font>
      <sz val="14"/>
      <color theme="1"/>
      <name val="Arial"/>
      <family val="2"/>
    </font>
    <font>
      <b/>
      <i/>
      <sz val="10"/>
      <name val="Arial"/>
      <family val="2"/>
    </font>
    <font>
      <i/>
      <sz val="10"/>
      <name val="Arial"/>
      <family val="2"/>
    </font>
    <font>
      <sz val="11"/>
      <name val="Calibri"/>
      <family val="2"/>
      <scheme val="minor"/>
    </font>
    <font>
      <sz val="10"/>
      <color theme="1"/>
      <name val="Arial"/>
      <family val="2"/>
    </font>
    <font>
      <sz val="14"/>
      <name val="Arial"/>
      <family val="2"/>
    </font>
    <font>
      <b/>
      <sz val="10"/>
      <color theme="1"/>
      <name val="Arial"/>
      <family val="2"/>
    </font>
    <font>
      <sz val="10"/>
      <color rgb="FF000000"/>
      <name val="Arial"/>
      <family val="2"/>
    </font>
    <font>
      <b/>
      <sz val="10"/>
      <color rgb="FF000000"/>
      <name val="Arial"/>
      <family val="2"/>
    </font>
    <font>
      <vertAlign val="superscript"/>
      <sz val="10"/>
      <name val="Arial"/>
      <family val="2"/>
    </font>
    <font>
      <sz val="10"/>
      <color rgb="FF000000"/>
      <name val="Calibri"/>
      <family val="2"/>
    </font>
    <font>
      <sz val="10"/>
      <name val="Calibri"/>
      <family val="2"/>
    </font>
    <font>
      <i/>
      <sz val="10"/>
      <color rgb="FF000000"/>
      <name val="Arial"/>
      <family val="2"/>
    </font>
    <font>
      <sz val="8"/>
      <color theme="1"/>
      <name val="Tahoma"/>
      <family val="2"/>
    </font>
    <font>
      <b/>
      <sz val="8"/>
      <color indexed="81"/>
      <name val="Tahoma"/>
      <family val="2"/>
    </font>
    <font>
      <sz val="9.5"/>
      <color rgb="FF000000"/>
      <name val="Arial"/>
      <family val="2"/>
    </font>
    <font>
      <i/>
      <sz val="11"/>
      <name val="Calibri"/>
      <family val="2"/>
      <scheme val="minor"/>
    </font>
    <font>
      <b/>
      <sz val="11"/>
      <name val="Calibri"/>
      <family val="2"/>
      <scheme val="minor"/>
    </font>
    <font>
      <vertAlign val="subscript"/>
      <sz val="11"/>
      <name val="Calibri"/>
      <family val="2"/>
      <scheme val="minor"/>
    </font>
    <font>
      <vertAlign val="subscript"/>
      <sz val="10"/>
      <name val="Arial"/>
      <family val="2"/>
    </font>
    <font>
      <vertAlign val="subscript"/>
      <sz val="10"/>
      <color rgb="FF000000"/>
      <name val="Arial"/>
      <family val="2"/>
    </font>
    <font>
      <sz val="10"/>
      <color rgb="FF000080"/>
      <name val="Arial"/>
      <family val="2"/>
    </font>
    <font>
      <i/>
      <sz val="11"/>
      <color theme="1"/>
      <name val="Calibri"/>
      <family val="2"/>
      <scheme val="minor"/>
    </font>
  </fonts>
  <fills count="9">
    <fill>
      <patternFill patternType="none"/>
    </fill>
    <fill>
      <patternFill patternType="gray125"/>
    </fill>
    <fill>
      <patternFill patternType="solid">
        <fgColor rgb="FFFFFFCC"/>
      </patternFill>
    </fill>
    <fill>
      <patternFill patternType="solid">
        <fgColor theme="3" tint="0.59999389629810485"/>
        <bgColor indexed="64"/>
      </patternFill>
    </fill>
    <fill>
      <patternFill patternType="solid">
        <fgColor theme="0" tint="-0.14999847407452621"/>
        <bgColor indexed="64"/>
      </patternFill>
    </fill>
    <fill>
      <patternFill patternType="solid">
        <fgColor indexed="27"/>
        <bgColor indexed="64"/>
      </patternFill>
    </fill>
    <fill>
      <patternFill patternType="solid">
        <fgColor indexed="22"/>
        <bgColor indexed="64"/>
      </patternFill>
    </fill>
    <fill>
      <patternFill patternType="solid">
        <fgColor indexed="26"/>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1" fillId="0" borderId="0"/>
    <xf numFmtId="0" fontId="2" fillId="0" borderId="0"/>
    <xf numFmtId="0" fontId="1" fillId="2" borderId="2" applyNumberFormat="0" applyFont="0" applyAlignment="0" applyProtection="0"/>
    <xf numFmtId="0" fontId="2" fillId="0" borderId="0"/>
  </cellStyleXfs>
  <cellXfs count="487">
    <xf numFmtId="0" fontId="0" fillId="0" borderId="0" xfId="0"/>
    <xf numFmtId="0" fontId="0" fillId="0" borderId="0" xfId="0" applyAlignment="1">
      <alignment horizontal="center"/>
    </xf>
    <xf numFmtId="0" fontId="0" fillId="0" borderId="0" xfId="0" applyFill="1"/>
    <xf numFmtId="0" fontId="0" fillId="0" borderId="0" xfId="0" applyBorder="1"/>
    <xf numFmtId="0" fontId="0" fillId="0" borderId="0" xfId="0" applyAlignment="1">
      <alignment horizontal="left"/>
    </xf>
    <xf numFmtId="0" fontId="2" fillId="0" borderId="0" xfId="0" applyFont="1" applyFill="1"/>
    <xf numFmtId="0" fontId="0" fillId="3" borderId="0" xfId="0" applyFill="1"/>
    <xf numFmtId="0" fontId="0" fillId="0" borderId="1" xfId="0" applyBorder="1" applyAlignment="1">
      <alignment horizontal="center"/>
    </xf>
    <xf numFmtId="0" fontId="7" fillId="0" borderId="3" xfId="0" applyFont="1" applyBorder="1" applyAlignment="1">
      <alignment horizontal="left"/>
    </xf>
    <xf numFmtId="0" fontId="7" fillId="0" borderId="4" xfId="0" applyFont="1" applyBorder="1" applyAlignment="1">
      <alignment horizontal="left"/>
    </xf>
    <xf numFmtId="0" fontId="0" fillId="0" borderId="4" xfId="0" applyBorder="1"/>
    <xf numFmtId="0" fontId="0" fillId="0" borderId="5" xfId="0" applyBorder="1"/>
    <xf numFmtId="0" fontId="7" fillId="0" borderId="6" xfId="0" applyFont="1" applyBorder="1" applyAlignment="1">
      <alignment horizontal="left"/>
    </xf>
    <xf numFmtId="0" fontId="7" fillId="0" borderId="0" xfId="0" applyFont="1" applyBorder="1" applyAlignment="1">
      <alignment horizontal="left"/>
    </xf>
    <xf numFmtId="0" fontId="0" fillId="0" borderId="7" xfId="0" applyBorder="1"/>
    <xf numFmtId="0" fontId="0" fillId="0" borderId="6" xfId="0" applyBorder="1"/>
    <xf numFmtId="0" fontId="10" fillId="0" borderId="0" xfId="0" applyFont="1" applyBorder="1"/>
    <xf numFmtId="0" fontId="11" fillId="0" borderId="0" xfId="0" applyFont="1" applyFill="1" applyBorder="1" applyAlignment="1">
      <alignment horizontal="center"/>
    </xf>
    <xf numFmtId="0" fontId="2" fillId="0" borderId="0" xfId="0" applyFont="1" applyBorder="1" applyAlignment="1">
      <alignment horizontal="center"/>
    </xf>
    <xf numFmtId="0" fontId="0" fillId="0" borderId="0" xfId="0" applyFill="1" applyBorder="1" applyAlignment="1">
      <alignment horizontal="center"/>
    </xf>
    <xf numFmtId="0" fontId="0" fillId="0" borderId="8" xfId="0" applyBorder="1"/>
    <xf numFmtId="0" fontId="0" fillId="0" borderId="9" xfId="0" applyBorder="1"/>
    <xf numFmtId="0" fontId="10" fillId="0" borderId="9" xfId="0" applyFont="1" applyBorder="1"/>
    <xf numFmtId="1" fontId="0" fillId="0" borderId="9" xfId="0" applyNumberFormat="1" applyFill="1" applyBorder="1" applyAlignment="1">
      <alignment horizontal="center"/>
    </xf>
    <xf numFmtId="0" fontId="2" fillId="0" borderId="9" xfId="0" applyFont="1" applyBorder="1" applyAlignment="1">
      <alignment horizontal="center"/>
    </xf>
    <xf numFmtId="0" fontId="0" fillId="0" borderId="10" xfId="0" applyBorder="1"/>
    <xf numFmtId="0" fontId="0" fillId="0" borderId="3" xfId="0" applyBorder="1"/>
    <xf numFmtId="0" fontId="2" fillId="0" borderId="11" xfId="0" applyFont="1" applyBorder="1"/>
    <xf numFmtId="0" fontId="2" fillId="0" borderId="11" xfId="0" applyFont="1" applyFill="1" applyBorder="1"/>
    <xf numFmtId="0" fontId="2" fillId="0" borderId="4" xfId="0" applyFont="1" applyBorder="1"/>
    <xf numFmtId="0" fontId="2" fillId="0" borderId="5" xfId="0" applyFont="1" applyBorder="1" applyAlignment="1">
      <alignment horizontal="center"/>
    </xf>
    <xf numFmtId="0" fontId="2" fillId="0" borderId="0" xfId="0" applyFont="1" applyFill="1" applyBorder="1"/>
    <xf numFmtId="0" fontId="2" fillId="0" borderId="12" xfId="0" applyFont="1" applyBorder="1" applyAlignment="1">
      <alignment horizontal="center"/>
    </xf>
    <xf numFmtId="0" fontId="2" fillId="0" borderId="0" xfId="0" applyFont="1" applyFill="1" applyBorder="1" applyAlignment="1">
      <alignment horizontal="center"/>
    </xf>
    <xf numFmtId="0" fontId="2" fillId="0" borderId="12" xfId="0" applyFont="1" applyFill="1" applyBorder="1" applyAlignment="1">
      <alignment horizontal="center"/>
    </xf>
    <xf numFmtId="0" fontId="2" fillId="0" borderId="7" xfId="0" applyFont="1" applyBorder="1" applyAlignment="1">
      <alignment horizontal="center"/>
    </xf>
    <xf numFmtId="0" fontId="0" fillId="0" borderId="6" xfId="0" applyBorder="1" applyAlignment="1">
      <alignment horizontal="center"/>
    </xf>
    <xf numFmtId="11" fontId="0" fillId="0" borderId="0" xfId="0" applyNumberFormat="1" applyBorder="1" applyAlignment="1">
      <alignment horizontal="center"/>
    </xf>
    <xf numFmtId="0" fontId="0" fillId="0" borderId="12" xfId="0" applyBorder="1" applyAlignment="1">
      <alignment horizontal="center"/>
    </xf>
    <xf numFmtId="11" fontId="0" fillId="0" borderId="7" xfId="0" applyNumberFormat="1" applyBorder="1" applyAlignment="1">
      <alignment horizontal="center"/>
    </xf>
    <xf numFmtId="11" fontId="0" fillId="0" borderId="0" xfId="0" applyNumberFormat="1" applyFill="1" applyBorder="1" applyAlignment="1">
      <alignment horizontal="center"/>
    </xf>
    <xf numFmtId="0" fontId="7" fillId="0" borderId="13" xfId="0" applyFont="1" applyBorder="1" applyAlignment="1">
      <alignment horizontal="left"/>
    </xf>
    <xf numFmtId="11" fontId="0" fillId="0" borderId="14" xfId="0" applyNumberFormat="1" applyBorder="1" applyAlignment="1">
      <alignment horizontal="center"/>
    </xf>
    <xf numFmtId="2" fontId="0" fillId="0" borderId="14" xfId="0" applyNumberFormat="1" applyFill="1" applyBorder="1" applyAlignment="1">
      <alignment horizontal="center"/>
    </xf>
    <xf numFmtId="2" fontId="0" fillId="0" borderId="15" xfId="0" applyNumberFormat="1" applyFill="1" applyBorder="1" applyAlignment="1">
      <alignment horizontal="center"/>
    </xf>
    <xf numFmtId="0" fontId="0" fillId="4" borderId="3" xfId="0" applyFill="1" applyBorder="1"/>
    <xf numFmtId="11" fontId="0" fillId="0" borderId="4" xfId="0" applyNumberFormat="1" applyBorder="1"/>
    <xf numFmtId="49" fontId="0" fillId="4" borderId="6" xfId="0" applyNumberFormat="1" applyFill="1" applyBorder="1"/>
    <xf numFmtId="0" fontId="0" fillId="0" borderId="0" xfId="0" applyFill="1" applyBorder="1"/>
    <xf numFmtId="49" fontId="2" fillId="4" borderId="6" xfId="0" applyNumberFormat="1" applyFont="1" applyFill="1" applyBorder="1"/>
    <xf numFmtId="0" fontId="2" fillId="0" borderId="4" xfId="0" applyFont="1" applyBorder="1" applyAlignment="1">
      <alignment horizontal="center"/>
    </xf>
    <xf numFmtId="49" fontId="0" fillId="4" borderId="8" xfId="0" applyNumberFormat="1" applyFill="1" applyBorder="1"/>
    <xf numFmtId="49" fontId="0" fillId="4" borderId="13" xfId="0" applyNumberFormat="1" applyFont="1" applyFill="1" applyBorder="1"/>
    <xf numFmtId="0" fontId="0" fillId="0" borderId="14" xfId="0" applyFill="1" applyBorder="1" applyAlignment="1">
      <alignment horizontal="center"/>
    </xf>
    <xf numFmtId="11" fontId="0" fillId="0" borderId="15" xfId="0" applyNumberFormat="1" applyFill="1"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0" fontId="0" fillId="0" borderId="4" xfId="0" applyFill="1" applyBorder="1"/>
    <xf numFmtId="0" fontId="0" fillId="0" borderId="5" xfId="0" applyNumberFormat="1" applyFill="1" applyBorder="1"/>
    <xf numFmtId="0" fontId="10" fillId="0" borderId="6" xfId="0" applyFont="1" applyFill="1" applyBorder="1" applyAlignment="1">
      <alignment horizontal="center" wrapText="1"/>
    </xf>
    <xf numFmtId="0" fontId="10" fillId="0" borderId="0" xfId="0" applyFont="1" applyFill="1" applyBorder="1" applyAlignment="1">
      <alignment horizontal="center" wrapText="1"/>
    </xf>
    <xf numFmtId="0" fontId="10" fillId="0" borderId="7" xfId="0" applyFont="1" applyFill="1" applyBorder="1" applyAlignment="1">
      <alignment horizontal="center" wrapText="1"/>
    </xf>
    <xf numFmtId="11" fontId="0" fillId="0" borderId="6" xfId="0" applyNumberFormat="1" applyFill="1" applyBorder="1"/>
    <xf numFmtId="0" fontId="2" fillId="0" borderId="0" xfId="0" applyFont="1" applyFill="1" applyBorder="1" applyAlignment="1">
      <alignment horizontal="center" wrapText="1"/>
    </xf>
    <xf numFmtId="0" fontId="2" fillId="0" borderId="7" xfId="0" applyFont="1" applyFill="1" applyBorder="1" applyAlignment="1">
      <alignment horizontal="center" wrapText="1"/>
    </xf>
    <xf numFmtId="11" fontId="0" fillId="0" borderId="8" xfId="0" applyNumberFormat="1" applyFill="1" applyBorder="1"/>
    <xf numFmtId="0" fontId="0" fillId="0" borderId="9" xfId="0" applyFill="1" applyBorder="1" applyAlignment="1">
      <alignment horizontal="center"/>
    </xf>
    <xf numFmtId="0" fontId="2" fillId="0" borderId="10" xfId="0" applyFont="1" applyFill="1" applyBorder="1" applyAlignment="1">
      <alignment horizontal="center" wrapText="1"/>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7" xfId="0" applyFill="1" applyBorder="1"/>
    <xf numFmtId="0" fontId="10" fillId="0" borderId="0" xfId="0" applyFont="1" applyAlignment="1">
      <alignment horizontal="left"/>
    </xf>
    <xf numFmtId="0" fontId="12" fillId="0" borderId="5" xfId="0" applyFont="1" applyBorder="1"/>
    <xf numFmtId="0" fontId="12" fillId="0" borderId="7" xfId="0" applyFont="1" applyBorder="1"/>
    <xf numFmtId="0" fontId="2" fillId="0" borderId="0" xfId="0" applyFont="1" applyBorder="1"/>
    <xf numFmtId="0" fontId="10" fillId="0" borderId="0" xfId="0" applyFont="1" applyBorder="1" applyAlignment="1">
      <alignment horizontal="center"/>
    </xf>
    <xf numFmtId="2" fontId="0" fillId="0" borderId="0" xfId="0" applyNumberFormat="1" applyFont="1" applyFill="1" applyBorder="1" applyAlignment="1">
      <alignment horizontal="center"/>
    </xf>
    <xf numFmtId="0" fontId="12" fillId="0" borderId="7" xfId="0" applyFont="1" applyFill="1" applyBorder="1"/>
    <xf numFmtId="1" fontId="2" fillId="0" borderId="0" xfId="0" applyNumberFormat="1" applyFont="1" applyFill="1" applyBorder="1" applyAlignment="1">
      <alignment horizontal="center"/>
    </xf>
    <xf numFmtId="0" fontId="2" fillId="0" borderId="9" xfId="0" applyFont="1" applyBorder="1"/>
    <xf numFmtId="0" fontId="10" fillId="0" borderId="9" xfId="0" applyFont="1" applyBorder="1" applyAlignment="1">
      <alignment horizontal="center"/>
    </xf>
    <xf numFmtId="2" fontId="11" fillId="0" borderId="9" xfId="0" applyNumberFormat="1" applyFont="1" applyFill="1" applyBorder="1" applyAlignment="1">
      <alignment horizontal="center"/>
    </xf>
    <xf numFmtId="0" fontId="2" fillId="0" borderId="9" xfId="0" applyFont="1" applyBorder="1" applyAlignment="1">
      <alignment horizontal="left"/>
    </xf>
    <xf numFmtId="0" fontId="0" fillId="0" borderId="9" xfId="0" applyBorder="1" applyAlignment="1">
      <alignment horizontal="center"/>
    </xf>
    <xf numFmtId="0" fontId="12" fillId="0" borderId="10" xfId="0" applyFont="1" applyBorder="1"/>
    <xf numFmtId="0" fontId="7" fillId="0" borderId="3" xfId="0" applyFont="1" applyBorder="1"/>
    <xf numFmtId="0" fontId="12" fillId="0" borderId="4" xfId="0" applyFont="1" applyBorder="1" applyAlignment="1">
      <alignment horizontal="center"/>
    </xf>
    <xf numFmtId="0" fontId="7" fillId="0" borderId="4" xfId="0" applyFont="1" applyBorder="1" applyAlignment="1">
      <alignment horizontal="center"/>
    </xf>
    <xf numFmtId="0" fontId="9" fillId="0" borderId="4" xfId="0" applyFont="1" applyBorder="1" applyAlignment="1">
      <alignment horizontal="left"/>
    </xf>
    <xf numFmtId="0" fontId="10" fillId="0" borderId="5" xfId="0" applyFont="1" applyBorder="1" applyAlignment="1">
      <alignment horizontal="left"/>
    </xf>
    <xf numFmtId="0" fontId="12" fillId="0" borderId="8" xfId="0" applyFont="1" applyBorder="1"/>
    <xf numFmtId="0" fontId="12" fillId="0" borderId="9" xfId="0" applyFont="1" applyBorder="1" applyAlignment="1">
      <alignment horizontal="center"/>
    </xf>
    <xf numFmtId="0" fontId="12" fillId="0" borderId="9" xfId="0" applyFont="1" applyBorder="1"/>
    <xf numFmtId="0" fontId="14" fillId="0" borderId="9" xfId="0" applyFont="1" applyBorder="1" applyAlignment="1">
      <alignment horizontal="center"/>
    </xf>
    <xf numFmtId="0" fontId="7" fillId="0" borderId="9" xfId="0" applyFont="1" applyBorder="1" applyAlignment="1">
      <alignment horizontal="center"/>
    </xf>
    <xf numFmtId="0" fontId="12" fillId="0" borderId="9" xfId="0" applyFont="1" applyBorder="1" applyAlignment="1">
      <alignment horizontal="left"/>
    </xf>
    <xf numFmtId="0" fontId="12" fillId="0" borderId="3" xfId="0" applyFont="1" applyBorder="1"/>
    <xf numFmtId="0" fontId="12" fillId="0" borderId="4" xfId="0" applyFont="1" applyBorder="1"/>
    <xf numFmtId="0" fontId="12" fillId="0" borderId="4" xfId="0" applyFont="1" applyBorder="1" applyAlignment="1">
      <alignment horizontal="left"/>
    </xf>
    <xf numFmtId="0" fontId="10" fillId="0" borderId="4" xfId="0" applyFont="1" applyBorder="1" applyAlignment="1">
      <alignment horizontal="left"/>
    </xf>
    <xf numFmtId="0" fontId="7" fillId="0" borderId="6" xfId="0" applyFont="1" applyBorder="1"/>
    <xf numFmtId="0" fontId="12" fillId="0" borderId="0" xfId="0" applyFont="1" applyBorder="1" applyAlignment="1">
      <alignment horizontal="center"/>
    </xf>
    <xf numFmtId="0" fontId="12" fillId="4" borderId="0" xfId="0" applyFont="1" applyFill="1" applyBorder="1"/>
    <xf numFmtId="2" fontId="12" fillId="0" borderId="0" xfId="0" applyNumberFormat="1" applyFont="1" applyFill="1" applyBorder="1" applyAlignment="1">
      <alignment horizontal="center"/>
    </xf>
    <xf numFmtId="0" fontId="12" fillId="0" borderId="0" xfId="0" applyFont="1" applyBorder="1" applyAlignment="1">
      <alignment horizontal="left"/>
    </xf>
    <xf numFmtId="0" fontId="10" fillId="0" borderId="0" xfId="0" applyFont="1" applyBorder="1" applyAlignment="1">
      <alignment horizontal="left"/>
    </xf>
    <xf numFmtId="0" fontId="2" fillId="0" borderId="0" xfId="0" applyFont="1" applyBorder="1" applyAlignment="1">
      <alignment horizontal="left"/>
    </xf>
    <xf numFmtId="0" fontId="2" fillId="4" borderId="0" xfId="0" applyFont="1" applyFill="1" applyBorder="1" applyAlignment="1">
      <alignment horizontal="center"/>
    </xf>
    <xf numFmtId="2" fontId="12" fillId="4" borderId="0" xfId="0" applyNumberFormat="1" applyFont="1" applyFill="1" applyBorder="1" applyAlignment="1">
      <alignment horizontal="center"/>
    </xf>
    <xf numFmtId="0" fontId="15" fillId="0" borderId="0" xfId="0" applyNumberFormat="1" applyFont="1" applyBorder="1" applyAlignment="1">
      <alignment horizontal="center" vertical="top" wrapText="1"/>
    </xf>
    <xf numFmtId="2" fontId="12" fillId="0" borderId="0" xfId="0" applyNumberFormat="1" applyFont="1" applyBorder="1" applyAlignment="1">
      <alignment horizontal="center"/>
    </xf>
    <xf numFmtId="0" fontId="2" fillId="0" borderId="0" xfId="0" applyFont="1" applyFill="1" applyBorder="1" applyAlignment="1">
      <alignment horizontal="left"/>
    </xf>
    <xf numFmtId="0" fontId="15" fillId="0" borderId="0" xfId="0" applyFont="1" applyBorder="1" applyAlignment="1">
      <alignment horizontal="center" vertical="top" wrapText="1"/>
    </xf>
    <xf numFmtId="0" fontId="7" fillId="0" borderId="6" xfId="0" applyFont="1" applyFill="1" applyBorder="1" applyAlignment="1">
      <alignment horizontal="left" vertical="center"/>
    </xf>
    <xf numFmtId="0" fontId="10" fillId="0" borderId="0" xfId="0" applyFont="1" applyFill="1" applyBorder="1"/>
    <xf numFmtId="0" fontId="7" fillId="0" borderId="6" xfId="0" applyFont="1" applyFill="1" applyBorder="1"/>
    <xf numFmtId="0" fontId="15" fillId="0" borderId="0" xfId="0" applyFont="1" applyFill="1" applyBorder="1" applyAlignment="1">
      <alignment horizontal="center" vertical="top" wrapText="1"/>
    </xf>
    <xf numFmtId="0" fontId="12" fillId="0" borderId="0" xfId="0" applyFont="1" applyFill="1" applyBorder="1" applyAlignment="1">
      <alignment horizontal="left"/>
    </xf>
    <xf numFmtId="0" fontId="10" fillId="0" borderId="0" xfId="0" applyFont="1" applyFill="1" applyBorder="1" applyAlignment="1">
      <alignment horizontal="left"/>
    </xf>
    <xf numFmtId="0" fontId="7" fillId="0" borderId="6" xfId="0" applyFont="1" applyBorder="1" applyAlignment="1">
      <alignment horizontal="left" vertical="center"/>
    </xf>
    <xf numFmtId="0" fontId="12" fillId="0" borderId="0" xfId="0" applyFont="1" applyFill="1" applyBorder="1" applyAlignment="1">
      <alignment horizontal="center"/>
    </xf>
    <xf numFmtId="0" fontId="7" fillId="0" borderId="8" xfId="0" applyFont="1" applyBorder="1" applyAlignment="1">
      <alignment horizontal="left" vertical="center"/>
    </xf>
    <xf numFmtId="0" fontId="15" fillId="0" borderId="9" xfId="0" applyFont="1" applyBorder="1" applyAlignment="1">
      <alignment horizontal="center" vertical="top" wrapText="1"/>
    </xf>
    <xf numFmtId="0" fontId="2" fillId="0" borderId="9" xfId="0" applyFont="1" applyFill="1" applyBorder="1" applyAlignment="1">
      <alignment horizontal="center"/>
    </xf>
    <xf numFmtId="0" fontId="2" fillId="4" borderId="9" xfId="0" applyFont="1" applyFill="1" applyBorder="1" applyAlignment="1">
      <alignment horizontal="center"/>
    </xf>
    <xf numFmtId="2" fontId="15" fillId="4" borderId="9" xfId="0" applyNumberFormat="1" applyFont="1" applyFill="1" applyBorder="1" applyAlignment="1">
      <alignment horizontal="center" vertical="top" wrapText="1"/>
    </xf>
    <xf numFmtId="2" fontId="2" fillId="0" borderId="9" xfId="0" applyNumberFormat="1" applyFont="1" applyFill="1" applyBorder="1" applyAlignment="1">
      <alignment horizontal="center"/>
    </xf>
    <xf numFmtId="0" fontId="2" fillId="0" borderId="9" xfId="0" applyFont="1" applyFill="1" applyBorder="1" applyAlignment="1">
      <alignment horizontal="left"/>
    </xf>
    <xf numFmtId="0" fontId="10" fillId="0" borderId="9" xfId="0" applyFont="1" applyFill="1" applyBorder="1"/>
    <xf numFmtId="0" fontId="2" fillId="0" borderId="9" xfId="0" applyFont="1" applyFill="1" applyBorder="1"/>
    <xf numFmtId="0" fontId="2" fillId="0" borderId="10" xfId="0" applyFont="1" applyFill="1" applyBorder="1" applyAlignment="1">
      <alignment horizontal="left"/>
    </xf>
    <xf numFmtId="0" fontId="10" fillId="0" borderId="4" xfId="0" applyFont="1" applyBorder="1"/>
    <xf numFmtId="0" fontId="12" fillId="4" borderId="4" xfId="0" applyFont="1" applyFill="1" applyBorder="1"/>
    <xf numFmtId="2" fontId="12" fillId="0" borderId="4" xfId="0" applyNumberFormat="1" applyFont="1" applyFill="1" applyBorder="1" applyAlignment="1">
      <alignment horizontal="center"/>
    </xf>
    <xf numFmtId="0" fontId="2" fillId="0" borderId="4" xfId="0" applyFont="1" applyFill="1" applyBorder="1" applyAlignment="1">
      <alignment horizontal="left"/>
    </xf>
    <xf numFmtId="0" fontId="10" fillId="0" borderId="4" xfId="0" applyFont="1" applyFill="1" applyBorder="1"/>
    <xf numFmtId="0" fontId="2" fillId="0" borderId="5" xfId="0" applyFont="1" applyFill="1" applyBorder="1" applyAlignment="1">
      <alignment horizontal="left"/>
    </xf>
    <xf numFmtId="0" fontId="2" fillId="0" borderId="7" xfId="0" applyFont="1" applyFill="1" applyBorder="1" applyAlignment="1">
      <alignment horizontal="left"/>
    </xf>
    <xf numFmtId="0" fontId="12" fillId="4" borderId="0" xfId="0" applyFont="1" applyFill="1" applyBorder="1" applyAlignment="1">
      <alignment horizontal="center"/>
    </xf>
    <xf numFmtId="0" fontId="16" fillId="0" borderId="6" xfId="0" applyFont="1" applyFill="1" applyBorder="1" applyAlignment="1">
      <alignment horizontal="left" vertical="top"/>
    </xf>
    <xf numFmtId="0" fontId="7" fillId="0" borderId="8" xfId="0" applyFont="1" applyFill="1" applyBorder="1" applyAlignment="1">
      <alignment horizontal="left" vertical="center"/>
    </xf>
    <xf numFmtId="0" fontId="15" fillId="0" borderId="9" xfId="0" applyFont="1" applyFill="1" applyBorder="1" applyAlignment="1">
      <alignment horizontal="center" vertical="top" wrapText="1"/>
    </xf>
    <xf numFmtId="2" fontId="12" fillId="0" borderId="9" xfId="0" applyNumberFormat="1" applyFont="1" applyFill="1" applyBorder="1" applyAlignment="1">
      <alignment horizontal="center"/>
    </xf>
    <xf numFmtId="0" fontId="12" fillId="0" borderId="9" xfId="0" applyFont="1" applyFill="1" applyBorder="1" applyAlignment="1">
      <alignment horizontal="center"/>
    </xf>
    <xf numFmtId="0" fontId="12" fillId="0" borderId="10" xfId="0" applyFont="1" applyFill="1" applyBorder="1"/>
    <xf numFmtId="2" fontId="12" fillId="0" borderId="4" xfId="0" applyNumberFormat="1" applyFont="1" applyBorder="1" applyAlignment="1">
      <alignment horizontal="center"/>
    </xf>
    <xf numFmtId="2" fontId="0" fillId="0" borderId="0" xfId="0" applyNumberFormat="1" applyAlignment="1">
      <alignment horizontal="center"/>
    </xf>
    <xf numFmtId="0" fontId="7" fillId="0" borderId="8" xfId="0" applyFont="1" applyBorder="1"/>
    <xf numFmtId="0" fontId="12" fillId="4" borderId="9" xfId="0" applyFont="1" applyFill="1" applyBorder="1"/>
    <xf numFmtId="2" fontId="12" fillId="0" borderId="9" xfId="0" applyNumberFormat="1" applyFont="1" applyBorder="1" applyAlignment="1">
      <alignment horizontal="center"/>
    </xf>
    <xf numFmtId="0" fontId="10" fillId="0" borderId="9" xfId="0" applyFont="1" applyBorder="1" applyAlignment="1">
      <alignment horizontal="left"/>
    </xf>
    <xf numFmtId="0" fontId="0" fillId="0" borderId="11" xfId="0" applyBorder="1" applyAlignment="1">
      <alignment horizontal="center"/>
    </xf>
    <xf numFmtId="0" fontId="2" fillId="0" borderId="4" xfId="0" applyFont="1" applyBorder="1" applyAlignment="1">
      <alignment horizontal="center" wrapText="1"/>
    </xf>
    <xf numFmtId="0" fontId="2" fillId="0" borderId="4" xfId="0" applyFont="1" applyFill="1" applyBorder="1" applyAlignment="1">
      <alignment horizontal="center"/>
    </xf>
    <xf numFmtId="0" fontId="15" fillId="0" borderId="4" xfId="0" applyFont="1" applyFill="1" applyBorder="1" applyAlignment="1">
      <alignment horizontal="center" vertical="top" wrapText="1"/>
    </xf>
    <xf numFmtId="0" fontId="15" fillId="0" borderId="5" xfId="0" applyFont="1" applyFill="1" applyBorder="1" applyAlignment="1">
      <alignment horizontal="center" vertical="top" wrapText="1"/>
    </xf>
    <xf numFmtId="0" fontId="2" fillId="0" borderId="0" xfId="0" applyFont="1" applyBorder="1" applyAlignment="1">
      <alignment horizontal="center" wrapText="1"/>
    </xf>
    <xf numFmtId="0" fontId="15" fillId="0" borderId="7" xfId="0" applyFont="1" applyFill="1" applyBorder="1" applyAlignment="1">
      <alignment horizontal="center" vertical="top" wrapText="1"/>
    </xf>
    <xf numFmtId="0" fontId="15" fillId="0" borderId="12" xfId="0" applyFont="1" applyBorder="1" applyAlignment="1">
      <alignment horizontal="center" vertical="top" wrapText="1"/>
    </xf>
    <xf numFmtId="0" fontId="2" fillId="0" borderId="0" xfId="0" applyFont="1" applyBorder="1" applyAlignment="1">
      <alignment horizontal="center" vertical="top" wrapText="1"/>
    </xf>
    <xf numFmtId="0" fontId="20" fillId="0" borderId="0" xfId="0" applyFont="1" applyBorder="1" applyAlignment="1">
      <alignment horizontal="center" vertical="top" wrapText="1"/>
    </xf>
    <xf numFmtId="0" fontId="20" fillId="0" borderId="7" xfId="0" applyFont="1" applyBorder="1" applyAlignment="1">
      <alignment horizontal="center" vertical="top" wrapText="1"/>
    </xf>
    <xf numFmtId="49" fontId="15" fillId="0" borderId="12" xfId="0" applyNumberFormat="1" applyFont="1" applyBorder="1" applyAlignment="1">
      <alignment horizontal="center" vertical="top" wrapText="1"/>
    </xf>
    <xf numFmtId="2" fontId="0" fillId="0" borderId="0" xfId="0" applyNumberFormat="1" applyFill="1" applyBorder="1" applyAlignment="1">
      <alignment horizontal="center"/>
    </xf>
    <xf numFmtId="2" fontId="0" fillId="0" borderId="0" xfId="0" applyNumberFormat="1" applyBorder="1" applyAlignment="1">
      <alignment horizontal="center"/>
    </xf>
    <xf numFmtId="0" fontId="15" fillId="0" borderId="0" xfId="0" applyFont="1" applyFill="1" applyBorder="1" applyAlignment="1">
      <alignment horizontal="center" vertical="center" wrapText="1"/>
    </xf>
    <xf numFmtId="0" fontId="0" fillId="4" borderId="7" xfId="0" applyFill="1" applyBorder="1"/>
    <xf numFmtId="1" fontId="0" fillId="0" borderId="0" xfId="0" applyNumberFormat="1" applyFill="1" applyBorder="1" applyAlignment="1">
      <alignment horizontal="center"/>
    </xf>
    <xf numFmtId="0" fontId="15" fillId="0" borderId="16" xfId="0" applyFont="1" applyBorder="1" applyAlignment="1">
      <alignment horizontal="center" vertical="top" wrapText="1"/>
    </xf>
    <xf numFmtId="2" fontId="0" fillId="0" borderId="9" xfId="0" applyNumberFormat="1" applyFill="1" applyBorder="1" applyAlignment="1">
      <alignment horizontal="center"/>
    </xf>
    <xf numFmtId="2" fontId="0" fillId="0" borderId="9" xfId="0" applyNumberFormat="1" applyBorder="1" applyAlignment="1">
      <alignment horizontal="center"/>
    </xf>
    <xf numFmtId="0" fontId="0" fillId="0" borderId="10" xfId="0" applyFill="1" applyBorder="1" applyAlignment="1">
      <alignment horizontal="center"/>
    </xf>
    <xf numFmtId="0" fontId="2" fillId="0" borderId="4" xfId="0" applyFont="1" applyFill="1" applyBorder="1" applyAlignment="1">
      <alignment horizontal="center" wrapText="1"/>
    </xf>
    <xf numFmtId="0" fontId="2" fillId="0" borderId="5" xfId="0" applyFont="1" applyFill="1" applyBorder="1" applyAlignment="1">
      <alignment horizontal="center" wrapText="1"/>
    </xf>
    <xf numFmtId="0" fontId="2" fillId="0" borderId="7" xfId="0" applyFont="1" applyFill="1" applyBorder="1" applyAlignment="1">
      <alignment horizontal="center"/>
    </xf>
    <xf numFmtId="0" fontId="15" fillId="0" borderId="6" xfId="0" applyFont="1" applyBorder="1" applyAlignment="1">
      <alignment horizontal="center" vertical="top" wrapText="1"/>
    </xf>
    <xf numFmtId="0" fontId="20" fillId="0" borderId="0" xfId="0" applyFont="1" applyFill="1" applyBorder="1" applyAlignment="1">
      <alignment horizontal="center" vertical="top" wrapText="1"/>
    </xf>
    <xf numFmtId="0" fontId="20" fillId="0" borderId="7" xfId="0" applyFont="1" applyFill="1" applyBorder="1" applyAlignment="1">
      <alignment horizontal="center" vertical="top" wrapText="1"/>
    </xf>
    <xf numFmtId="49" fontId="15" fillId="0" borderId="6" xfId="0" applyNumberFormat="1" applyFont="1" applyBorder="1" applyAlignment="1">
      <alignment horizontal="center" vertical="top" wrapText="1"/>
    </xf>
    <xf numFmtId="2" fontId="2" fillId="0" borderId="0" xfId="0" applyNumberFormat="1" applyFont="1" applyFill="1" applyBorder="1" applyAlignment="1">
      <alignment horizontal="center"/>
    </xf>
    <xf numFmtId="2" fontId="0" fillId="0" borderId="7" xfId="0" applyNumberFormat="1" applyBorder="1" applyAlignment="1">
      <alignment horizontal="center"/>
    </xf>
    <xf numFmtId="0" fontId="15" fillId="0" borderId="8" xfId="0" applyFont="1" applyBorder="1" applyAlignment="1">
      <alignment horizontal="center" vertical="top" wrapText="1"/>
    </xf>
    <xf numFmtId="2" fontId="0" fillId="0" borderId="10" xfId="0" applyNumberFormat="1" applyBorder="1" applyAlignment="1">
      <alignment horizontal="center"/>
    </xf>
    <xf numFmtId="0" fontId="2" fillId="0" borderId="0" xfId="0" applyFont="1" applyFill="1" applyBorder="1" applyAlignment="1">
      <alignment horizontal="center" vertical="top" wrapText="1"/>
    </xf>
    <xf numFmtId="0" fontId="2" fillId="0" borderId="7" xfId="0" applyFont="1" applyBorder="1" applyAlignment="1">
      <alignment horizontal="center" vertical="top" wrapText="1"/>
    </xf>
    <xf numFmtId="0" fontId="15" fillId="0" borderId="6" xfId="0" applyNumberFormat="1" applyFont="1" applyBorder="1" applyAlignment="1">
      <alignment horizontal="center" vertical="top" wrapText="1"/>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0" fillId="4" borderId="0" xfId="0" applyFont="1" applyFill="1" applyAlignment="1">
      <alignment horizontal="left"/>
    </xf>
    <xf numFmtId="0" fontId="2" fillId="0" borderId="6" xfId="0" applyFont="1" applyBorder="1" applyAlignment="1">
      <alignment horizontal="center"/>
    </xf>
    <xf numFmtId="2" fontId="0" fillId="4" borderId="0" xfId="0" applyNumberFormat="1" applyFill="1" applyBorder="1" applyAlignment="1">
      <alignment horizontal="center"/>
    </xf>
    <xf numFmtId="2" fontId="2" fillId="4" borderId="0" xfId="0" applyNumberFormat="1" applyFont="1" applyFill="1" applyBorder="1" applyAlignment="1">
      <alignment horizontal="center"/>
    </xf>
    <xf numFmtId="2" fontId="0" fillId="4" borderId="7" xfId="0" applyNumberFormat="1" applyFill="1" applyBorder="1" applyAlignment="1">
      <alignment horizontal="center"/>
    </xf>
    <xf numFmtId="2" fontId="0" fillId="4" borderId="0" xfId="0" applyNumberFormat="1" applyFill="1" applyAlignment="1">
      <alignment horizontal="center"/>
    </xf>
    <xf numFmtId="2" fontId="2" fillId="0" borderId="0" xfId="0" applyNumberFormat="1" applyFont="1" applyBorder="1" applyAlignment="1">
      <alignment horizontal="center"/>
    </xf>
    <xf numFmtId="0" fontId="0" fillId="4" borderId="0" xfId="0" applyFill="1" applyBorder="1" applyAlignment="1">
      <alignment horizontal="center"/>
    </xf>
    <xf numFmtId="2" fontId="0" fillId="0" borderId="7" xfId="0" applyNumberFormat="1" applyFill="1" applyBorder="1" applyAlignment="1">
      <alignment horizontal="center"/>
    </xf>
    <xf numFmtId="0" fontId="2" fillId="0" borderId="8" xfId="0" applyFont="1" applyBorder="1" applyAlignment="1">
      <alignment horizontal="center"/>
    </xf>
    <xf numFmtId="0" fontId="0" fillId="4" borderId="9" xfId="0" applyFill="1" applyBorder="1" applyAlignment="1">
      <alignment horizontal="center"/>
    </xf>
    <xf numFmtId="2" fontId="0" fillId="0" borderId="10" xfId="0" applyNumberFormat="1" applyFill="1" applyBorder="1" applyAlignment="1">
      <alignment horizontal="center"/>
    </xf>
    <xf numFmtId="0" fontId="0" fillId="0" borderId="7" xfId="0" applyBorder="1" applyAlignment="1">
      <alignment horizontal="center"/>
    </xf>
    <xf numFmtId="0" fontId="2" fillId="0" borderId="6" xfId="0" applyFont="1" applyBorder="1"/>
    <xf numFmtId="0" fontId="2" fillId="0" borderId="8" xfId="0" applyFont="1" applyFill="1" applyBorder="1"/>
    <xf numFmtId="11" fontId="0" fillId="0" borderId="9" xfId="0" applyNumberFormat="1" applyBorder="1" applyAlignment="1">
      <alignment horizontal="center"/>
    </xf>
    <xf numFmtId="0" fontId="10" fillId="0" borderId="0" xfId="0" applyFont="1" applyFill="1" applyBorder="1" applyAlignment="1">
      <alignment horizontal="center"/>
    </xf>
    <xf numFmtId="2" fontId="0" fillId="0" borderId="1" xfId="0" applyNumberFormat="1" applyFill="1" applyBorder="1" applyAlignment="1">
      <alignment horizontal="center" vertical="center"/>
    </xf>
    <xf numFmtId="0" fontId="0" fillId="0" borderId="7" xfId="0" applyFill="1" applyBorder="1" applyAlignment="1">
      <alignment horizontal="center"/>
    </xf>
    <xf numFmtId="0" fontId="10" fillId="0" borderId="7" xfId="0" applyFont="1" applyFill="1" applyBorder="1" applyAlignment="1">
      <alignment horizontal="center"/>
    </xf>
    <xf numFmtId="11" fontId="0" fillId="0" borderId="9" xfId="0" applyNumberFormat="1" applyFill="1" applyBorder="1" applyAlignment="1">
      <alignment horizontal="center"/>
    </xf>
    <xf numFmtId="11" fontId="0" fillId="0" borderId="10" xfId="0" applyNumberFormat="1" applyFill="1" applyBorder="1" applyAlignment="1">
      <alignment horizontal="center"/>
    </xf>
    <xf numFmtId="0" fontId="21" fillId="5" borderId="3" xfId="0" quotePrefix="1" applyFont="1" applyFill="1" applyBorder="1"/>
    <xf numFmtId="0" fontId="21" fillId="6" borderId="1" xfId="0" applyFont="1" applyFill="1" applyBorder="1" applyAlignment="1">
      <alignment horizontal="left" vertical="center"/>
    </xf>
    <xf numFmtId="0" fontId="21" fillId="7" borderId="10"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21" fillId="7" borderId="1" xfId="0" applyFont="1" applyFill="1" applyBorder="1" applyAlignment="1">
      <alignment horizontal="center" vertical="center"/>
    </xf>
    <xf numFmtId="0" fontId="2" fillId="0" borderId="3" xfId="0" applyFont="1" applyBorder="1"/>
    <xf numFmtId="0" fontId="2" fillId="0" borderId="6" xfId="0" applyFont="1" applyBorder="1" applyAlignment="1">
      <alignment horizontal="center" wrapText="1"/>
    </xf>
    <xf numFmtId="0" fontId="2" fillId="0" borderId="6" xfId="0" applyFont="1" applyFill="1" applyBorder="1"/>
    <xf numFmtId="0" fontId="2" fillId="4" borderId="6" xfId="0" applyFont="1" applyFill="1" applyBorder="1" applyAlignment="1">
      <alignment horizontal="center"/>
    </xf>
    <xf numFmtId="0" fontId="0" fillId="4" borderId="6" xfId="0" applyFill="1" applyBorder="1" applyAlignment="1">
      <alignment horizontal="center"/>
    </xf>
    <xf numFmtId="1" fontId="0" fillId="4" borderId="0" xfId="0" applyNumberFormat="1" applyFill="1" applyBorder="1" applyAlignment="1">
      <alignment horizontal="center"/>
    </xf>
    <xf numFmtId="0" fontId="2" fillId="4" borderId="7" xfId="0" applyFont="1" applyFill="1" applyBorder="1" applyAlignment="1">
      <alignment horizontal="center"/>
    </xf>
    <xf numFmtId="0" fontId="0" fillId="0" borderId="9" xfId="0" applyFill="1" applyBorder="1"/>
    <xf numFmtId="0" fontId="2" fillId="4" borderId="8" xfId="0" applyFont="1" applyFill="1" applyBorder="1" applyAlignment="1">
      <alignment horizontal="center"/>
    </xf>
    <xf numFmtId="0" fontId="0" fillId="4" borderId="8" xfId="0" applyFill="1" applyBorder="1" applyAlignment="1">
      <alignment horizontal="center"/>
    </xf>
    <xf numFmtId="1" fontId="0" fillId="4" borderId="9" xfId="0" applyNumberFormat="1" applyFill="1" applyBorder="1" applyAlignment="1">
      <alignment horizontal="center"/>
    </xf>
    <xf numFmtId="0" fontId="2" fillId="4" borderId="10" xfId="0" applyFont="1" applyFill="1" applyBorder="1" applyAlignment="1">
      <alignment horizontal="center"/>
    </xf>
    <xf numFmtId="0" fontId="0" fillId="0" borderId="0" xfId="0" applyFont="1" applyFill="1" applyBorder="1" applyAlignment="1">
      <alignment horizontal="left"/>
    </xf>
    <xf numFmtId="0" fontId="2" fillId="0" borderId="8" xfId="0" applyFont="1" applyBorder="1"/>
    <xf numFmtId="0" fontId="7" fillId="0" borderId="3" xfId="0" applyFont="1" applyFill="1" applyBorder="1" applyAlignment="1">
      <alignment horizontal="left" vertical="center"/>
    </xf>
    <xf numFmtId="0" fontId="23" fillId="0" borderId="7" xfId="0" applyFont="1" applyFill="1" applyBorder="1" applyAlignment="1">
      <alignment horizontal="center" vertical="top" wrapText="1"/>
    </xf>
    <xf numFmtId="0" fontId="10" fillId="0" borderId="0" xfId="0" applyFont="1" applyBorder="1" applyAlignment="1">
      <alignment horizontal="center" wrapText="1"/>
    </xf>
    <xf numFmtId="0" fontId="10" fillId="0" borderId="7" xfId="0" applyFont="1" applyBorder="1" applyAlignment="1">
      <alignment horizontal="center" wrapText="1"/>
    </xf>
    <xf numFmtId="0" fontId="0" fillId="0" borderId="10" xfId="0" applyBorder="1" applyAlignment="1">
      <alignment horizontal="center"/>
    </xf>
    <xf numFmtId="0" fontId="2" fillId="4" borderId="6" xfId="0" applyFont="1" applyFill="1" applyBorder="1"/>
    <xf numFmtId="0" fontId="0" fillId="4" borderId="7" xfId="0" applyFill="1" applyBorder="1" applyAlignment="1">
      <alignment horizontal="center"/>
    </xf>
    <xf numFmtId="0" fontId="2" fillId="4" borderId="8" xfId="0" applyFont="1" applyFill="1" applyBorder="1"/>
    <xf numFmtId="0" fontId="0" fillId="4" borderId="10" xfId="0" applyFill="1" applyBorder="1" applyAlignment="1">
      <alignment horizontal="center"/>
    </xf>
    <xf numFmtId="0" fontId="2" fillId="0" borderId="13" xfId="0" applyFont="1" applyBorder="1"/>
    <xf numFmtId="0" fontId="0" fillId="0" borderId="14" xfId="0" applyBorder="1"/>
    <xf numFmtId="0" fontId="0" fillId="0" borderId="15" xfId="0" applyBorder="1"/>
    <xf numFmtId="164" fontId="0" fillId="0" borderId="0" xfId="0" applyNumberFormat="1" applyFill="1" applyBorder="1" applyAlignment="1">
      <alignment horizontal="center"/>
    </xf>
    <xf numFmtId="0" fontId="10" fillId="0" borderId="9" xfId="0" applyFont="1" applyFill="1" applyBorder="1" applyAlignment="1">
      <alignment horizontal="center"/>
    </xf>
    <xf numFmtId="164" fontId="0" fillId="0" borderId="9" xfId="0" applyNumberFormat="1" applyFill="1" applyBorder="1" applyAlignment="1">
      <alignment horizontal="center"/>
    </xf>
    <xf numFmtId="0" fontId="7" fillId="0" borderId="3" xfId="0" applyFont="1" applyFill="1" applyBorder="1"/>
    <xf numFmtId="0" fontId="0" fillId="0" borderId="4" xfId="0" applyFill="1" applyBorder="1" applyAlignment="1">
      <alignment horizontal="center"/>
    </xf>
    <xf numFmtId="0" fontId="0" fillId="0" borderId="5" xfId="0" applyFill="1" applyBorder="1"/>
    <xf numFmtId="0" fontId="2" fillId="0" borderId="7" xfId="0" applyFont="1" applyBorder="1"/>
    <xf numFmtId="2" fontId="0" fillId="0" borderId="6" xfId="0" applyNumberFormat="1" applyFill="1" applyBorder="1" applyAlignment="1">
      <alignment horizontal="center"/>
    </xf>
    <xf numFmtId="2" fontId="11" fillId="0" borderId="0" xfId="0" applyNumberFormat="1" applyFont="1" applyFill="1" applyBorder="1" applyAlignment="1">
      <alignment horizontal="center"/>
    </xf>
    <xf numFmtId="2" fontId="0" fillId="0" borderId="9" xfId="0" applyNumberFormat="1" applyFont="1" applyFill="1" applyBorder="1" applyAlignment="1">
      <alignment horizontal="center"/>
    </xf>
    <xf numFmtId="0" fontId="2" fillId="0" borderId="10" xfId="0" applyFont="1" applyBorder="1"/>
    <xf numFmtId="2" fontId="0" fillId="0" borderId="8" xfId="0" applyNumberFormat="1" applyFill="1" applyBorder="1" applyAlignment="1">
      <alignment horizontal="center"/>
    </xf>
    <xf numFmtId="0" fontId="7" fillId="0" borderId="4" xfId="0" applyFont="1" applyBorder="1"/>
    <xf numFmtId="0" fontId="7" fillId="0" borderId="5" xfId="0" applyFont="1" applyBorder="1" applyAlignment="1">
      <alignment horizontal="left"/>
    </xf>
    <xf numFmtId="0" fontId="7" fillId="0" borderId="0" xfId="0" applyFont="1" applyBorder="1" applyAlignment="1">
      <alignment horizontal="center"/>
    </xf>
    <xf numFmtId="0" fontId="7" fillId="0" borderId="7" xfId="0" applyFont="1" applyBorder="1" applyAlignment="1">
      <alignment horizontal="left"/>
    </xf>
    <xf numFmtId="49" fontId="4" fillId="0" borderId="0" xfId="0" applyNumberFormat="1" applyFont="1" applyBorder="1" applyAlignment="1">
      <alignment horizontal="center" vertical="top" wrapText="1"/>
    </xf>
    <xf numFmtId="0" fontId="24" fillId="0" borderId="0" xfId="0" applyFont="1" applyBorder="1" applyAlignment="1">
      <alignment horizontal="left"/>
    </xf>
    <xf numFmtId="49" fontId="4" fillId="0" borderId="0" xfId="0" applyNumberFormat="1" applyFont="1" applyFill="1" applyBorder="1" applyAlignment="1">
      <alignment horizontal="center" vertical="top" wrapText="1"/>
    </xf>
    <xf numFmtId="0" fontId="24" fillId="0" borderId="0" xfId="0" applyFont="1" applyFill="1" applyBorder="1" applyAlignment="1">
      <alignment horizontal="left"/>
    </xf>
    <xf numFmtId="0" fontId="0" fillId="0" borderId="0" xfId="0" applyFont="1" applyFill="1" applyBorder="1"/>
    <xf numFmtId="0" fontId="25" fillId="0" borderId="7" xfId="0" applyFont="1" applyFill="1" applyBorder="1" applyAlignment="1">
      <alignment horizontal="left"/>
    </xf>
    <xf numFmtId="0" fontId="11" fillId="0" borderId="0" xfId="0" applyFont="1" applyBorder="1" applyAlignment="1">
      <alignment horizontal="center"/>
    </xf>
    <xf numFmtId="0" fontId="24" fillId="0" borderId="0" xfId="0" applyFont="1" applyBorder="1"/>
    <xf numFmtId="0" fontId="11" fillId="0" borderId="0" xfId="0" applyNumberFormat="1" applyFont="1" applyFill="1" applyBorder="1" applyAlignment="1">
      <alignment horizontal="center"/>
    </xf>
    <xf numFmtId="0" fontId="11" fillId="0" borderId="0" xfId="0" applyFont="1" applyFill="1" applyBorder="1"/>
    <xf numFmtId="0" fontId="11" fillId="0" borderId="7" xfId="0" applyFont="1" applyFill="1" applyBorder="1"/>
    <xf numFmtId="0" fontId="0" fillId="0" borderId="0" xfId="0" applyFont="1" applyBorder="1" applyAlignment="1">
      <alignment horizontal="center"/>
    </xf>
    <xf numFmtId="165"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4" fillId="0" borderId="0" xfId="0" applyFont="1" applyFill="1" applyBorder="1"/>
    <xf numFmtId="0" fontId="0" fillId="0" borderId="0" xfId="0" applyFont="1" applyBorder="1"/>
    <xf numFmtId="0" fontId="0" fillId="0" borderId="7" xfId="0" applyFont="1" applyFill="1" applyBorder="1"/>
    <xf numFmtId="11" fontId="11" fillId="0" borderId="0" xfId="0" applyNumberFormat="1" applyFont="1" applyFill="1" applyBorder="1" applyAlignment="1">
      <alignment horizontal="center"/>
    </xf>
    <xf numFmtId="0" fontId="11" fillId="0" borderId="7" xfId="0" applyFont="1" applyBorder="1" applyAlignment="1">
      <alignment horizontal="left"/>
    </xf>
    <xf numFmtId="0" fontId="11" fillId="0" borderId="7" xfId="0" applyFont="1" applyFill="1" applyBorder="1" applyAlignment="1">
      <alignment horizontal="left"/>
    </xf>
    <xf numFmtId="2" fontId="0" fillId="0" borderId="0" xfId="0" applyNumberFormat="1" applyFont="1" applyAlignment="1">
      <alignment horizontal="center"/>
    </xf>
    <xf numFmtId="0" fontId="24" fillId="0" borderId="7" xfId="0" applyFont="1" applyBorder="1"/>
    <xf numFmtId="0" fontId="15" fillId="0" borderId="6" xfId="0" applyFont="1" applyFill="1" applyBorder="1" applyAlignment="1">
      <alignment horizontal="center" vertical="top" wrapText="1"/>
    </xf>
    <xf numFmtId="2" fontId="0" fillId="0" borderId="0" xfId="0" applyNumberFormat="1" applyFont="1" applyBorder="1" applyAlignment="1">
      <alignment horizontal="center"/>
    </xf>
    <xf numFmtId="2" fontId="24" fillId="0" borderId="0" xfId="0" applyNumberFormat="1" applyFont="1" applyBorder="1" applyAlignment="1">
      <alignment horizontal="center"/>
    </xf>
    <xf numFmtId="0" fontId="0" fillId="0" borderId="0" xfId="0" applyFont="1" applyFill="1" applyBorder="1" applyAlignment="1">
      <alignment horizontal="center"/>
    </xf>
    <xf numFmtId="0" fontId="24" fillId="0" borderId="7" xfId="0" applyFont="1" applyFill="1" applyBorder="1"/>
    <xf numFmtId="0" fontId="11" fillId="0" borderId="9" xfId="0" applyFont="1" applyFill="1" applyBorder="1" applyAlignment="1">
      <alignment horizontal="center"/>
    </xf>
    <xf numFmtId="0" fontId="4" fillId="0" borderId="9" xfId="0" applyFont="1" applyBorder="1" applyAlignment="1">
      <alignment horizontal="center" vertical="top" wrapText="1"/>
    </xf>
    <xf numFmtId="0" fontId="0" fillId="0" borderId="9" xfId="0" applyFont="1" applyFill="1" applyBorder="1"/>
    <xf numFmtId="0" fontId="11" fillId="0" borderId="10" xfId="0" applyFont="1" applyFill="1" applyBorder="1" applyAlignment="1">
      <alignment horizontal="left"/>
    </xf>
    <xf numFmtId="0" fontId="11" fillId="0" borderId="4" xfId="0" applyFont="1" applyFill="1" applyBorder="1" applyAlignment="1">
      <alignment horizontal="center"/>
    </xf>
    <xf numFmtId="2" fontId="24" fillId="0" borderId="4" xfId="0" applyNumberFormat="1" applyFont="1" applyFill="1" applyBorder="1" applyAlignment="1">
      <alignment horizontal="center"/>
    </xf>
    <xf numFmtId="2" fontId="0" fillId="0" borderId="4" xfId="0" applyNumberFormat="1" applyFont="1" applyFill="1" applyBorder="1" applyAlignment="1">
      <alignment horizontal="center"/>
    </xf>
    <xf numFmtId="0" fontId="4" fillId="0" borderId="4" xfId="0" applyFont="1" applyBorder="1" applyAlignment="1">
      <alignment horizontal="center" vertical="top" wrapText="1"/>
    </xf>
    <xf numFmtId="0" fontId="11" fillId="0" borderId="4" xfId="0" applyFont="1" applyBorder="1"/>
    <xf numFmtId="0" fontId="0" fillId="0" borderId="4" xfId="0" applyFont="1" applyFill="1" applyBorder="1"/>
    <xf numFmtId="0" fontId="11" fillId="0" borderId="5" xfId="0" applyFont="1" applyFill="1" applyBorder="1" applyAlignment="1">
      <alignment horizontal="left"/>
    </xf>
    <xf numFmtId="2" fontId="11" fillId="0" borderId="4" xfId="0" applyNumberFormat="1" applyFont="1" applyFill="1" applyBorder="1" applyAlignment="1">
      <alignment horizontal="center"/>
    </xf>
    <xf numFmtId="0" fontId="11" fillId="0" borderId="4" xfId="0" applyFont="1" applyFill="1" applyBorder="1"/>
    <xf numFmtId="2" fontId="24" fillId="0" borderId="9" xfId="0" applyNumberFormat="1" applyFont="1" applyFill="1" applyBorder="1" applyAlignment="1">
      <alignment horizontal="center"/>
    </xf>
    <xf numFmtId="0" fontId="11" fillId="0" borderId="9" xfId="0" applyFont="1" applyFill="1" applyBorder="1"/>
    <xf numFmtId="0" fontId="2" fillId="0" borderId="3" xfId="0" applyFont="1" applyFill="1" applyBorder="1"/>
    <xf numFmtId="0" fontId="2" fillId="0" borderId="4" xfId="0" applyFont="1" applyFill="1" applyBorder="1"/>
    <xf numFmtId="0" fontId="2" fillId="0" borderId="4" xfId="0" applyFont="1" applyFill="1" applyBorder="1" applyAlignment="1">
      <alignment vertical="center"/>
    </xf>
    <xf numFmtId="0" fontId="0" fillId="0" borderId="5" xfId="0" applyFill="1" applyBorder="1" applyAlignment="1">
      <alignment horizontal="center"/>
    </xf>
    <xf numFmtId="0" fontId="2" fillId="0" borderId="9" xfId="0" applyFont="1" applyFill="1" applyBorder="1" applyAlignment="1">
      <alignment vertical="center"/>
    </xf>
    <xf numFmtId="0" fontId="2" fillId="0" borderId="9" xfId="2" applyFill="1" applyBorder="1" applyAlignment="1">
      <alignment horizontal="center"/>
    </xf>
    <xf numFmtId="0" fontId="2" fillId="0" borderId="5" xfId="0" applyFont="1" applyFill="1" applyBorder="1" applyAlignment="1">
      <alignment horizontal="center"/>
    </xf>
    <xf numFmtId="0" fontId="2" fillId="0" borderId="8" xfId="0" applyFont="1" applyBorder="1" applyAlignment="1">
      <alignment horizontal="center" vertical="center"/>
    </xf>
    <xf numFmtId="11" fontId="15" fillId="0" borderId="9" xfId="0" applyNumberFormat="1" applyFont="1" applyFill="1" applyBorder="1" applyAlignment="1">
      <alignment horizontal="center" vertical="center" wrapText="1"/>
    </xf>
    <xf numFmtId="0" fontId="2" fillId="0" borderId="5" xfId="0" applyFont="1" applyBorder="1" applyAlignment="1">
      <alignment horizontal="center" wrapText="1"/>
    </xf>
    <xf numFmtId="0" fontId="2" fillId="0" borderId="7" xfId="0" applyFont="1" applyBorder="1" applyAlignment="1">
      <alignment horizontal="center" wrapText="1"/>
    </xf>
    <xf numFmtId="0" fontId="2" fillId="0" borderId="6" xfId="0" applyFont="1" applyBorder="1" applyAlignment="1">
      <alignment horizontal="left"/>
    </xf>
    <xf numFmtId="0" fontId="0" fillId="0" borderId="3" xfId="0" applyFill="1" applyBorder="1"/>
    <xf numFmtId="0" fontId="2" fillId="0" borderId="11" xfId="0" applyFont="1" applyFill="1" applyBorder="1" applyAlignment="1">
      <alignment horizontal="center" wrapText="1"/>
    </xf>
    <xf numFmtId="0" fontId="0" fillId="0" borderId="8" xfId="0" applyFill="1" applyBorder="1" applyAlignment="1">
      <alignment horizontal="center"/>
    </xf>
    <xf numFmtId="0" fontId="0" fillId="0" borderId="16" xfId="0" applyFill="1" applyBorder="1" applyAlignment="1">
      <alignment horizontal="center"/>
    </xf>
    <xf numFmtId="0" fontId="0" fillId="0" borderId="16" xfId="0" applyBorder="1" applyAlignment="1">
      <alignment horizontal="center"/>
    </xf>
    <xf numFmtId="0" fontId="2" fillId="0" borderId="13" xfId="0" applyFont="1" applyFill="1" applyBorder="1"/>
    <xf numFmtId="0" fontId="0" fillId="0" borderId="14" xfId="0" applyFill="1" applyBorder="1"/>
    <xf numFmtId="0" fontId="10" fillId="0" borderId="14" xfId="0" applyFont="1" applyFill="1" applyBorder="1"/>
    <xf numFmtId="1" fontId="0" fillId="0" borderId="14" xfId="0" applyNumberFormat="1" applyFill="1" applyBorder="1" applyAlignment="1">
      <alignment horizontal="center"/>
    </xf>
    <xf numFmtId="0" fontId="2" fillId="0" borderId="14" xfId="0" applyFont="1" applyFill="1" applyBorder="1"/>
    <xf numFmtId="0" fontId="10" fillId="0" borderId="15" xfId="0" applyFont="1" applyFill="1" applyBorder="1" applyAlignment="1">
      <alignment horizontal="center"/>
    </xf>
    <xf numFmtId="0" fontId="10" fillId="0" borderId="1" xfId="0" applyFont="1" applyFill="1" applyBorder="1" applyAlignment="1">
      <alignment horizontal="center"/>
    </xf>
    <xf numFmtId="0" fontId="10" fillId="0" borderId="14" xfId="0" applyFont="1" applyFill="1" applyBorder="1" applyAlignment="1">
      <alignment horizontal="center"/>
    </xf>
    <xf numFmtId="0" fontId="0" fillId="0" borderId="6" xfId="0" applyFill="1" applyBorder="1"/>
    <xf numFmtId="0" fontId="2" fillId="0" borderId="6" xfId="0" applyFont="1" applyFill="1" applyBorder="1" applyAlignment="1">
      <alignment horizontal="center"/>
    </xf>
    <xf numFmtId="164" fontId="0" fillId="0" borderId="6" xfId="0" applyNumberFormat="1" applyFill="1" applyBorder="1" applyAlignment="1">
      <alignment horizontal="center"/>
    </xf>
    <xf numFmtId="164" fontId="0" fillId="0" borderId="7" xfId="0" applyNumberFormat="1" applyFill="1" applyBorder="1" applyAlignment="1">
      <alignment horizontal="center"/>
    </xf>
    <xf numFmtId="0" fontId="0" fillId="4" borderId="0" xfId="0" applyFill="1" applyBorder="1"/>
    <xf numFmtId="0" fontId="0" fillId="4" borderId="9" xfId="0" applyFill="1" applyBorder="1"/>
    <xf numFmtId="0" fontId="0" fillId="4" borderId="14" xfId="0" applyFill="1" applyBorder="1" applyAlignment="1">
      <alignment horizontal="center"/>
    </xf>
    <xf numFmtId="0" fontId="0" fillId="4" borderId="15" xfId="0" applyFill="1" applyBorder="1"/>
    <xf numFmtId="164" fontId="0" fillId="0" borderId="13" xfId="0" applyNumberFormat="1" applyFill="1" applyBorder="1" applyAlignment="1">
      <alignment horizontal="center"/>
    </xf>
    <xf numFmtId="0" fontId="0" fillId="0" borderId="13" xfId="0" applyBorder="1"/>
    <xf numFmtId="0" fontId="0" fillId="4" borderId="4" xfId="0" applyFill="1" applyBorder="1"/>
    <xf numFmtId="11" fontId="0" fillId="0" borderId="4" xfId="0" applyNumberFormat="1" applyFill="1" applyBorder="1" applyAlignment="1">
      <alignment horizontal="center"/>
    </xf>
    <xf numFmtId="1" fontId="0" fillId="0" borderId="6" xfId="0" applyNumberFormat="1" applyFill="1" applyBorder="1" applyAlignment="1">
      <alignment horizontal="center"/>
    </xf>
    <xf numFmtId="1" fontId="0" fillId="0" borderId="7" xfId="0" applyNumberFormat="1" applyFill="1" applyBorder="1" applyAlignment="1">
      <alignment horizontal="center"/>
    </xf>
    <xf numFmtId="0" fontId="0" fillId="0" borderId="14" xfId="0" applyFill="1" applyBorder="1" applyAlignment="1">
      <alignment horizontal="center"/>
    </xf>
    <xf numFmtId="0" fontId="0" fillId="0" borderId="4" xfId="0" applyFill="1" applyBorder="1" applyAlignment="1">
      <alignment horizontal="center"/>
    </xf>
    <xf numFmtId="0" fontId="0" fillId="0" borderId="3" xfId="0" applyBorder="1" applyAlignment="1">
      <alignment horizontal="center"/>
    </xf>
    <xf numFmtId="0" fontId="0" fillId="0" borderId="0" xfId="0" applyBorder="1" applyAlignment="1">
      <alignment horizontal="center"/>
    </xf>
    <xf numFmtId="164" fontId="0" fillId="0" borderId="8" xfId="0" applyNumberFormat="1" applyFill="1" applyBorder="1" applyAlignment="1">
      <alignment horizontal="center"/>
    </xf>
    <xf numFmtId="0" fontId="0" fillId="0" borderId="6" xfId="0" applyBorder="1" applyAlignment="1">
      <alignment horizontal="center"/>
    </xf>
    <xf numFmtId="2" fontId="0" fillId="0" borderId="13" xfId="0" applyNumberFormat="1" applyFill="1" applyBorder="1" applyAlignment="1">
      <alignment horizontal="center"/>
    </xf>
    <xf numFmtId="0" fontId="10" fillId="0" borderId="5" xfId="0" applyFont="1" applyFill="1" applyBorder="1"/>
    <xf numFmtId="0" fontId="0" fillId="4" borderId="5" xfId="0" applyFill="1" applyBorder="1"/>
    <xf numFmtId="0" fontId="10" fillId="0" borderId="10" xfId="0" applyFont="1" applyFill="1" applyBorder="1"/>
    <xf numFmtId="0" fontId="0" fillId="0" borderId="6" xfId="0" applyFill="1" applyBorder="1" applyAlignment="1">
      <alignment horizontal="center"/>
    </xf>
    <xf numFmtId="164" fontId="0" fillId="0" borderId="0" xfId="0" applyNumberFormat="1" applyBorder="1" applyAlignment="1">
      <alignment horizontal="center"/>
    </xf>
    <xf numFmtId="164" fontId="0" fillId="0" borderId="8" xfId="0" applyNumberFormat="1" applyBorder="1" applyAlignment="1">
      <alignment horizontal="center"/>
    </xf>
    <xf numFmtId="0" fontId="0" fillId="0" borderId="0" xfId="0" applyFont="1"/>
    <xf numFmtId="0" fontId="0" fillId="0" borderId="6" xfId="0" applyFont="1" applyFill="1" applyBorder="1" applyAlignment="1">
      <alignment horizontal="center"/>
    </xf>
    <xf numFmtId="0" fontId="0" fillId="4" borderId="7" xfId="0" applyFont="1" applyFill="1" applyBorder="1"/>
    <xf numFmtId="0" fontId="25" fillId="0" borderId="6" xfId="0" applyFont="1" applyFill="1" applyBorder="1"/>
    <xf numFmtId="0" fontId="11" fillId="0" borderId="6" xfId="0" applyFont="1" applyFill="1" applyBorder="1" applyAlignment="1">
      <alignment horizontal="center"/>
    </xf>
    <xf numFmtId="0" fontId="10" fillId="4" borderId="3" xfId="0" applyFont="1" applyFill="1" applyBorder="1" applyAlignment="1">
      <alignment horizontal="center"/>
    </xf>
    <xf numFmtId="0" fontId="10" fillId="4" borderId="5" xfId="0" applyFont="1" applyFill="1" applyBorder="1" applyAlignment="1">
      <alignment horizontal="center"/>
    </xf>
    <xf numFmtId="0" fontId="10" fillId="4" borderId="6" xfId="0" applyFont="1" applyFill="1" applyBorder="1" applyAlignment="1">
      <alignment horizontal="center"/>
    </xf>
    <xf numFmtId="0" fontId="30" fillId="4" borderId="7" xfId="0" applyFont="1" applyFill="1" applyBorder="1" applyAlignment="1">
      <alignment horizontal="center"/>
    </xf>
    <xf numFmtId="0" fontId="24" fillId="4" borderId="6" xfId="0" applyFont="1" applyFill="1" applyBorder="1" applyAlignment="1">
      <alignment horizontal="center"/>
    </xf>
    <xf numFmtId="0" fontId="0" fillId="0" borderId="7" xfId="0" applyFont="1" applyFill="1" applyBorder="1" applyAlignment="1">
      <alignment horizontal="center"/>
    </xf>
    <xf numFmtId="2" fontId="0" fillId="0" borderId="4" xfId="0" applyNumberFormat="1" applyBorder="1" applyAlignment="1">
      <alignment horizontal="center"/>
    </xf>
    <xf numFmtId="0" fontId="0" fillId="4" borderId="13" xfId="0" applyFill="1" applyBorder="1"/>
    <xf numFmtId="164" fontId="0" fillId="0" borderId="12" xfId="0" applyNumberFormat="1" applyFill="1" applyBorder="1" applyAlignment="1">
      <alignment horizontal="center"/>
    </xf>
    <xf numFmtId="0" fontId="0" fillId="4" borderId="12" xfId="0" applyFill="1" applyBorder="1"/>
    <xf numFmtId="164" fontId="0" fillId="0" borderId="1" xfId="0" applyNumberFormat="1" applyFill="1" applyBorder="1" applyAlignment="1">
      <alignment horizontal="center"/>
    </xf>
    <xf numFmtId="164" fontId="0" fillId="0" borderId="16" xfId="0" applyNumberFormat="1" applyFill="1" applyBorder="1" applyAlignment="1">
      <alignment horizontal="center"/>
    </xf>
    <xf numFmtId="0" fontId="0" fillId="0" borderId="12" xfId="0" applyBorder="1"/>
    <xf numFmtId="0" fontId="0" fillId="0" borderId="16" xfId="0" applyBorder="1"/>
    <xf numFmtId="164" fontId="24" fillId="4" borderId="6" xfId="0" applyNumberFormat="1" applyFont="1" applyFill="1" applyBorder="1" applyAlignment="1">
      <alignment horizontal="center"/>
    </xf>
    <xf numFmtId="164" fontId="30" fillId="4" borderId="7" xfId="0" applyNumberFormat="1" applyFont="1" applyFill="1" applyBorder="1" applyAlignment="1">
      <alignment horizontal="center"/>
    </xf>
    <xf numFmtId="164" fontId="24" fillId="4" borderId="3" xfId="0" applyNumberFormat="1" applyFont="1" applyFill="1" applyBorder="1" applyAlignment="1">
      <alignment horizontal="center"/>
    </xf>
    <xf numFmtId="164" fontId="30" fillId="4" borderId="5" xfId="0" applyNumberFormat="1" applyFont="1" applyFill="1" applyBorder="1" applyAlignment="1">
      <alignment horizontal="center"/>
    </xf>
    <xf numFmtId="164" fontId="24" fillId="4" borderId="8" xfId="0" applyNumberFormat="1" applyFont="1" applyFill="1" applyBorder="1" applyAlignment="1">
      <alignment horizontal="center"/>
    </xf>
    <xf numFmtId="164" fontId="30" fillId="4" borderId="10" xfId="0" applyNumberFormat="1" applyFont="1" applyFill="1" applyBorder="1" applyAlignment="1">
      <alignment horizontal="center"/>
    </xf>
    <xf numFmtId="164" fontId="30" fillId="4" borderId="8" xfId="0" applyNumberFormat="1" applyFont="1" applyFill="1" applyBorder="1" applyAlignment="1">
      <alignment horizontal="center"/>
    </xf>
    <xf numFmtId="164" fontId="0" fillId="0" borderId="3" xfId="0" applyNumberFormat="1" applyFill="1" applyBorder="1" applyAlignment="1">
      <alignment horizontal="center"/>
    </xf>
    <xf numFmtId="2" fontId="0" fillId="0" borderId="4" xfId="0" applyNumberFormat="1" applyFill="1" applyBorder="1" applyAlignment="1">
      <alignment horizontal="center"/>
    </xf>
    <xf numFmtId="0" fontId="0" fillId="0" borderId="4" xfId="0" applyFill="1" applyBorder="1" applyAlignment="1">
      <alignment horizontal="center"/>
    </xf>
    <xf numFmtId="0" fontId="0" fillId="3" borderId="0" xfId="0" applyFill="1" applyAlignment="1">
      <alignment horizontal="left"/>
    </xf>
    <xf numFmtId="0" fontId="0" fillId="0" borderId="5"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6" fillId="8" borderId="0" xfId="0" applyFont="1" applyFill="1"/>
    <xf numFmtId="0" fontId="0" fillId="8" borderId="0" xfId="0" applyFill="1"/>
    <xf numFmtId="0" fontId="0" fillId="8" borderId="0" xfId="0" applyFill="1" applyAlignment="1">
      <alignment horizontal="center"/>
    </xf>
    <xf numFmtId="0" fontId="2" fillId="8" borderId="0" xfId="0" applyFont="1" applyFill="1" applyBorder="1"/>
    <xf numFmtId="0" fontId="0" fillId="8" borderId="0" xfId="0" applyFill="1" applyBorder="1"/>
    <xf numFmtId="0" fontId="0" fillId="8" borderId="0" xfId="0" applyFill="1" applyBorder="1" applyAlignment="1">
      <alignment horizontal="center"/>
    </xf>
    <xf numFmtId="0" fontId="10" fillId="8" borderId="0" xfId="0" applyFont="1" applyFill="1" applyBorder="1"/>
    <xf numFmtId="2" fontId="0" fillId="8" borderId="0" xfId="0" applyNumberFormat="1" applyFill="1" applyBorder="1" applyAlignment="1">
      <alignment horizontal="center"/>
    </xf>
    <xf numFmtId="0" fontId="2" fillId="8" borderId="0" xfId="0" applyFont="1" applyFill="1" applyBorder="1" applyAlignment="1">
      <alignment horizontal="center"/>
    </xf>
    <xf numFmtId="0" fontId="13" fillId="8" borderId="0" xfId="0" applyFont="1" applyFill="1" applyBorder="1"/>
    <xf numFmtId="0" fontId="10" fillId="8" borderId="0" xfId="0" applyFont="1" applyFill="1" applyBorder="1" applyAlignment="1">
      <alignment horizontal="center"/>
    </xf>
    <xf numFmtId="0" fontId="0" fillId="8" borderId="0" xfId="0" applyFont="1" applyFill="1" applyBorder="1"/>
    <xf numFmtId="0" fontId="0" fillId="8" borderId="0" xfId="0" applyFont="1" applyFill="1"/>
    <xf numFmtId="0" fontId="2" fillId="4" borderId="0" xfId="0" applyFont="1" applyFill="1"/>
    <xf numFmtId="0" fontId="2" fillId="4" borderId="0" xfId="0" applyFont="1" applyFill="1" applyAlignment="1">
      <alignment horizontal="center"/>
    </xf>
    <xf numFmtId="0" fontId="0" fillId="4" borderId="1" xfId="0" applyFill="1" applyBorder="1"/>
    <xf numFmtId="0" fontId="7" fillId="8" borderId="0" xfId="0" applyFont="1" applyFill="1"/>
    <xf numFmtId="0" fontId="0" fillId="8" borderId="1" xfId="0" applyFill="1" applyBorder="1" applyAlignment="1">
      <alignment horizontal="center"/>
    </xf>
    <xf numFmtId="0" fontId="5" fillId="8" borderId="0" xfId="0" applyFont="1" applyFill="1"/>
    <xf numFmtId="0" fontId="8" fillId="8" borderId="0" xfId="0" applyFont="1" applyFill="1"/>
    <xf numFmtId="0" fontId="2" fillId="8" borderId="0" xfId="0" applyFont="1" applyFill="1"/>
    <xf numFmtId="49" fontId="2" fillId="8" borderId="0" xfId="0" applyNumberFormat="1" applyFont="1" applyFill="1"/>
    <xf numFmtId="0" fontId="0" fillId="8" borderId="7" xfId="0" applyFill="1" applyBorder="1"/>
    <xf numFmtId="11" fontId="0" fillId="8" borderId="0" xfId="0" applyNumberFormat="1" applyFill="1"/>
    <xf numFmtId="49" fontId="2" fillId="8" borderId="4" xfId="0" applyNumberFormat="1" applyFont="1" applyFill="1" applyBorder="1"/>
    <xf numFmtId="0" fontId="0" fillId="8" borderId="4" xfId="0" applyFill="1" applyBorder="1"/>
    <xf numFmtId="11" fontId="0" fillId="8" borderId="0" xfId="0" applyNumberFormat="1" applyFill="1" applyAlignment="1">
      <alignment horizontal="center"/>
    </xf>
    <xf numFmtId="17" fontId="0" fillId="8" borderId="0" xfId="0" applyNumberFormat="1" applyFill="1" applyAlignment="1">
      <alignment horizontal="center"/>
    </xf>
    <xf numFmtId="49" fontId="2" fillId="8" borderId="0" xfId="0" applyNumberFormat="1" applyFont="1" applyFill="1" applyBorder="1"/>
    <xf numFmtId="49" fontId="7" fillId="8" borderId="0" xfId="0" applyNumberFormat="1" applyFont="1" applyFill="1" applyBorder="1"/>
    <xf numFmtId="0" fontId="0" fillId="8" borderId="9" xfId="0" applyFill="1" applyBorder="1"/>
    <xf numFmtId="0" fontId="0" fillId="8" borderId="6" xfId="0" applyFill="1" applyBorder="1" applyAlignment="1">
      <alignment horizontal="center"/>
    </xf>
    <xf numFmtId="11" fontId="0" fillId="8" borderId="4" xfId="0" applyNumberFormat="1" applyFill="1" applyBorder="1"/>
    <xf numFmtId="0" fontId="0" fillId="8" borderId="6" xfId="0" applyFill="1" applyBorder="1"/>
    <xf numFmtId="0" fontId="12" fillId="8" borderId="0" xfId="1" applyFont="1" applyFill="1"/>
    <xf numFmtId="49" fontId="0" fillId="8" borderId="0" xfId="0" applyNumberFormat="1" applyFill="1"/>
    <xf numFmtId="0" fontId="10" fillId="8" borderId="0" xfId="0" applyFont="1" applyFill="1"/>
    <xf numFmtId="2" fontId="0" fillId="8" borderId="0" xfId="0" applyNumberFormat="1" applyFill="1"/>
    <xf numFmtId="0" fontId="13" fillId="8" borderId="0" xfId="0" applyFont="1" applyFill="1"/>
    <xf numFmtId="0" fontId="0" fillId="8" borderId="0" xfId="0" applyFill="1" applyAlignment="1">
      <alignment horizontal="left"/>
    </xf>
    <xf numFmtId="0" fontId="10" fillId="8" borderId="0" xfId="0" applyFont="1" applyFill="1" applyAlignment="1">
      <alignment horizontal="left"/>
    </xf>
    <xf numFmtId="0" fontId="12" fillId="8" borderId="0" xfId="0" applyFont="1" applyFill="1"/>
    <xf numFmtId="0" fontId="7" fillId="8" borderId="0" xfId="0" applyFont="1" applyFill="1" applyBorder="1"/>
    <xf numFmtId="0" fontId="2" fillId="8" borderId="0" xfId="0" applyFont="1" applyFill="1" applyAlignment="1">
      <alignment horizontal="center"/>
    </xf>
    <xf numFmtId="2" fontId="0" fillId="8" borderId="0" xfId="0" applyNumberFormat="1" applyFill="1" applyAlignment="1">
      <alignment horizontal="center"/>
    </xf>
    <xf numFmtId="0" fontId="2" fillId="8" borderId="0" xfId="0" applyFont="1" applyFill="1" applyBorder="1" applyAlignment="1">
      <alignment horizontal="center" wrapText="1"/>
    </xf>
    <xf numFmtId="0" fontId="2" fillId="8" borderId="0" xfId="0" applyFont="1" applyFill="1" applyBorder="1" applyAlignment="1">
      <alignment horizontal="center" vertical="top" wrapText="1"/>
    </xf>
    <xf numFmtId="0" fontId="20" fillId="8" borderId="0" xfId="0" applyFont="1" applyFill="1" applyBorder="1" applyAlignment="1">
      <alignment horizontal="center" vertical="top" wrapText="1"/>
    </xf>
    <xf numFmtId="0" fontId="0" fillId="8" borderId="0" xfId="0" applyFill="1" applyBorder="1" applyAlignment="1">
      <alignment horizontal="left"/>
    </xf>
    <xf numFmtId="0" fontId="10" fillId="8" borderId="0" xfId="0" applyFont="1" applyFill="1" applyBorder="1" applyAlignment="1">
      <alignment horizontal="left"/>
    </xf>
    <xf numFmtId="0" fontId="12" fillId="8" borderId="0" xfId="0" applyFont="1" applyFill="1" applyBorder="1"/>
    <xf numFmtId="0" fontId="15" fillId="8" borderId="0" xfId="0" applyFont="1" applyFill="1" applyBorder="1" applyAlignment="1">
      <alignment horizontal="center" vertical="top" wrapText="1"/>
    </xf>
    <xf numFmtId="2" fontId="2" fillId="8" borderId="0" xfId="0" applyNumberFormat="1" applyFont="1"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xf numFmtId="0" fontId="12" fillId="8" borderId="0" xfId="0" applyFont="1" applyFill="1" applyBorder="1" applyAlignment="1">
      <alignment horizontal="center"/>
    </xf>
    <xf numFmtId="0" fontId="10" fillId="8" borderId="0" xfId="0" applyFont="1" applyFill="1" applyAlignment="1">
      <alignment horizontal="center"/>
    </xf>
    <xf numFmtId="0" fontId="2" fillId="8" borderId="0" xfId="0" applyFont="1" applyFill="1" applyBorder="1" applyAlignment="1">
      <alignment horizontal="left"/>
    </xf>
    <xf numFmtId="0" fontId="2" fillId="8" borderId="0" xfId="0" applyFont="1" applyFill="1" applyAlignment="1">
      <alignment horizontal="left"/>
    </xf>
    <xf numFmtId="0" fontId="21" fillId="8" borderId="0" xfId="0" applyFont="1" applyFill="1" applyBorder="1" applyAlignment="1">
      <alignment horizontal="center" vertical="center"/>
    </xf>
    <xf numFmtId="0" fontId="21" fillId="8" borderId="0" xfId="0" applyFont="1" applyFill="1" applyBorder="1" applyAlignment="1">
      <alignment horizontal="left" vertical="center"/>
    </xf>
    <xf numFmtId="0" fontId="19" fillId="8" borderId="0" xfId="0" applyFont="1" applyFill="1"/>
    <xf numFmtId="11" fontId="0" fillId="8" borderId="0" xfId="0" applyNumberFormat="1" applyFill="1" applyBorder="1" applyAlignment="1">
      <alignment horizontal="center"/>
    </xf>
    <xf numFmtId="11" fontId="0" fillId="8" borderId="6" xfId="0" applyNumberFormat="1" applyFill="1" applyBorder="1" applyAlignment="1">
      <alignment horizontal="center"/>
    </xf>
    <xf numFmtId="0" fontId="2" fillId="8" borderId="0" xfId="0" applyFont="1" applyFill="1" applyBorder="1" applyAlignment="1">
      <alignment horizontal="left" vertical="center"/>
    </xf>
    <xf numFmtId="0" fontId="0" fillId="8" borderId="0" xfId="0" applyFill="1" applyBorder="1" applyAlignment="1">
      <alignment horizontal="center" vertical="center" wrapText="1"/>
    </xf>
    <xf numFmtId="0" fontId="7" fillId="8" borderId="0" xfId="0" applyFont="1" applyFill="1" applyBorder="1" applyAlignment="1">
      <alignment horizontal="left" vertical="center"/>
    </xf>
    <xf numFmtId="0" fontId="2" fillId="8" borderId="0" xfId="4" applyFill="1"/>
    <xf numFmtId="0" fontId="2" fillId="8" borderId="0" xfId="4" applyFill="1" applyBorder="1"/>
    <xf numFmtId="0" fontId="29" fillId="8" borderId="0" xfId="0" applyFont="1" applyFill="1"/>
    <xf numFmtId="1" fontId="11" fillId="4" borderId="3" xfId="0" applyNumberFormat="1" applyFont="1" applyFill="1" applyBorder="1"/>
    <xf numFmtId="1" fontId="11" fillId="4" borderId="5" xfId="0" applyNumberFormat="1" applyFont="1" applyFill="1" applyBorder="1"/>
    <xf numFmtId="1" fontId="11" fillId="4" borderId="8" xfId="0" applyNumberFormat="1" applyFont="1" applyFill="1" applyBorder="1"/>
    <xf numFmtId="1" fontId="11" fillId="4" borderId="10" xfId="0" applyNumberFormat="1" applyFont="1" applyFill="1" applyBorder="1"/>
    <xf numFmtId="164" fontId="0" fillId="0" borderId="4" xfId="0" applyNumberFormat="1" applyBorder="1" applyAlignment="1">
      <alignment horizontal="center"/>
    </xf>
    <xf numFmtId="164" fontId="0" fillId="0" borderId="9" xfId="0" applyNumberFormat="1" applyBorder="1" applyAlignment="1">
      <alignment horizontal="center"/>
    </xf>
    <xf numFmtId="0" fontId="30" fillId="0" borderId="3" xfId="0" applyFont="1" applyFill="1" applyBorder="1" applyAlignment="1">
      <alignment horizontal="center"/>
    </xf>
    <xf numFmtId="0" fontId="30" fillId="0" borderId="5" xfId="0" applyFont="1" applyFill="1" applyBorder="1" applyAlignment="1">
      <alignment horizontal="center"/>
    </xf>
    <xf numFmtId="0" fontId="24" fillId="0" borderId="3" xfId="0" applyFont="1" applyFill="1" applyBorder="1" applyAlignment="1">
      <alignment horizontal="center"/>
    </xf>
    <xf numFmtId="0" fontId="24" fillId="0" borderId="4" xfId="0" applyFont="1" applyFill="1" applyBorder="1" applyAlignment="1">
      <alignment horizontal="center"/>
    </xf>
    <xf numFmtId="0" fontId="30" fillId="0" borderId="4" xfId="0" applyFont="1" applyFill="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8" borderId="6" xfId="0" applyFill="1" applyBorder="1" applyAlignment="1">
      <alignment horizontal="center"/>
    </xf>
    <xf numFmtId="0" fontId="0" fillId="8" borderId="0" xfId="0" applyFill="1" applyBorder="1" applyAlignment="1">
      <alignment horizontal="center"/>
    </xf>
    <xf numFmtId="0" fontId="2" fillId="8" borderId="0" xfId="0" applyFont="1" applyFill="1" applyBorder="1" applyAlignment="1">
      <alignment horizontal="left"/>
    </xf>
    <xf numFmtId="0" fontId="0" fillId="8" borderId="0" xfId="0" applyFill="1" applyBorder="1" applyAlignment="1">
      <alignment horizontal="left"/>
    </xf>
    <xf numFmtId="0" fontId="9" fillId="0" borderId="4" xfId="0" applyFont="1" applyBorder="1" applyAlignment="1">
      <alignment horizontal="center"/>
    </xf>
    <xf numFmtId="0" fontId="2" fillId="0" borderId="4" xfId="0" applyFont="1" applyBorder="1" applyAlignment="1">
      <alignment horizontal="center"/>
    </xf>
    <xf numFmtId="0" fontId="0" fillId="0" borderId="4" xfId="0" applyBorder="1" applyAlignment="1">
      <alignment horizontal="center"/>
    </xf>
    <xf numFmtId="0" fontId="2" fillId="0" borderId="4" xfId="0" applyFont="1" applyFill="1" applyBorder="1" applyAlignment="1">
      <alignment horizontal="center"/>
    </xf>
    <xf numFmtId="0" fontId="0" fillId="0" borderId="5" xfId="0" applyFill="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13" xfId="0" applyBorder="1" applyAlignment="1">
      <alignment horizontal="center"/>
    </xf>
    <xf numFmtId="0" fontId="0" fillId="0" borderId="15" xfId="0" applyBorder="1" applyAlignment="1">
      <alignment horizontal="center"/>
    </xf>
  </cellXfs>
  <cellStyles count="5">
    <cellStyle name="Normal" xfId="0" builtinId="0"/>
    <cellStyle name="Normal 2" xfId="2"/>
    <cellStyle name="Normal 3" xfId="1"/>
    <cellStyle name="Normal_Infect" xfId="4"/>
    <cellStyle name="Not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0</xdr:rowOff>
        </xdr:from>
        <xdr:to>
          <xdr:col>9</xdr:col>
          <xdr:colOff>114300</xdr:colOff>
          <xdr:row>7</xdr:row>
          <xdr:rowOff>171450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Model Setup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D/CERA/Risk%20Analysis/Project%20files/EU1203%20EFSA%20BSE%20infectivity/BSE%20Infectivity%20Directory%20160413/Model/Mesenteric%20nerve%20w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8"/>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C00000"/>
  </sheetPr>
  <dimension ref="A1:AD60"/>
  <sheetViews>
    <sheetView workbookViewId="0"/>
  </sheetViews>
  <sheetFormatPr defaultRowHeight="15" x14ac:dyDescent="0.25"/>
  <sheetData>
    <row r="1" spans="1:30"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25">
      <c r="A2" s="6"/>
      <c r="B2" s="6" t="s">
        <v>614</v>
      </c>
      <c r="C2" s="6"/>
      <c r="D2" s="6"/>
      <c r="E2" s="6"/>
      <c r="F2" s="6"/>
      <c r="G2" s="6" t="s">
        <v>605</v>
      </c>
      <c r="H2" s="6"/>
      <c r="I2" s="6"/>
      <c r="J2" s="6"/>
      <c r="K2" s="6"/>
      <c r="L2" s="6"/>
      <c r="M2" s="6"/>
      <c r="N2" s="6"/>
      <c r="O2" s="6"/>
      <c r="P2" s="6"/>
      <c r="Q2" s="6"/>
      <c r="R2" s="6"/>
      <c r="S2" s="6"/>
      <c r="T2" s="6"/>
      <c r="U2" s="6"/>
      <c r="V2" s="6"/>
      <c r="W2" s="6"/>
      <c r="X2" s="6"/>
      <c r="Y2" s="6"/>
      <c r="Z2" s="6"/>
      <c r="AA2" s="6"/>
      <c r="AB2" s="6"/>
      <c r="AC2" s="6"/>
      <c r="AD2" s="6"/>
    </row>
    <row r="3" spans="1:30"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25">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25">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25">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2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2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25">
      <c r="A13" s="6"/>
      <c r="B13" s="6"/>
      <c r="C13" s="6"/>
      <c r="D13" s="6"/>
      <c r="E13" s="6"/>
      <c r="F13" s="6"/>
      <c r="G13" s="6"/>
      <c r="H13" s="6"/>
      <c r="I13" s="6"/>
      <c r="J13" s="383"/>
      <c r="K13" s="383"/>
      <c r="L13" s="6"/>
      <c r="M13" s="6"/>
      <c r="N13" s="6"/>
      <c r="O13" s="6"/>
      <c r="P13" s="6"/>
      <c r="Q13" s="6"/>
      <c r="R13" s="6"/>
      <c r="S13" s="6"/>
      <c r="T13" s="6"/>
      <c r="U13" s="6"/>
      <c r="V13" s="6"/>
      <c r="W13" s="6"/>
      <c r="X13" s="6"/>
      <c r="Y13" s="6"/>
      <c r="Z13" s="6"/>
      <c r="AA13" s="6"/>
      <c r="AB13" s="6"/>
      <c r="AC13" s="6"/>
      <c r="AD13" s="6"/>
    </row>
    <row r="14" spans="1:30" x14ac:dyDescent="0.25">
      <c r="A14" s="6"/>
      <c r="B14" s="6"/>
      <c r="C14" s="6"/>
      <c r="D14" s="6"/>
      <c r="E14" s="6"/>
      <c r="F14" s="6"/>
      <c r="G14" s="6"/>
      <c r="H14" s="6"/>
      <c r="I14" s="6"/>
      <c r="J14" s="383"/>
      <c r="K14" s="383"/>
      <c r="L14" s="6"/>
      <c r="M14" s="6"/>
      <c r="N14" s="6"/>
      <c r="O14" s="6"/>
      <c r="P14" s="6"/>
      <c r="Q14" s="6"/>
      <c r="R14" s="6"/>
      <c r="S14" s="6"/>
      <c r="T14" s="6"/>
      <c r="U14" s="6"/>
      <c r="V14" s="6"/>
      <c r="W14" s="6"/>
      <c r="X14" s="6"/>
      <c r="Y14" s="6"/>
      <c r="Z14" s="6"/>
      <c r="AA14" s="6"/>
      <c r="AB14" s="6"/>
      <c r="AC14" s="6"/>
      <c r="AD14" s="6"/>
    </row>
    <row r="15" spans="1:30"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2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2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2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2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OpenForm_Click">
                <anchor moveWithCells="1" sizeWithCells="1">
                  <from>
                    <xdr:col>6</xdr:col>
                    <xdr:colOff>0</xdr:colOff>
                    <xdr:row>6</xdr:row>
                    <xdr:rowOff>0</xdr:rowOff>
                  </from>
                  <to>
                    <xdr:col>9</xdr:col>
                    <xdr:colOff>114300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61"/>
  <sheetViews>
    <sheetView workbookViewId="0"/>
  </sheetViews>
  <sheetFormatPr defaultRowHeight="15" x14ac:dyDescent="0.25"/>
  <cols>
    <col min="1" max="1" width="3" customWidth="1"/>
    <col min="4" max="4" width="4.42578125" customWidth="1"/>
    <col min="5" max="5" width="7.5703125" style="1" customWidth="1"/>
    <col min="6" max="6" width="10" customWidth="1"/>
    <col min="7" max="7" width="10.7109375" customWidth="1"/>
    <col min="8" max="8" width="11.7109375" customWidth="1"/>
    <col min="9" max="9" width="11.140625" customWidth="1"/>
    <col min="10" max="10" width="10.5703125" customWidth="1"/>
    <col min="11" max="11" width="10" customWidth="1"/>
    <col min="12" max="16" width="9.85546875" customWidth="1"/>
  </cols>
  <sheetData>
    <row r="1" spans="1:21" ht="18" x14ac:dyDescent="0.25">
      <c r="A1" s="387" t="s">
        <v>565</v>
      </c>
      <c r="B1" s="388"/>
      <c r="C1" s="388"/>
      <c r="D1" s="388"/>
      <c r="E1" s="389"/>
      <c r="F1" s="388"/>
      <c r="G1" s="388"/>
      <c r="H1" s="388"/>
      <c r="I1" s="388"/>
      <c r="J1" s="388"/>
      <c r="K1" s="388"/>
      <c r="L1" s="388"/>
      <c r="M1" s="388"/>
      <c r="N1" s="388"/>
      <c r="O1" s="388"/>
      <c r="P1" s="388"/>
      <c r="Q1" s="388"/>
      <c r="R1" s="388"/>
      <c r="S1" s="388"/>
      <c r="T1" s="388"/>
      <c r="U1" s="388"/>
    </row>
    <row r="2" spans="1:21" x14ac:dyDescent="0.25">
      <c r="A2" s="388"/>
      <c r="B2" s="390"/>
      <c r="C2" s="391"/>
      <c r="D2" s="391"/>
      <c r="E2" s="392"/>
      <c r="F2" s="393"/>
      <c r="G2" s="393"/>
      <c r="H2" s="394"/>
      <c r="I2" s="395"/>
      <c r="J2" s="388"/>
      <c r="K2" s="388"/>
      <c r="L2" s="388"/>
      <c r="M2" s="388"/>
      <c r="N2" s="388"/>
      <c r="O2" s="388"/>
      <c r="P2" s="388"/>
      <c r="Q2" s="388"/>
      <c r="R2" s="388"/>
      <c r="S2" s="388"/>
      <c r="T2" s="388"/>
      <c r="U2" s="388"/>
    </row>
    <row r="3" spans="1:21" ht="18" x14ac:dyDescent="0.25">
      <c r="A3" s="396" t="s">
        <v>566</v>
      </c>
      <c r="B3" s="391"/>
      <c r="C3" s="391"/>
      <c r="D3" s="391"/>
      <c r="E3" s="392"/>
      <c r="F3" s="391"/>
      <c r="G3" s="391"/>
      <c r="H3" s="391"/>
      <c r="I3" s="391"/>
      <c r="J3" s="397" t="s">
        <v>567</v>
      </c>
      <c r="K3" s="397" t="s">
        <v>568</v>
      </c>
      <c r="L3" s="388"/>
      <c r="M3" s="388"/>
      <c r="N3" s="388"/>
      <c r="O3" s="388"/>
      <c r="P3" s="388"/>
      <c r="Q3" s="388"/>
      <c r="R3" s="388"/>
      <c r="S3" s="388"/>
      <c r="T3" s="388"/>
      <c r="U3" s="388"/>
    </row>
    <row r="4" spans="1:21" x14ac:dyDescent="0.25">
      <c r="A4" s="390"/>
      <c r="B4" s="319" t="s">
        <v>569</v>
      </c>
      <c r="C4" s="320"/>
      <c r="D4" s="320"/>
      <c r="E4" s="53"/>
      <c r="F4" s="321" t="s">
        <v>570</v>
      </c>
      <c r="G4" s="322">
        <f ca="1">_xll.RiskOutput("N_carcases")+Surv!M36</f>
        <v>2832</v>
      </c>
      <c r="H4" s="323" t="s">
        <v>571</v>
      </c>
      <c r="I4" s="320"/>
      <c r="J4" s="325">
        <v>1261</v>
      </c>
      <c r="K4" s="325">
        <v>2484</v>
      </c>
      <c r="L4" s="388"/>
      <c r="M4" s="388"/>
      <c r="N4" s="388"/>
      <c r="O4" s="388"/>
      <c r="P4" s="388"/>
      <c r="Q4" s="388"/>
      <c r="R4" s="388"/>
      <c r="S4" s="388"/>
      <c r="T4" s="388"/>
      <c r="U4" s="388"/>
    </row>
    <row r="5" spans="1:21" x14ac:dyDescent="0.25">
      <c r="A5" s="390"/>
      <c r="B5" s="319" t="s">
        <v>572</v>
      </c>
      <c r="C5" s="320"/>
      <c r="D5" s="320"/>
      <c r="E5" s="53"/>
      <c r="F5" s="321" t="s">
        <v>573</v>
      </c>
      <c r="G5" s="322">
        <f ca="1">_xll.RiskOutput()+N_carcases*Inf</f>
        <v>2886.3490233706252</v>
      </c>
      <c r="H5" s="323" t="s">
        <v>574</v>
      </c>
      <c r="I5" s="320"/>
      <c r="J5" s="326"/>
      <c r="K5" s="324"/>
      <c r="L5" s="388"/>
      <c r="M5" s="388"/>
      <c r="N5" s="388"/>
      <c r="O5" s="388"/>
      <c r="P5" s="388"/>
      <c r="Q5" s="388"/>
      <c r="R5" s="388"/>
      <c r="S5" s="388"/>
      <c r="T5" s="388"/>
      <c r="U5" s="388"/>
    </row>
    <row r="6" spans="1:21" s="2" customFormat="1" x14ac:dyDescent="0.25">
      <c r="A6" s="390"/>
      <c r="B6" s="390"/>
      <c r="C6" s="391"/>
      <c r="D6" s="391"/>
      <c r="E6" s="392"/>
      <c r="F6" s="393"/>
      <c r="G6" s="393"/>
      <c r="H6" s="393"/>
      <c r="I6" s="394"/>
      <c r="J6" s="391"/>
      <c r="K6" s="391"/>
      <c r="L6" s="388"/>
      <c r="M6" s="388"/>
      <c r="N6" s="388"/>
      <c r="O6" s="388"/>
      <c r="P6" s="388"/>
      <c r="Q6" s="388"/>
      <c r="R6" s="388"/>
      <c r="S6" s="388"/>
      <c r="T6" s="388"/>
      <c r="U6" s="388"/>
    </row>
    <row r="7" spans="1:21" s="2" customFormat="1" ht="18" x14ac:dyDescent="0.25">
      <c r="A7" s="396" t="s">
        <v>575</v>
      </c>
      <c r="B7" s="390"/>
      <c r="C7" s="391"/>
      <c r="D7" s="391"/>
      <c r="E7" s="392"/>
      <c r="F7" s="393"/>
      <c r="G7" s="393"/>
      <c r="H7" s="393"/>
      <c r="I7" s="394"/>
      <c r="J7" s="391"/>
      <c r="K7" s="388"/>
      <c r="L7" s="388"/>
      <c r="M7" s="388"/>
      <c r="N7" s="388"/>
      <c r="O7" s="388"/>
      <c r="P7" s="388"/>
      <c r="Q7" s="388"/>
      <c r="R7" s="388"/>
      <c r="S7" s="388"/>
      <c r="T7" s="388"/>
      <c r="U7" s="388"/>
    </row>
    <row r="8" spans="1:21" s="2" customFormat="1" ht="15" customHeight="1" x14ac:dyDescent="0.25">
      <c r="A8" s="396"/>
      <c r="B8" s="390"/>
      <c r="C8" s="391"/>
      <c r="D8" s="391"/>
      <c r="E8" s="392"/>
      <c r="F8" s="393"/>
      <c r="G8" s="393"/>
      <c r="H8" s="465" t="s">
        <v>576</v>
      </c>
      <c r="I8" s="466"/>
      <c r="J8" s="466"/>
      <c r="K8" s="463" t="s">
        <v>577</v>
      </c>
      <c r="L8" s="467"/>
      <c r="M8" s="467"/>
      <c r="N8" s="464"/>
      <c r="O8" s="388"/>
      <c r="P8" s="388"/>
      <c r="Q8" s="388"/>
      <c r="R8" s="388"/>
      <c r="S8" s="388"/>
      <c r="T8" s="388"/>
      <c r="U8" s="388"/>
    </row>
    <row r="9" spans="1:21" x14ac:dyDescent="0.25">
      <c r="A9" s="391"/>
      <c r="B9" s="247"/>
      <c r="C9" s="57"/>
      <c r="D9" s="57"/>
      <c r="E9" s="342"/>
      <c r="F9" s="463" t="s">
        <v>601</v>
      </c>
      <c r="G9" s="464"/>
      <c r="H9" s="351" t="s">
        <v>597</v>
      </c>
      <c r="I9" s="19" t="s">
        <v>597</v>
      </c>
      <c r="J9" s="344" t="s">
        <v>226</v>
      </c>
      <c r="K9" s="346" t="s">
        <v>597</v>
      </c>
      <c r="L9" s="344" t="s">
        <v>226</v>
      </c>
      <c r="M9" s="359" t="s">
        <v>578</v>
      </c>
      <c r="N9" s="360" t="s">
        <v>579</v>
      </c>
      <c r="O9" s="397" t="s">
        <v>182</v>
      </c>
      <c r="P9" s="388"/>
      <c r="Q9" s="388"/>
      <c r="R9" s="388"/>
      <c r="S9" s="388"/>
      <c r="T9" s="388"/>
      <c r="U9" s="388"/>
    </row>
    <row r="10" spans="1:21" x14ac:dyDescent="0.25">
      <c r="A10" s="391"/>
      <c r="B10" s="116"/>
      <c r="C10" s="48"/>
      <c r="D10" s="48"/>
      <c r="E10" s="19"/>
      <c r="F10" s="327"/>
      <c r="G10" s="71"/>
      <c r="H10" s="351" t="s">
        <v>598</v>
      </c>
      <c r="I10" s="19" t="s">
        <v>599</v>
      </c>
      <c r="J10" s="344"/>
      <c r="K10" s="351" t="s">
        <v>600</v>
      </c>
      <c r="L10" s="19" t="s">
        <v>600</v>
      </c>
      <c r="M10" s="361"/>
      <c r="N10" s="362"/>
      <c r="O10" s="388" t="s">
        <v>182</v>
      </c>
      <c r="P10" s="388"/>
      <c r="Q10" s="388"/>
      <c r="R10" s="388"/>
      <c r="S10" s="388"/>
      <c r="T10" s="388"/>
      <c r="U10" s="388"/>
    </row>
    <row r="11" spans="1:21" s="354" customFormat="1" x14ac:dyDescent="0.25">
      <c r="A11" s="398"/>
      <c r="B11" s="357"/>
      <c r="C11" s="264"/>
      <c r="D11" s="264"/>
      <c r="E11" s="285" t="s">
        <v>413</v>
      </c>
      <c r="F11" s="355" t="s">
        <v>580</v>
      </c>
      <c r="G11" s="364" t="s">
        <v>581</v>
      </c>
      <c r="H11" s="358" t="s">
        <v>582</v>
      </c>
      <c r="I11" s="17" t="s">
        <v>583</v>
      </c>
      <c r="J11" s="271" t="s">
        <v>230</v>
      </c>
      <c r="K11" s="358" t="s">
        <v>582</v>
      </c>
      <c r="L11" s="17" t="s">
        <v>230</v>
      </c>
      <c r="M11" s="363"/>
      <c r="N11" s="356"/>
      <c r="O11" s="399" t="s">
        <v>182</v>
      </c>
      <c r="P11" s="399"/>
      <c r="Q11" s="399"/>
      <c r="R11" s="399"/>
      <c r="S11" s="399"/>
      <c r="T11" s="399"/>
      <c r="U11" s="399"/>
    </row>
    <row r="12" spans="1:21" x14ac:dyDescent="0.25">
      <c r="A12" s="391"/>
      <c r="B12" s="220" t="s">
        <v>2</v>
      </c>
      <c r="C12" s="48"/>
      <c r="D12" s="48"/>
      <c r="E12" s="19">
        <v>1</v>
      </c>
      <c r="F12" s="339" t="b">
        <f>IF(SRM!F7=1,TRUE,IF(SRM!G7=1,FALSE,IF(AND(Age_slaughter&gt;SRM!I7,Age_slaughter&lt;SRM!J7),TRUE,FALSE)))</f>
        <v>0</v>
      </c>
      <c r="G12" s="340" t="b">
        <f>IF(Processing!F28=0,FALSE,TRUE)</f>
        <v>0</v>
      </c>
      <c r="H12" s="329">
        <f ca="1">_xll.RiskOutput("Inf_1")+IF(F12=TRUE,0,IF(AND(F12=FALSE,G12=FALSE),Weight_1*TitreBO_1,Weight_1*TitreBO_1*(1-P_processing_1)))</f>
        <v>0.16128797975422421</v>
      </c>
      <c r="I12" s="244">
        <f ca="1">_xll.RiskOutput("Infm_1")+IF(F12=TRUE,0,IF(AND(F12=FALSE,G12=FALSE),(Weight_1*TitreBO_1)/Abattoir!K22,(Weight_1*TitreBO_1*(1-P_processing_1))/Abattoir!K22))</f>
        <v>0.16128797975422421</v>
      </c>
      <c r="J12" s="352">
        <f ca="1">IF(F12=TRUE,0,Abattoir!K22)</f>
        <v>1</v>
      </c>
      <c r="K12" s="329" t="e">
        <f>_xll.RiskOutput()+IF(Cumul_carcases=Fixed_carcases,CInf_1,NA())</f>
        <v>#N/A</v>
      </c>
      <c r="L12" s="244" t="e">
        <f>_xll.RiskOutput()+IF(Cumul_carcases=Fixed_carcases,CLengh_1,NA())</f>
        <v>#N/A</v>
      </c>
      <c r="M12" s="373">
        <v>1512.49951171875</v>
      </c>
      <c r="N12" s="374">
        <v>1149.5</v>
      </c>
      <c r="O12" s="388"/>
      <c r="P12" s="388"/>
      <c r="Q12" s="388"/>
      <c r="R12" s="388"/>
      <c r="S12" s="388"/>
      <c r="T12" s="388"/>
      <c r="U12" s="388"/>
    </row>
    <row r="13" spans="1:21" x14ac:dyDescent="0.25">
      <c r="A13" s="391"/>
      <c r="B13" s="220" t="s">
        <v>3</v>
      </c>
      <c r="C13" s="48"/>
      <c r="D13" s="48"/>
      <c r="E13" s="19">
        <v>2</v>
      </c>
      <c r="F13" s="339" t="b">
        <f>IF(SRM!F8=1,TRUE,IF(SRM!G8=1,FALSE,IF(AND(Age_slaughter&gt;SRM!I8,Age_slaughter&lt;SRM!J8),TRUE,FALSE)))</f>
        <v>0</v>
      </c>
      <c r="G13" s="340" t="b">
        <f>IF(Processing!F29=0,FALSE,TRUE)</f>
        <v>0</v>
      </c>
      <c r="H13" s="329">
        <f ca="1">_xll.RiskOutput("Inf_2")+IF(F13=TRUE,0,IF(AND(F13=FALSE,G13=FALSE),Weight_2*TitreBO_2,Weight_2*TitreBO_2*(1-P_processing_2)))</f>
        <v>4.1862865934981841E-6</v>
      </c>
      <c r="I13" s="244">
        <f ca="1">_xll.RiskOutput("Infm_2")+IF(F13=TRUE,0,IF(AND(F13=FALSE,G13=FALSE),(Weight_2*TitreBO_2)/Abattoir!K23,(Weight_2*TitreBO_2*(1-P_processing_2))/Abattoir!K23))</f>
        <v>3.4885721612484869E-6</v>
      </c>
      <c r="J13" s="352">
        <f ca="1">IF(F13=TRUE,0,Abattoir!K23)</f>
        <v>1.2</v>
      </c>
      <c r="K13" s="329" t="e">
        <f>_xll.RiskOutput()+IF(Cumul_carcases=Fixed_carcases,CInf_2,NA())</f>
        <v>#N/A</v>
      </c>
      <c r="L13" s="244" t="e">
        <f>_xll.RiskOutput()+IF(Cumul_carcases=Fixed_carcases,CLength_2,NA())</f>
        <v>#N/A</v>
      </c>
      <c r="M13" s="373">
        <v>4.9634449183940887E-2</v>
      </c>
      <c r="N13" s="374">
        <v>1446.8935546875</v>
      </c>
      <c r="O13" s="388"/>
      <c r="P13" s="388"/>
      <c r="Q13" s="388"/>
      <c r="R13" s="388"/>
      <c r="S13" s="388"/>
      <c r="T13" s="388"/>
      <c r="U13" s="388"/>
    </row>
    <row r="14" spans="1:21" x14ac:dyDescent="0.25">
      <c r="A14" s="391"/>
      <c r="B14" s="220" t="s">
        <v>7</v>
      </c>
      <c r="C14" s="48"/>
      <c r="D14" s="48"/>
      <c r="E14" s="19">
        <v>3</v>
      </c>
      <c r="F14" s="339" t="b">
        <f>IF(SRM!F9=1,TRUE,IF(SRM!G9=1,FALSE,IF(AND(Age_slaughter&gt;SRM!I9,Age_slaughter&lt;SRM!J9),TRUE,FALSE)))</f>
        <v>0</v>
      </c>
      <c r="G14" s="340" t="b">
        <f>IF(Processing!F30=0,FALSE,TRUE)</f>
        <v>0</v>
      </c>
      <c r="H14" s="329">
        <f ca="1">_xll.RiskOutput("Inf_3")+IF(F14=TRUE,0,IF(AND(F14=FALSE,G14=FALSE),(Weight_3i*TitreBO_3i)+(Weight_3ii*TitreBO_3ii),((Weight_3i*TitreBO_3i)+(Weight_3ii*TitreBO_3ii))*(1-P_processing_3)))</f>
        <v>0.82111559355398656</v>
      </c>
      <c r="I14" s="244">
        <f ca="1">_xll.RiskOutput("Infm_3")+IF(F14=TRUE,0,IF(AND(F14=FALSE,G14=FALSE),((Weight_3i*TitreBO_3i)+(Weight_3ii*TitreBO_3ii))/Abattoir!K24,((Weight_3i*TitreBO_3i)+(Weight_3ii*TitreBO_3ii))*(1-P_processing_3)/Abattoir!K24))</f>
        <v>1.7928288068864335E-2</v>
      </c>
      <c r="J14" s="352">
        <f ca="1">IF(F14=TRUE,0,Abattoir!K24)</f>
        <v>45.8</v>
      </c>
      <c r="K14" s="329" t="e">
        <f>_xll.RiskOutput()+IF(Cumul_carcases=Fixed_carcases,CInf_3,NA())</f>
        <v>#N/A</v>
      </c>
      <c r="L14" s="244" t="e">
        <f>_xll.RiskOutput()+IF(Cumul_carcases=Fixed_carcases,CLength_3,NA())</f>
        <v>#N/A</v>
      </c>
      <c r="M14" s="373">
        <v>7592.2099609375</v>
      </c>
      <c r="N14" s="374">
        <v>52682.84375</v>
      </c>
      <c r="O14" s="388"/>
      <c r="P14" s="388"/>
      <c r="Q14" s="388"/>
      <c r="R14" s="388"/>
      <c r="S14" s="388"/>
      <c r="T14" s="388"/>
      <c r="U14" s="388"/>
    </row>
    <row r="15" spans="1:21" x14ac:dyDescent="0.25">
      <c r="A15" s="391"/>
      <c r="B15" s="220" t="s">
        <v>4</v>
      </c>
      <c r="C15" s="48"/>
      <c r="D15" s="48"/>
      <c r="E15" s="19">
        <v>4</v>
      </c>
      <c r="F15" s="339" t="b">
        <f>IF(SRM!F10=1,TRUE,IF(SRM!G10=1,FALSE,IF(AND(Age_slaughter&gt;SRM!I10,Age_slaughter&lt;SRM!J10),TRUE,FALSE)))</f>
        <v>0</v>
      </c>
      <c r="G15" s="340" t="b">
        <f>IF(Processing!F31=0,FALSE,TRUE)</f>
        <v>0</v>
      </c>
      <c r="H15" s="329">
        <f ca="1">_xll.RiskOutput("Inf_4")+IF(F15=TRUE,0,IF(AND(F15=FALSE,G15=FALSE),Weight_4*TitreBO_4,Weight_4*TitreBO_4*(1-P_processing_4)))</f>
        <v>3.5814193715159003E-2</v>
      </c>
      <c r="I15" s="244">
        <f ca="1">_xll.RiskOutput("Infm_4")+IF(F15=TRUE,0,IF(AND(F15=FALSE,G15=FALSE),(Weight_4*TitreBO_4)/Abattoir!K28,(Weight_4*TitreBO_4*(1-P_processing_4))/Abattoir!K28))</f>
        <v>4.7752258286878672E-2</v>
      </c>
      <c r="J15" s="352">
        <f ca="1">IF(F15=TRUE,0,Abattoir!K28)</f>
        <v>0.75</v>
      </c>
      <c r="K15" s="329" t="e">
        <f>_xll.RiskOutput()+IF(Cumul_carcases=Fixed_carcases,CInf_4,NA())</f>
        <v>#N/A</v>
      </c>
      <c r="L15" s="244" t="e">
        <f>_xll.RiskOutput()+IF(Cumul_carcases=Fixed_carcases,CLength_4,NA())</f>
        <v>#N/A</v>
      </c>
      <c r="M15" s="373">
        <v>279.1961669921875</v>
      </c>
      <c r="N15" s="374">
        <v>890.25</v>
      </c>
      <c r="O15" s="388"/>
      <c r="P15" s="388"/>
      <c r="Q15" s="388"/>
      <c r="R15" s="388"/>
      <c r="S15" s="388"/>
      <c r="T15" s="388"/>
      <c r="U15" s="388"/>
    </row>
    <row r="16" spans="1:21" x14ac:dyDescent="0.25">
      <c r="A16" s="391"/>
      <c r="B16" s="220" t="s">
        <v>5</v>
      </c>
      <c r="C16" s="48"/>
      <c r="D16" s="48"/>
      <c r="E16" s="19">
        <v>5</v>
      </c>
      <c r="F16" s="339" t="b">
        <f>IF(SRM!F11=1,TRUE,IF(SRM!G11=1,FALSE,IF(AND(Age_slaughter&gt;SRM!I11,Age_slaughter&lt;SRM!J11),TRUE,FALSE)))</f>
        <v>0</v>
      </c>
      <c r="G16" s="340" t="b">
        <f>IF(Processing!F32=0,FALSE,TRUE)</f>
        <v>0</v>
      </c>
      <c r="H16" s="329">
        <f ca="1">_xll.RiskOutput("Inf_5")+IF(F16=TRUE,0,IF(AND(F16=FALSE,G16=FALSE),Weight_5*TitreBO_5,Weight_5*TitreBO_5*(1-P_processing_5)))</f>
        <v>3.8374293773733363E-5</v>
      </c>
      <c r="I16" s="244">
        <f ca="1">_xll.RiskOutput("Infm_5")+IF(F16=TRUE,0,IF(AND(F16=FALSE,G16=FALSE),(Weight_5*TitreBO_5)/Abattoir!K29,(Weight_5*TitreBO_5*(1-P_processing_5))/Abattoir!K29))</f>
        <v>3.4885721612484873E-6</v>
      </c>
      <c r="J16" s="352">
        <f ca="1">IF(F16=TRUE,0,Abattoir!K29)</f>
        <v>11</v>
      </c>
      <c r="K16" s="329" t="e">
        <f>_xll.RiskOutput()+IF(Cumul_carcases=Fixed_carcases,CInf_5,NA())</f>
        <v>#N/A</v>
      </c>
      <c r="L16" s="244" t="e">
        <f>_xll.RiskOutput()+IF(Cumul_carcases=Fixed_carcases,CLength_5,NA())</f>
        <v>#N/A</v>
      </c>
      <c r="M16" s="373">
        <v>0.41533344984054565</v>
      </c>
      <c r="N16" s="374">
        <v>12411.265625</v>
      </c>
      <c r="O16" s="388"/>
      <c r="P16" s="388"/>
      <c r="Q16" s="388"/>
      <c r="R16" s="388"/>
      <c r="S16" s="388"/>
      <c r="T16" s="388"/>
      <c r="U16" s="388"/>
    </row>
    <row r="17" spans="1:21" x14ac:dyDescent="0.25">
      <c r="A17" s="391"/>
      <c r="B17" s="220" t="s">
        <v>214</v>
      </c>
      <c r="C17" s="48"/>
      <c r="D17" s="48"/>
      <c r="E17" s="19">
        <v>6</v>
      </c>
      <c r="F17" s="339" t="b">
        <f>IF(SRM!F12=1,TRUE,IF(SRM!G12=1,FALSE,IF(AND(Age_slaughter&gt;SRM!I12,Age_slaughter&lt;SRM!J12),TRUE,FALSE)))</f>
        <v>0</v>
      </c>
      <c r="G17" s="340" t="b">
        <f>IF(Processing!F33=0,FALSE,TRUE)</f>
        <v>0</v>
      </c>
      <c r="H17" s="329">
        <f ca="1">_xll.RiskOutput("Inf_6")+IF(F17=TRUE,0,IF(AND(F17=FALSE,G17=FALSE),Weight_6*TitreBO_6,Weight_6*TitreBO_6*(1-P_processing_6)))</f>
        <v>3.345692661331944E-8</v>
      </c>
      <c r="I17" s="331"/>
      <c r="J17" s="331"/>
      <c r="K17" s="329" t="e">
        <f>_xll.RiskOutput()+IF(Cumul_carcases=Fixed_carcases,CInf_6,NA())</f>
        <v>#N/A</v>
      </c>
      <c r="L17" s="197"/>
      <c r="M17" s="373">
        <v>5.9556685300776735E-5</v>
      </c>
      <c r="N17" s="374">
        <v>0</v>
      </c>
      <c r="O17" s="388"/>
      <c r="P17" s="388"/>
      <c r="Q17" s="388"/>
      <c r="R17" s="388"/>
      <c r="S17" s="388"/>
      <c r="T17" s="388"/>
      <c r="U17" s="388"/>
    </row>
    <row r="18" spans="1:21" x14ac:dyDescent="0.25">
      <c r="A18" s="391"/>
      <c r="B18" s="220" t="s">
        <v>6</v>
      </c>
      <c r="C18" s="48"/>
      <c r="D18" s="48"/>
      <c r="E18" s="19">
        <v>7</v>
      </c>
      <c r="F18" s="339" t="b">
        <f>IF(SRM!F13=1,TRUE,IF(SRM!G13=1,FALSE,IF(AND(Age_slaughter&gt;SRM!I13,Age_slaughter&lt;SRM!J13),TRUE,FALSE)))</f>
        <v>0</v>
      </c>
      <c r="G18" s="340" t="b">
        <f>IF(Processing!F34=0,FALSE,TRUE)</f>
        <v>0</v>
      </c>
      <c r="H18" s="329">
        <f ca="1">_xll.RiskOutput("Inf_7")+IF(F18=TRUE,0,IF(AND(F18=FALSE,G18=FALSE),Weight_7*TitreBO_7,Weight_7*TitreBO_7*(1-P_processing_7)))</f>
        <v>4.2244197486779718E-4</v>
      </c>
      <c r="I18" s="331"/>
      <c r="J18" s="331"/>
      <c r="K18" s="329" t="e">
        <f>_xll.RiskOutput()+IF(Cumul_carcases=Fixed_carcases,CInf_7,NA())</f>
        <v>#N/A</v>
      </c>
      <c r="L18" s="197"/>
      <c r="M18" s="373">
        <v>129.24346923828125</v>
      </c>
      <c r="N18" s="374">
        <v>0</v>
      </c>
      <c r="O18" s="388"/>
      <c r="P18" s="388"/>
      <c r="Q18" s="388"/>
      <c r="R18" s="388"/>
      <c r="S18" s="388"/>
      <c r="T18" s="388"/>
      <c r="U18" s="388"/>
    </row>
    <row r="19" spans="1:21" x14ac:dyDescent="0.25">
      <c r="A19" s="391"/>
      <c r="B19" s="220" t="s">
        <v>217</v>
      </c>
      <c r="C19" s="48"/>
      <c r="D19" s="48"/>
      <c r="E19" s="19">
        <v>8</v>
      </c>
      <c r="F19" s="339" t="b">
        <f>IF(SRM!F14=1,TRUE,IF(SRM!G14=1,FALSE,IF(AND(Age_slaughter&gt;SRM!I14,Age_slaughter&lt;SRM!J14),TRUE,FALSE)))</f>
        <v>0</v>
      </c>
      <c r="G19" s="340" t="b">
        <f>IF(Processing!F35=0,FALSE,TRUE)</f>
        <v>0</v>
      </c>
      <c r="H19" s="329">
        <f ca="1">_xll.RiskOutput("Inf_8")+IF(F19=TRUE,0,IF(AND(F19=FALSE,G19=FALSE),Weight_8*TitreBO_8,Weight_8*TitreBO_8*(1-P_processing_8)))</f>
        <v>5.0823629025432537E-4</v>
      </c>
      <c r="I19" s="331"/>
      <c r="J19" s="331"/>
      <c r="K19" s="329" t="e">
        <f>_xll.RiskOutput()+IF(Cumul_carcases=Fixed_carcases,CInf_8,NA())</f>
        <v>#N/A</v>
      </c>
      <c r="L19" s="197"/>
      <c r="M19" s="373">
        <v>38.4052734375</v>
      </c>
      <c r="N19" s="374">
        <v>0</v>
      </c>
      <c r="O19" s="388"/>
      <c r="P19" s="388"/>
      <c r="Q19" s="388"/>
      <c r="R19" s="388"/>
      <c r="S19" s="388"/>
      <c r="T19" s="388"/>
      <c r="U19" s="388"/>
    </row>
    <row r="20" spans="1:21" x14ac:dyDescent="0.25">
      <c r="A20" s="388"/>
      <c r="B20" s="319" t="s">
        <v>184</v>
      </c>
      <c r="C20" s="242"/>
      <c r="D20" s="242"/>
      <c r="E20" s="333"/>
      <c r="F20" s="366"/>
      <c r="G20" s="334"/>
      <c r="H20" s="353">
        <f ca="1">_xll.RiskOutput("Inf")+SUM(H12:H19)</f>
        <v>1.0191910393257857</v>
      </c>
      <c r="I20" s="332"/>
      <c r="J20" s="332"/>
      <c r="K20" s="345" t="e">
        <f>_xll.RiskOutput()+IF(Cumul_carcases=Fixed_carcases,CInf,NA())</f>
        <v>#N/A</v>
      </c>
      <c r="L20" s="332"/>
      <c r="M20" s="379">
        <v>9552.0185546875</v>
      </c>
      <c r="N20" s="378">
        <v>0</v>
      </c>
      <c r="O20" s="388"/>
      <c r="P20" s="388"/>
      <c r="Q20" s="388"/>
      <c r="R20" s="388"/>
      <c r="S20" s="388"/>
      <c r="T20" s="388"/>
      <c r="U20" s="388"/>
    </row>
    <row r="21" spans="1:21" x14ac:dyDescent="0.25">
      <c r="A21" s="391"/>
      <c r="B21" s="302" t="s">
        <v>584</v>
      </c>
      <c r="C21" s="57"/>
      <c r="D21" s="57"/>
      <c r="E21" s="342" t="s">
        <v>604</v>
      </c>
      <c r="F21" s="457" t="b">
        <f>F12</f>
        <v>0</v>
      </c>
      <c r="G21" s="458" t="b">
        <f>G12</f>
        <v>0</v>
      </c>
      <c r="H21" s="380">
        <f ca="1">_xll.RiskOutput("Inf_9")+IF(F21=TRUE,0,IF(AND(F21=FALSE,G21=FALSE),(Abattoir!K30*TitreBO_1),(Abattoir!K30*TitreBO_1)*(1-P_processing_1)))</f>
        <v>0.98224379670322548</v>
      </c>
      <c r="I21" s="338">
        <f ca="1">_xll.RiskOutput("Infm_9")+IF(F21=TRUE,0,IF(AND(F21=FALSE,G21=FALSE),((Abattoir!K30*TitreBO_1)/Abattoir!K26),((Abattoir!K30*TitreBO_1)/Abattoir!K26)*(1-P_processing_1)))</f>
        <v>0.67508164721871167</v>
      </c>
      <c r="J21" s="365">
        <f ca="1">IF(F21=TRUE,0,Abattoir!K26)</f>
        <v>1.4550000000000001</v>
      </c>
      <c r="K21" s="380" t="e">
        <f>_xll.RiskOutput()+IF(Cumul_carcases=Fixed_carcases,CInf_9,NA())</f>
        <v>#N/A</v>
      </c>
      <c r="L21" s="461" t="e">
        <f>_xll.RiskOutput()+IF(Cumul_carcases=Fixed_carcases,CLength_9,NA())</f>
        <v>#N/A</v>
      </c>
      <c r="M21" s="375">
        <v>9102.9375</v>
      </c>
      <c r="N21" s="376">
        <v>2156.177978515625</v>
      </c>
      <c r="O21" s="388"/>
      <c r="P21" s="388"/>
      <c r="Q21" s="388"/>
      <c r="R21" s="388"/>
      <c r="S21" s="388"/>
      <c r="T21" s="388"/>
      <c r="U21" s="388"/>
    </row>
    <row r="22" spans="1:21" x14ac:dyDescent="0.25">
      <c r="A22" s="391"/>
      <c r="B22" s="204" t="s">
        <v>206</v>
      </c>
      <c r="C22" s="225"/>
      <c r="D22" s="225"/>
      <c r="E22" s="66" t="s">
        <v>207</v>
      </c>
      <c r="F22" s="459" t="b">
        <f>F14</f>
        <v>0</v>
      </c>
      <c r="G22" s="460" t="b">
        <f>G14</f>
        <v>0</v>
      </c>
      <c r="H22" s="345">
        <f ca="1">_xll.RiskOutput("Inf_3i")+IF(F22=TRUE,0,IF(AND(F22=FALSE,G22=FALSE),(Weight_3i*TitreBO_3i),(Weight_3i*TitreBO_3i)*(1-P_processing_1)))</f>
        <v>0.82095581694900133</v>
      </c>
      <c r="I22" s="225">
        <f ca="1">_xll.RiskOutput("Infm_3i")+Inf_3i/J22</f>
        <v>0.67508164721871167</v>
      </c>
      <c r="J22" s="171">
        <f ca="1">IF(F22=TRUE,0,Abattoir!K26-Abattoir!K39)</f>
        <v>1.2160837438423646</v>
      </c>
      <c r="K22" s="345" t="e">
        <f>_xll.RiskOutput()+IF(Cumul_carcases=Fixed_carcases,CInf_3i,NA())</f>
        <v>#N/A</v>
      </c>
      <c r="L22" s="462" t="e">
        <f>_xll.RiskOutput()+IF(Cumul_carcases=Fixed_carcases,CLength_3i,NA())</f>
        <v>#N/A</v>
      </c>
      <c r="M22" s="377">
        <v>7590.4462890625</v>
      </c>
      <c r="N22" s="378">
        <v>1791.1727294921875</v>
      </c>
      <c r="O22" s="388"/>
      <c r="P22" s="388"/>
      <c r="Q22" s="388"/>
      <c r="R22" s="388"/>
      <c r="S22" s="388"/>
      <c r="T22" s="388"/>
      <c r="U22" s="388"/>
    </row>
    <row r="23" spans="1:21" x14ac:dyDescent="0.25">
      <c r="A23" s="388"/>
      <c r="B23" s="388"/>
      <c r="C23" s="388"/>
      <c r="D23" s="388"/>
      <c r="E23" s="389"/>
      <c r="F23" s="388"/>
      <c r="G23" s="388"/>
      <c r="H23" s="388"/>
      <c r="I23" s="388"/>
      <c r="J23" s="388"/>
      <c r="K23" s="388"/>
      <c r="L23" s="388"/>
      <c r="M23" s="388"/>
      <c r="N23" s="388"/>
      <c r="O23" s="388"/>
      <c r="P23" s="388"/>
      <c r="Q23" s="388"/>
      <c r="R23" s="388"/>
      <c r="S23" s="388"/>
      <c r="T23" s="388"/>
      <c r="U23" s="388"/>
    </row>
    <row r="24" spans="1:21" x14ac:dyDescent="0.25">
      <c r="A24" s="391"/>
      <c r="B24" s="391"/>
      <c r="C24" s="391"/>
      <c r="D24" s="391"/>
      <c r="E24" s="392"/>
      <c r="F24" s="393"/>
      <c r="G24" s="393"/>
      <c r="H24" s="393"/>
      <c r="I24" s="394"/>
      <c r="J24" s="391"/>
      <c r="K24" s="388"/>
      <c r="L24" s="388"/>
      <c r="M24" s="388"/>
      <c r="N24" s="388"/>
      <c r="O24" s="388"/>
      <c r="P24" s="388"/>
      <c r="Q24" s="388"/>
      <c r="R24" s="388"/>
      <c r="S24" s="388"/>
      <c r="T24" s="388"/>
      <c r="U24" s="388"/>
    </row>
    <row r="25" spans="1:21" x14ac:dyDescent="0.25">
      <c r="A25" s="388"/>
      <c r="B25" s="388"/>
      <c r="C25" s="388"/>
      <c r="D25" s="388"/>
      <c r="E25" s="389"/>
      <c r="F25" s="388"/>
      <c r="G25" s="388"/>
      <c r="H25" s="388"/>
      <c r="I25" s="388"/>
      <c r="J25" s="388"/>
      <c r="K25" s="388"/>
      <c r="L25" s="388"/>
      <c r="M25" s="388"/>
      <c r="N25" s="388"/>
      <c r="O25" s="388"/>
      <c r="P25" s="388"/>
      <c r="Q25" s="388"/>
      <c r="R25" s="388"/>
      <c r="S25" s="388"/>
      <c r="T25" s="388"/>
      <c r="U25" s="388"/>
    </row>
    <row r="26" spans="1:21" x14ac:dyDescent="0.25">
      <c r="A26" s="388"/>
      <c r="B26" s="388"/>
      <c r="C26" s="388"/>
      <c r="D26" s="388"/>
      <c r="E26" s="389"/>
      <c r="F26" s="388"/>
      <c r="G26" s="388"/>
      <c r="H26" s="388"/>
      <c r="I26" s="388"/>
      <c r="J26" s="388"/>
      <c r="K26" s="388"/>
      <c r="L26" s="388"/>
      <c r="M26" s="388"/>
      <c r="N26" s="388"/>
      <c r="O26" s="388"/>
      <c r="P26" s="388"/>
      <c r="Q26" s="388"/>
      <c r="R26" s="388"/>
      <c r="S26" s="388"/>
      <c r="T26" s="388"/>
      <c r="U26" s="388"/>
    </row>
    <row r="27" spans="1:21" x14ac:dyDescent="0.25">
      <c r="A27" s="388"/>
      <c r="B27" s="388"/>
      <c r="C27" s="388"/>
      <c r="D27" s="388"/>
      <c r="E27" s="389"/>
      <c r="F27" s="388"/>
      <c r="G27" s="388"/>
      <c r="H27" s="388"/>
      <c r="I27" s="388"/>
      <c r="J27" s="388"/>
      <c r="K27" s="388"/>
      <c r="L27" s="388"/>
      <c r="M27" s="388"/>
      <c r="N27" s="388"/>
      <c r="O27" s="388"/>
      <c r="P27" s="388"/>
      <c r="Q27" s="388"/>
      <c r="R27" s="388"/>
      <c r="S27" s="388"/>
      <c r="T27" s="388"/>
      <c r="U27" s="388"/>
    </row>
    <row r="28" spans="1:21" x14ac:dyDescent="0.25">
      <c r="A28" s="388"/>
      <c r="B28" s="388"/>
      <c r="C28" s="388"/>
      <c r="D28" s="388"/>
      <c r="E28" s="389"/>
      <c r="F28" s="388"/>
      <c r="G28" s="388"/>
      <c r="H28" s="388"/>
      <c r="I28" s="388"/>
      <c r="J28" s="388"/>
      <c r="K28" s="388"/>
      <c r="L28" s="388"/>
      <c r="M28" s="388"/>
      <c r="N28" s="388"/>
      <c r="O28" s="388"/>
      <c r="P28" s="388"/>
      <c r="Q28" s="388"/>
      <c r="R28" s="388"/>
      <c r="S28" s="388"/>
      <c r="T28" s="388"/>
      <c r="U28" s="388"/>
    </row>
    <row r="29" spans="1:21" x14ac:dyDescent="0.25">
      <c r="A29" s="388"/>
      <c r="B29" s="388"/>
      <c r="C29" s="388"/>
      <c r="D29" s="388"/>
      <c r="E29" s="389"/>
      <c r="F29" s="388"/>
      <c r="G29" s="388"/>
      <c r="H29" s="388"/>
      <c r="I29" s="388"/>
      <c r="J29" s="388"/>
      <c r="K29" s="388"/>
      <c r="L29" s="388"/>
      <c r="M29" s="388"/>
      <c r="N29" s="388"/>
      <c r="O29" s="388"/>
      <c r="P29" s="388"/>
      <c r="Q29" s="388"/>
      <c r="R29" s="388"/>
      <c r="S29" s="388"/>
      <c r="T29" s="388"/>
      <c r="U29" s="388"/>
    </row>
    <row r="30" spans="1:21" x14ac:dyDescent="0.25">
      <c r="A30" s="388"/>
      <c r="B30" s="388"/>
      <c r="C30" s="388"/>
      <c r="D30" s="388"/>
      <c r="E30" s="389"/>
      <c r="F30" s="388"/>
      <c r="G30" s="388"/>
      <c r="H30" s="388"/>
      <c r="I30" s="388"/>
      <c r="J30" s="388"/>
      <c r="K30" s="388"/>
      <c r="L30" s="388"/>
      <c r="M30" s="388"/>
      <c r="N30" s="388"/>
      <c r="O30" s="388"/>
      <c r="P30" s="388"/>
      <c r="Q30" s="388"/>
      <c r="R30" s="388"/>
      <c r="S30" s="388"/>
      <c r="T30" s="388"/>
      <c r="U30" s="388"/>
    </row>
    <row r="31" spans="1:21" x14ac:dyDescent="0.25">
      <c r="A31" s="388"/>
      <c r="B31" s="388"/>
      <c r="C31" s="388"/>
      <c r="D31" s="388"/>
      <c r="E31" s="389"/>
      <c r="F31" s="388"/>
      <c r="G31" s="388"/>
      <c r="H31" s="388"/>
      <c r="I31" s="388"/>
      <c r="J31" s="388"/>
      <c r="K31" s="388"/>
      <c r="L31" s="388"/>
      <c r="M31" s="388"/>
      <c r="N31" s="388"/>
      <c r="O31" s="388"/>
      <c r="P31" s="388"/>
      <c r="Q31" s="388"/>
      <c r="R31" s="388"/>
      <c r="S31" s="388"/>
      <c r="T31" s="388"/>
      <c r="U31" s="388"/>
    </row>
    <row r="32" spans="1:21" x14ac:dyDescent="0.25">
      <c r="A32" s="388"/>
      <c r="B32" s="388"/>
      <c r="C32" s="388"/>
      <c r="D32" s="388"/>
      <c r="E32" s="389"/>
      <c r="F32" s="388"/>
      <c r="G32" s="388"/>
      <c r="H32" s="388"/>
      <c r="I32" s="388"/>
      <c r="J32" s="388"/>
      <c r="K32" s="388"/>
      <c r="L32" s="388"/>
      <c r="M32" s="388"/>
      <c r="N32" s="388"/>
      <c r="O32" s="388"/>
      <c r="P32" s="388"/>
      <c r="Q32" s="388"/>
      <c r="R32" s="388"/>
      <c r="S32" s="388"/>
      <c r="T32" s="388"/>
      <c r="U32" s="388"/>
    </row>
    <row r="33" spans="1:21" x14ac:dyDescent="0.25">
      <c r="A33" s="388"/>
      <c r="B33" s="388"/>
      <c r="C33" s="388"/>
      <c r="D33" s="388"/>
      <c r="E33" s="389"/>
      <c r="F33" s="388"/>
      <c r="G33" s="388"/>
      <c r="H33" s="388"/>
      <c r="I33" s="388"/>
      <c r="J33" s="388"/>
      <c r="K33" s="388"/>
      <c r="L33" s="388"/>
      <c r="M33" s="388"/>
      <c r="N33" s="388"/>
      <c r="O33" s="388"/>
      <c r="P33" s="388"/>
      <c r="Q33" s="388"/>
      <c r="R33" s="388"/>
      <c r="S33" s="388"/>
      <c r="T33" s="388"/>
      <c r="U33" s="388"/>
    </row>
    <row r="34" spans="1:21" x14ac:dyDescent="0.25">
      <c r="A34" s="388"/>
      <c r="B34" s="388"/>
      <c r="C34" s="388"/>
      <c r="D34" s="388"/>
      <c r="E34" s="389"/>
      <c r="F34" s="388"/>
      <c r="G34" s="388"/>
      <c r="H34" s="388"/>
      <c r="I34" s="388"/>
      <c r="J34" s="388"/>
      <c r="K34" s="388"/>
      <c r="L34" s="388"/>
      <c r="M34" s="388"/>
      <c r="N34" s="388"/>
      <c r="O34" s="388"/>
      <c r="P34" s="388"/>
      <c r="Q34" s="388"/>
      <c r="R34" s="388"/>
      <c r="S34" s="388"/>
      <c r="T34" s="388"/>
      <c r="U34" s="388"/>
    </row>
    <row r="35" spans="1:21" x14ac:dyDescent="0.25">
      <c r="A35" s="388"/>
      <c r="B35" s="388"/>
      <c r="C35" s="388"/>
      <c r="D35" s="388"/>
      <c r="E35" s="389"/>
      <c r="F35" s="388"/>
      <c r="G35" s="388"/>
      <c r="H35" s="388"/>
      <c r="I35" s="388"/>
      <c r="J35" s="388"/>
      <c r="K35" s="388"/>
      <c r="L35" s="388"/>
      <c r="M35" s="388"/>
      <c r="N35" s="388"/>
      <c r="O35" s="388"/>
      <c r="P35" s="388"/>
      <c r="Q35" s="388"/>
      <c r="R35" s="388"/>
      <c r="S35" s="388"/>
      <c r="T35" s="388"/>
      <c r="U35" s="388"/>
    </row>
    <row r="36" spans="1:21" x14ac:dyDescent="0.25">
      <c r="A36" s="388"/>
      <c r="B36" s="388"/>
      <c r="C36" s="388"/>
      <c r="D36" s="388"/>
      <c r="E36" s="389"/>
      <c r="F36" s="388"/>
      <c r="G36" s="388"/>
      <c r="H36" s="388"/>
      <c r="I36" s="388"/>
      <c r="J36" s="388"/>
      <c r="K36" s="388"/>
      <c r="L36" s="388"/>
      <c r="M36" s="388"/>
      <c r="N36" s="388"/>
      <c r="O36" s="388"/>
      <c r="P36" s="388"/>
      <c r="Q36" s="388"/>
      <c r="R36" s="388"/>
      <c r="S36" s="388"/>
      <c r="T36" s="388"/>
      <c r="U36" s="388"/>
    </row>
    <row r="37" spans="1:21" x14ac:dyDescent="0.25">
      <c r="A37" s="388"/>
      <c r="B37" s="388"/>
      <c r="C37" s="388"/>
      <c r="D37" s="388"/>
      <c r="E37" s="389"/>
      <c r="F37" s="388"/>
      <c r="G37" s="388"/>
      <c r="H37" s="388"/>
      <c r="I37" s="388"/>
      <c r="J37" s="388"/>
      <c r="K37" s="388"/>
      <c r="L37" s="388"/>
      <c r="M37" s="388"/>
      <c r="N37" s="388"/>
      <c r="O37" s="388"/>
      <c r="P37" s="388"/>
      <c r="Q37" s="388"/>
      <c r="R37" s="388"/>
      <c r="S37" s="388"/>
      <c r="T37" s="388"/>
      <c r="U37" s="388"/>
    </row>
    <row r="38" spans="1:21" x14ac:dyDescent="0.25">
      <c r="A38" s="388"/>
      <c r="B38" s="388"/>
      <c r="C38" s="388"/>
      <c r="D38" s="388"/>
      <c r="E38" s="389"/>
      <c r="F38" s="388"/>
      <c r="G38" s="388"/>
      <c r="H38" s="388"/>
      <c r="I38" s="388"/>
      <c r="J38" s="388"/>
      <c r="K38" s="388"/>
      <c r="L38" s="388"/>
      <c r="M38" s="388"/>
      <c r="N38" s="388"/>
      <c r="O38" s="388"/>
      <c r="P38" s="388"/>
      <c r="Q38" s="388"/>
      <c r="R38" s="388"/>
      <c r="S38" s="388"/>
      <c r="T38" s="388"/>
      <c r="U38" s="388"/>
    </row>
    <row r="39" spans="1:21" x14ac:dyDescent="0.25">
      <c r="A39" s="388"/>
      <c r="B39" s="388"/>
      <c r="C39" s="388"/>
      <c r="D39" s="388"/>
      <c r="E39" s="389"/>
      <c r="F39" s="388"/>
      <c r="G39" s="388"/>
      <c r="H39" s="388"/>
      <c r="I39" s="388"/>
      <c r="J39" s="388"/>
      <c r="K39" s="388"/>
      <c r="L39" s="388"/>
      <c r="M39" s="388"/>
      <c r="N39" s="388"/>
      <c r="O39" s="388"/>
      <c r="P39" s="388"/>
      <c r="Q39" s="388"/>
      <c r="R39" s="388"/>
      <c r="S39" s="388"/>
      <c r="T39" s="388"/>
      <c r="U39" s="388"/>
    </row>
    <row r="40" spans="1:21" x14ac:dyDescent="0.25">
      <c r="A40" s="388"/>
      <c r="B40" s="388"/>
      <c r="C40" s="388"/>
      <c r="D40" s="388"/>
      <c r="E40" s="389"/>
      <c r="F40" s="388"/>
      <c r="G40" s="388"/>
      <c r="H40" s="388"/>
      <c r="I40" s="388"/>
      <c r="J40" s="388"/>
      <c r="K40" s="388"/>
      <c r="L40" s="388"/>
      <c r="M40" s="388"/>
      <c r="N40" s="388"/>
      <c r="O40" s="388"/>
      <c r="P40" s="388"/>
      <c r="Q40" s="388"/>
      <c r="R40" s="388"/>
      <c r="S40" s="388"/>
      <c r="T40" s="388"/>
      <c r="U40" s="388"/>
    </row>
    <row r="41" spans="1:21" x14ac:dyDescent="0.25">
      <c r="A41" s="388"/>
      <c r="B41" s="388"/>
      <c r="C41" s="388"/>
      <c r="D41" s="388"/>
      <c r="E41" s="389"/>
      <c r="F41" s="388"/>
      <c r="G41" s="388"/>
      <c r="H41" s="388"/>
      <c r="I41" s="388"/>
      <c r="J41" s="388"/>
      <c r="K41" s="388"/>
      <c r="L41" s="388"/>
      <c r="M41" s="388"/>
      <c r="N41" s="388"/>
      <c r="O41" s="388"/>
      <c r="P41" s="388"/>
      <c r="Q41" s="388"/>
      <c r="R41" s="388"/>
      <c r="S41" s="388"/>
      <c r="T41" s="388"/>
      <c r="U41" s="388"/>
    </row>
    <row r="42" spans="1:21" x14ac:dyDescent="0.25">
      <c r="A42" s="388"/>
      <c r="B42" s="388"/>
      <c r="C42" s="388"/>
      <c r="D42" s="388"/>
      <c r="E42" s="389"/>
      <c r="F42" s="388"/>
      <c r="G42" s="388"/>
      <c r="H42" s="388"/>
      <c r="I42" s="388"/>
      <c r="J42" s="388"/>
      <c r="K42" s="388"/>
      <c r="L42" s="388"/>
      <c r="M42" s="388"/>
      <c r="N42" s="388"/>
      <c r="O42" s="388"/>
      <c r="P42" s="388"/>
      <c r="Q42" s="388"/>
      <c r="R42" s="388"/>
      <c r="S42" s="388"/>
      <c r="T42" s="388"/>
      <c r="U42" s="388"/>
    </row>
    <row r="43" spans="1:21" x14ac:dyDescent="0.25">
      <c r="A43" s="388"/>
      <c r="B43" s="388"/>
      <c r="C43" s="388"/>
      <c r="D43" s="388"/>
      <c r="E43" s="389"/>
      <c r="F43" s="388"/>
      <c r="G43" s="388"/>
      <c r="H43" s="388"/>
      <c r="I43" s="388"/>
      <c r="J43" s="388"/>
      <c r="K43" s="388"/>
      <c r="L43" s="388"/>
      <c r="M43" s="388"/>
      <c r="N43" s="388"/>
      <c r="O43" s="388"/>
      <c r="P43" s="388"/>
      <c r="Q43" s="388"/>
      <c r="R43" s="388"/>
      <c r="S43" s="388"/>
      <c r="T43" s="388"/>
      <c r="U43" s="388"/>
    </row>
    <row r="44" spans="1:21" x14ac:dyDescent="0.25">
      <c r="A44" s="388"/>
      <c r="B44" s="388"/>
      <c r="C44" s="388"/>
      <c r="D44" s="388"/>
      <c r="E44" s="389"/>
      <c r="F44" s="388"/>
      <c r="G44" s="388"/>
      <c r="H44" s="388"/>
      <c r="I44" s="388"/>
      <c r="J44" s="388"/>
      <c r="K44" s="388"/>
      <c r="L44" s="388"/>
      <c r="M44" s="388"/>
      <c r="N44" s="388"/>
      <c r="O44" s="388"/>
      <c r="P44" s="388"/>
      <c r="Q44" s="388"/>
      <c r="R44" s="388"/>
      <c r="S44" s="388"/>
      <c r="T44" s="388"/>
      <c r="U44" s="388"/>
    </row>
    <row r="45" spans="1:21" x14ac:dyDescent="0.25">
      <c r="A45" s="388"/>
      <c r="B45" s="388"/>
      <c r="C45" s="388"/>
      <c r="D45" s="388"/>
      <c r="E45" s="389"/>
      <c r="F45" s="388"/>
      <c r="G45" s="388"/>
      <c r="H45" s="388"/>
      <c r="I45" s="388"/>
      <c r="J45" s="388"/>
      <c r="K45" s="388"/>
      <c r="L45" s="388"/>
      <c r="M45" s="388"/>
      <c r="N45" s="388"/>
      <c r="O45" s="388"/>
      <c r="P45" s="388"/>
      <c r="Q45" s="388"/>
      <c r="R45" s="388"/>
      <c r="S45" s="388"/>
      <c r="T45" s="388"/>
      <c r="U45" s="388"/>
    </row>
    <row r="46" spans="1:21" x14ac:dyDescent="0.25">
      <c r="A46" s="388"/>
      <c r="B46" s="388"/>
      <c r="C46" s="388"/>
      <c r="D46" s="388"/>
      <c r="E46" s="389"/>
      <c r="F46" s="388"/>
      <c r="G46" s="388"/>
      <c r="H46" s="388"/>
      <c r="I46" s="388"/>
      <c r="J46" s="388"/>
      <c r="K46" s="388"/>
      <c r="L46" s="388"/>
      <c r="M46" s="388"/>
      <c r="N46" s="388"/>
      <c r="O46" s="388"/>
      <c r="P46" s="388"/>
      <c r="Q46" s="388"/>
      <c r="R46" s="388"/>
      <c r="S46" s="388"/>
      <c r="T46" s="388"/>
      <c r="U46" s="388"/>
    </row>
    <row r="47" spans="1:21" x14ac:dyDescent="0.25">
      <c r="A47" s="388"/>
      <c r="B47" s="388"/>
      <c r="C47" s="388"/>
      <c r="D47" s="388"/>
      <c r="E47" s="389"/>
      <c r="F47" s="388"/>
      <c r="G47" s="388"/>
      <c r="H47" s="388"/>
      <c r="I47" s="388"/>
      <c r="J47" s="388"/>
      <c r="K47" s="388"/>
      <c r="L47" s="388"/>
      <c r="M47" s="388"/>
      <c r="N47" s="388"/>
      <c r="O47" s="388"/>
      <c r="P47" s="388"/>
      <c r="Q47" s="388"/>
      <c r="R47" s="388"/>
      <c r="S47" s="388"/>
      <c r="T47" s="388"/>
      <c r="U47" s="388"/>
    </row>
    <row r="48" spans="1:21" x14ac:dyDescent="0.25">
      <c r="A48" s="388"/>
      <c r="B48" s="388"/>
      <c r="C48" s="388"/>
      <c r="D48" s="388"/>
      <c r="E48" s="389"/>
      <c r="F48" s="388"/>
      <c r="G48" s="388"/>
      <c r="H48" s="388"/>
      <c r="I48" s="388"/>
      <c r="J48" s="388"/>
      <c r="K48" s="388"/>
      <c r="L48" s="388"/>
      <c r="M48" s="388"/>
      <c r="N48" s="388"/>
      <c r="O48" s="388"/>
      <c r="P48" s="388"/>
      <c r="Q48" s="388"/>
      <c r="R48" s="388"/>
      <c r="S48" s="388"/>
      <c r="T48" s="388"/>
      <c r="U48" s="388"/>
    </row>
    <row r="49" spans="1:21" x14ac:dyDescent="0.25">
      <c r="A49" s="388"/>
      <c r="B49" s="388"/>
      <c r="C49" s="388"/>
      <c r="D49" s="388"/>
      <c r="E49" s="389"/>
      <c r="F49" s="388"/>
      <c r="G49" s="388"/>
      <c r="H49" s="388"/>
      <c r="I49" s="388"/>
      <c r="J49" s="388"/>
      <c r="K49" s="388"/>
      <c r="L49" s="388"/>
      <c r="M49" s="388"/>
      <c r="N49" s="388"/>
      <c r="O49" s="388"/>
      <c r="P49" s="388"/>
      <c r="Q49" s="388"/>
      <c r="R49" s="388"/>
      <c r="S49" s="388"/>
      <c r="T49" s="388"/>
      <c r="U49" s="388"/>
    </row>
    <row r="50" spans="1:21" x14ac:dyDescent="0.25">
      <c r="A50" s="388"/>
      <c r="B50" s="388"/>
      <c r="C50" s="388"/>
      <c r="D50" s="388"/>
      <c r="E50" s="389"/>
      <c r="F50" s="388"/>
      <c r="G50" s="388"/>
      <c r="H50" s="388"/>
      <c r="I50" s="388"/>
      <c r="J50" s="388"/>
      <c r="K50" s="388"/>
      <c r="L50" s="388"/>
      <c r="M50" s="388"/>
      <c r="N50" s="388"/>
      <c r="O50" s="388"/>
      <c r="P50" s="388"/>
      <c r="Q50" s="388"/>
      <c r="R50" s="388"/>
      <c r="S50" s="388"/>
      <c r="T50" s="388"/>
      <c r="U50" s="388"/>
    </row>
    <row r="51" spans="1:21" x14ac:dyDescent="0.25">
      <c r="A51" s="388"/>
      <c r="B51" s="388"/>
      <c r="C51" s="388"/>
      <c r="D51" s="388"/>
      <c r="E51" s="389"/>
      <c r="F51" s="388"/>
      <c r="G51" s="388"/>
      <c r="H51" s="388"/>
      <c r="I51" s="388"/>
      <c r="J51" s="388"/>
      <c r="K51" s="388"/>
      <c r="L51" s="388"/>
      <c r="M51" s="388"/>
      <c r="N51" s="388"/>
      <c r="O51" s="388"/>
      <c r="P51" s="388"/>
      <c r="Q51" s="388"/>
      <c r="R51" s="388"/>
      <c r="S51" s="388"/>
      <c r="T51" s="388"/>
      <c r="U51" s="388"/>
    </row>
    <row r="52" spans="1:21" x14ac:dyDescent="0.25">
      <c r="A52" s="388"/>
      <c r="B52" s="388"/>
      <c r="C52" s="388"/>
      <c r="D52" s="388"/>
      <c r="E52" s="389"/>
      <c r="F52" s="388"/>
      <c r="G52" s="388"/>
      <c r="H52" s="388"/>
      <c r="I52" s="388"/>
      <c r="J52" s="388"/>
      <c r="K52" s="388"/>
      <c r="L52" s="388"/>
      <c r="M52" s="388"/>
      <c r="N52" s="388"/>
      <c r="O52" s="388"/>
      <c r="P52" s="388"/>
      <c r="Q52" s="388"/>
      <c r="R52" s="388"/>
      <c r="S52" s="388"/>
      <c r="T52" s="388"/>
      <c r="U52" s="388"/>
    </row>
    <row r="53" spans="1:21" x14ac:dyDescent="0.25">
      <c r="A53" s="388"/>
      <c r="B53" s="388"/>
      <c r="C53" s="388"/>
      <c r="D53" s="388"/>
      <c r="E53" s="389"/>
      <c r="F53" s="388"/>
      <c r="G53" s="388"/>
      <c r="H53" s="388"/>
      <c r="I53" s="388"/>
      <c r="J53" s="388"/>
      <c r="K53" s="388"/>
      <c r="L53" s="388"/>
      <c r="M53" s="388"/>
      <c r="N53" s="388"/>
      <c r="O53" s="388"/>
      <c r="P53" s="388"/>
      <c r="Q53" s="388"/>
      <c r="R53" s="388"/>
      <c r="S53" s="388"/>
      <c r="T53" s="388"/>
      <c r="U53" s="388"/>
    </row>
    <row r="54" spans="1:21" x14ac:dyDescent="0.25">
      <c r="A54" s="388"/>
      <c r="B54" s="388"/>
      <c r="C54" s="388"/>
      <c r="D54" s="388"/>
      <c r="E54" s="389"/>
      <c r="F54" s="388"/>
      <c r="G54" s="388"/>
      <c r="H54" s="388"/>
      <c r="I54" s="388"/>
      <c r="J54" s="388"/>
      <c r="K54" s="388"/>
      <c r="L54" s="388"/>
      <c r="M54" s="388"/>
      <c r="N54" s="388"/>
      <c r="O54" s="388"/>
      <c r="P54" s="388"/>
      <c r="Q54" s="388"/>
      <c r="R54" s="388"/>
      <c r="S54" s="388"/>
      <c r="T54" s="388"/>
      <c r="U54" s="388"/>
    </row>
    <row r="55" spans="1:21" x14ac:dyDescent="0.25">
      <c r="A55" s="388"/>
      <c r="B55" s="388"/>
      <c r="C55" s="388"/>
      <c r="D55" s="388"/>
      <c r="E55" s="389"/>
      <c r="F55" s="388"/>
      <c r="G55" s="388"/>
      <c r="H55" s="388"/>
      <c r="I55" s="388"/>
      <c r="J55" s="388"/>
      <c r="K55" s="388"/>
      <c r="L55" s="388"/>
      <c r="M55" s="388"/>
      <c r="N55" s="388"/>
      <c r="O55" s="388"/>
      <c r="P55" s="388"/>
      <c r="Q55" s="388"/>
      <c r="R55" s="388"/>
      <c r="S55" s="388"/>
      <c r="T55" s="388"/>
      <c r="U55" s="388"/>
    </row>
    <row r="56" spans="1:21" x14ac:dyDescent="0.25">
      <c r="A56" s="388"/>
      <c r="B56" s="388"/>
      <c r="C56" s="388"/>
      <c r="D56" s="388"/>
      <c r="E56" s="389"/>
      <c r="F56" s="388"/>
      <c r="G56" s="388"/>
      <c r="H56" s="388"/>
      <c r="I56" s="388"/>
      <c r="J56" s="388"/>
      <c r="K56" s="388"/>
      <c r="L56" s="388"/>
      <c r="M56" s="388"/>
      <c r="N56" s="388"/>
      <c r="O56" s="388"/>
      <c r="P56" s="388"/>
      <c r="Q56" s="388"/>
      <c r="R56" s="388"/>
      <c r="S56" s="388"/>
      <c r="T56" s="388"/>
      <c r="U56" s="388"/>
    </row>
    <row r="57" spans="1:21" x14ac:dyDescent="0.25">
      <c r="A57" s="388"/>
      <c r="B57" s="388"/>
      <c r="C57" s="388"/>
      <c r="D57" s="388"/>
      <c r="E57" s="389"/>
      <c r="F57" s="388"/>
      <c r="G57" s="388"/>
      <c r="H57" s="388"/>
      <c r="I57" s="388"/>
      <c r="J57" s="388"/>
      <c r="K57" s="388"/>
      <c r="L57" s="388"/>
      <c r="M57" s="388"/>
      <c r="N57" s="388"/>
      <c r="O57" s="388"/>
      <c r="P57" s="388"/>
      <c r="Q57" s="388"/>
      <c r="R57" s="388"/>
      <c r="S57" s="388"/>
      <c r="T57" s="388"/>
      <c r="U57" s="388"/>
    </row>
    <row r="58" spans="1:21" x14ac:dyDescent="0.25">
      <c r="A58" s="388"/>
      <c r="B58" s="388"/>
      <c r="C58" s="388"/>
      <c r="D58" s="388"/>
      <c r="E58" s="389"/>
      <c r="F58" s="388"/>
      <c r="G58" s="388"/>
      <c r="H58" s="388"/>
      <c r="I58" s="388"/>
      <c r="J58" s="388"/>
      <c r="K58" s="388"/>
      <c r="L58" s="388"/>
      <c r="M58" s="388"/>
      <c r="N58" s="388"/>
      <c r="O58" s="388"/>
      <c r="P58" s="388"/>
      <c r="Q58" s="388"/>
      <c r="R58" s="388"/>
      <c r="S58" s="388"/>
      <c r="T58" s="388"/>
      <c r="U58" s="388"/>
    </row>
    <row r="59" spans="1:21" x14ac:dyDescent="0.25">
      <c r="A59" s="388"/>
      <c r="B59" s="388"/>
      <c r="C59" s="388"/>
      <c r="D59" s="388"/>
      <c r="E59" s="389"/>
      <c r="F59" s="388"/>
      <c r="G59" s="388"/>
      <c r="H59" s="388"/>
      <c r="I59" s="388"/>
      <c r="J59" s="388"/>
      <c r="K59" s="388"/>
      <c r="L59" s="388"/>
      <c r="M59" s="388"/>
      <c r="N59" s="388"/>
      <c r="O59" s="388"/>
      <c r="P59" s="388"/>
      <c r="Q59" s="388"/>
      <c r="R59" s="388"/>
      <c r="S59" s="388"/>
      <c r="T59" s="388"/>
      <c r="U59" s="388"/>
    </row>
    <row r="60" spans="1:21" x14ac:dyDescent="0.25">
      <c r="A60" s="388"/>
      <c r="B60" s="388"/>
      <c r="C60" s="388"/>
      <c r="D60" s="388"/>
      <c r="E60" s="389"/>
      <c r="F60" s="388"/>
      <c r="G60" s="388"/>
      <c r="H60" s="388"/>
      <c r="I60" s="388"/>
      <c r="J60" s="388"/>
      <c r="K60" s="388"/>
      <c r="L60" s="388"/>
      <c r="M60" s="388"/>
      <c r="N60" s="388"/>
      <c r="O60" s="388"/>
      <c r="P60" s="388"/>
      <c r="Q60" s="388"/>
      <c r="R60" s="388"/>
      <c r="S60" s="388"/>
      <c r="T60" s="388"/>
      <c r="U60" s="388"/>
    </row>
    <row r="61" spans="1:21" x14ac:dyDescent="0.25">
      <c r="A61" s="388"/>
      <c r="B61" s="388"/>
      <c r="C61" s="388"/>
      <c r="D61" s="388"/>
      <c r="E61" s="389"/>
      <c r="F61" s="388"/>
      <c r="G61" s="388"/>
      <c r="H61" s="388"/>
      <c r="I61" s="388"/>
      <c r="J61" s="388"/>
      <c r="K61" s="388"/>
      <c r="L61" s="388"/>
      <c r="M61" s="388"/>
      <c r="N61" s="388"/>
    </row>
  </sheetData>
  <mergeCells count="3">
    <mergeCell ref="F9:G9"/>
    <mergeCell ref="H8:J8"/>
    <mergeCell ref="K8:N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Z212"/>
  <sheetViews>
    <sheetView workbookViewId="0">
      <selection activeCell="C64" sqref="C64:E67"/>
    </sheetView>
  </sheetViews>
  <sheetFormatPr defaultRowHeight="15" x14ac:dyDescent="0.25"/>
  <cols>
    <col min="2" max="2" width="9.140625" customWidth="1"/>
    <col min="3" max="4" width="9.7109375" customWidth="1"/>
    <col min="5" max="5" width="9.28515625" customWidth="1"/>
    <col min="6" max="6" width="9.42578125" customWidth="1"/>
    <col min="7" max="7" width="10" customWidth="1"/>
    <col min="8" max="8" width="9.7109375" customWidth="1"/>
    <col min="9" max="9" width="9.42578125" customWidth="1"/>
    <col min="10" max="10" width="9.7109375" customWidth="1"/>
  </cols>
  <sheetData>
    <row r="1" spans="1:26" ht="18" x14ac:dyDescent="0.25">
      <c r="A1" s="387" t="s">
        <v>131</v>
      </c>
      <c r="B1" s="388"/>
      <c r="C1" s="388"/>
      <c r="D1" s="388"/>
      <c r="E1" s="388"/>
      <c r="F1" s="403" t="s">
        <v>132</v>
      </c>
      <c r="G1" s="388"/>
      <c r="H1" s="404"/>
      <c r="I1" s="388"/>
      <c r="J1" s="405" t="s">
        <v>133</v>
      </c>
      <c r="K1" s="404"/>
      <c r="L1" s="388"/>
      <c r="M1" s="405" t="s">
        <v>134</v>
      </c>
      <c r="N1" s="404" t="s">
        <v>615</v>
      </c>
      <c r="O1" s="388"/>
      <c r="P1" t="s">
        <v>616</v>
      </c>
      <c r="Q1" s="388"/>
      <c r="R1" s="388"/>
      <c r="S1" s="388"/>
      <c r="T1" s="388"/>
      <c r="U1" s="388"/>
      <c r="V1" s="388"/>
      <c r="W1" s="388"/>
      <c r="X1" s="388"/>
      <c r="Y1" s="388"/>
      <c r="Z1" s="388"/>
    </row>
    <row r="2" spans="1:26" x14ac:dyDescent="0.25">
      <c r="A2" s="388"/>
      <c r="B2" s="388"/>
      <c r="C2" s="388"/>
      <c r="D2" s="388"/>
      <c r="E2" s="388"/>
      <c r="F2" s="388"/>
      <c r="G2" s="388"/>
      <c r="H2" s="388"/>
      <c r="I2" s="388"/>
      <c r="J2" s="388"/>
      <c r="K2" s="388"/>
      <c r="L2" s="388"/>
      <c r="M2" s="388"/>
      <c r="N2" s="388"/>
      <c r="O2" s="388"/>
      <c r="P2">
        <v>73</v>
      </c>
      <c r="Q2" s="388"/>
      <c r="R2" s="388"/>
      <c r="S2" s="388"/>
      <c r="T2" s="388"/>
      <c r="U2" s="388"/>
      <c r="V2" s="388"/>
      <c r="W2" s="388"/>
      <c r="X2" s="388"/>
      <c r="Y2" s="388"/>
      <c r="Z2" s="388"/>
    </row>
    <row r="3" spans="1:26" ht="18" x14ac:dyDescent="0.25">
      <c r="A3" s="388"/>
      <c r="B3" s="406" t="s">
        <v>135</v>
      </c>
      <c r="C3" s="388"/>
      <c r="D3" s="388"/>
      <c r="E3" s="388"/>
      <c r="F3" s="388"/>
      <c r="G3" s="388"/>
      <c r="H3" s="388"/>
      <c r="I3" s="388"/>
      <c r="J3" s="388"/>
      <c r="K3" s="388"/>
      <c r="L3" s="388"/>
      <c r="M3" s="388"/>
      <c r="N3" s="388"/>
      <c r="O3" s="388"/>
      <c r="P3">
        <v>40</v>
      </c>
      <c r="Q3" s="388"/>
      <c r="R3" s="388"/>
      <c r="S3" s="388"/>
      <c r="T3" s="388"/>
      <c r="U3" s="388"/>
      <c r="V3" s="388"/>
      <c r="W3" s="388"/>
      <c r="X3" s="388"/>
      <c r="Y3" s="388"/>
      <c r="Z3" s="388"/>
    </row>
    <row r="4" spans="1:26" x14ac:dyDescent="0.25">
      <c r="A4" s="388"/>
      <c r="B4" s="8"/>
      <c r="C4" s="9" t="s">
        <v>136</v>
      </c>
      <c r="D4" s="10"/>
      <c r="E4" s="9" t="s">
        <v>137</v>
      </c>
      <c r="F4" s="9"/>
      <c r="G4" s="9"/>
      <c r="H4" s="9"/>
      <c r="I4" s="9" t="s">
        <v>1</v>
      </c>
      <c r="J4" s="9" t="s">
        <v>138</v>
      </c>
      <c r="K4" s="9" t="s">
        <v>139</v>
      </c>
      <c r="L4" s="10"/>
      <c r="M4" s="11"/>
      <c r="N4" s="388"/>
      <c r="O4" s="388"/>
      <c r="P4">
        <v>92</v>
      </c>
      <c r="Q4" s="388"/>
      <c r="R4" s="388"/>
      <c r="S4" s="388"/>
      <c r="T4" s="388"/>
      <c r="U4" s="388"/>
      <c r="V4" s="388"/>
      <c r="W4" s="388"/>
      <c r="X4" s="388"/>
      <c r="Y4" s="388"/>
      <c r="Z4" s="388"/>
    </row>
    <row r="5" spans="1:26" x14ac:dyDescent="0.25">
      <c r="A5" s="388"/>
      <c r="B5" s="12"/>
      <c r="C5" s="13"/>
      <c r="D5" s="3"/>
      <c r="E5" s="13"/>
      <c r="F5" s="13"/>
      <c r="G5" s="13"/>
      <c r="H5" s="13"/>
      <c r="I5" s="13"/>
      <c r="J5" s="13"/>
      <c r="K5" s="13"/>
      <c r="L5" s="3"/>
      <c r="M5" s="14"/>
      <c r="N5" s="388"/>
      <c r="O5" s="388"/>
      <c r="P5">
        <v>1</v>
      </c>
      <c r="Q5" s="388"/>
      <c r="R5" s="388"/>
      <c r="S5" s="388"/>
      <c r="T5" s="388"/>
      <c r="U5" s="388"/>
      <c r="V5" s="388"/>
      <c r="W5" s="388"/>
      <c r="X5" s="388"/>
      <c r="Y5" s="388"/>
      <c r="Z5" s="388"/>
    </row>
    <row r="6" spans="1:26" x14ac:dyDescent="0.25">
      <c r="A6" s="388"/>
      <c r="B6" s="15" t="s">
        <v>140</v>
      </c>
      <c r="C6" s="3"/>
      <c r="D6" s="3"/>
      <c r="E6" s="16" t="s">
        <v>141</v>
      </c>
      <c r="F6" s="3"/>
      <c r="G6" s="3"/>
      <c r="H6" s="3"/>
      <c r="I6" s="17">
        <f ca="1">_xll.RiskDiscrete(B15:B35,M15:M35)</f>
        <v>36</v>
      </c>
      <c r="J6" s="18" t="s">
        <v>142</v>
      </c>
      <c r="K6" s="3" t="s">
        <v>143</v>
      </c>
      <c r="L6" s="3"/>
      <c r="M6" s="14"/>
      <c r="N6" s="388"/>
      <c r="O6" s="388"/>
      <c r="P6" t="s">
        <v>617</v>
      </c>
      <c r="Q6" s="388"/>
      <c r="R6" s="388"/>
      <c r="S6" s="388"/>
      <c r="T6" s="388"/>
      <c r="U6" s="388"/>
      <c r="V6" s="388"/>
      <c r="W6" s="388"/>
      <c r="X6" s="388"/>
      <c r="Y6" s="388"/>
      <c r="Z6" s="388"/>
    </row>
    <row r="7" spans="1:26" x14ac:dyDescent="0.25">
      <c r="A7" s="388"/>
      <c r="B7" s="15" t="s">
        <v>144</v>
      </c>
      <c r="C7" s="3"/>
      <c r="D7" s="3"/>
      <c r="E7" s="16" t="s">
        <v>589</v>
      </c>
      <c r="F7" s="3"/>
      <c r="G7" s="3"/>
      <c r="H7" s="3"/>
      <c r="I7" s="19">
        <f ca="1">_xll.RiskMakeInput(VLOOKUP(I6,Surv!C78:D98,2),_xll.RiskCollect())</f>
        <v>12</v>
      </c>
      <c r="J7" s="18" t="s">
        <v>142</v>
      </c>
      <c r="K7" s="3"/>
      <c r="L7" s="3"/>
      <c r="M7" s="14"/>
      <c r="N7" s="388"/>
      <c r="O7" s="388"/>
      <c r="P7">
        <v>0.1</v>
      </c>
      <c r="Q7" s="388"/>
      <c r="R7" s="388"/>
      <c r="S7" s="388"/>
      <c r="T7" s="388"/>
      <c r="U7" s="388"/>
      <c r="V7" s="388"/>
      <c r="W7" s="388"/>
      <c r="X7" s="388"/>
      <c r="Y7" s="388"/>
      <c r="Z7" s="388"/>
    </row>
    <row r="8" spans="1:26" x14ac:dyDescent="0.25">
      <c r="A8" s="388"/>
      <c r="B8" s="20" t="s">
        <v>145</v>
      </c>
      <c r="C8" s="21"/>
      <c r="D8" s="21"/>
      <c r="E8" s="22" t="s">
        <v>146</v>
      </c>
      <c r="F8" s="21"/>
      <c r="G8" s="21"/>
      <c r="H8" s="21"/>
      <c r="I8" s="23">
        <f ca="1">Age_slaughter-Age_exposure</f>
        <v>24</v>
      </c>
      <c r="J8" s="24" t="s">
        <v>142</v>
      </c>
      <c r="K8" s="21"/>
      <c r="L8" s="21"/>
      <c r="M8" s="25"/>
      <c r="N8" s="388"/>
      <c r="O8" s="388"/>
      <c r="P8" s="388"/>
      <c r="Q8" s="388"/>
      <c r="R8" s="388"/>
      <c r="S8" s="388"/>
      <c r="T8" s="388"/>
      <c r="U8" s="388"/>
      <c r="V8" s="388"/>
      <c r="W8" s="388"/>
      <c r="X8" s="388"/>
      <c r="Y8" s="388"/>
      <c r="Z8" s="388"/>
    </row>
    <row r="9" spans="1:26" x14ac:dyDescent="0.25">
      <c r="A9" s="388"/>
      <c r="B9" s="388"/>
      <c r="C9" s="388"/>
      <c r="D9" s="388"/>
      <c r="E9" s="388"/>
      <c r="F9" s="388"/>
      <c r="G9" s="388"/>
      <c r="H9" s="388"/>
      <c r="I9" s="388"/>
      <c r="J9" s="388"/>
      <c r="K9" s="388"/>
      <c r="L9" s="388"/>
      <c r="M9" s="388"/>
      <c r="N9" s="388"/>
      <c r="O9" s="388"/>
      <c r="P9" s="388"/>
      <c r="Q9" s="388"/>
      <c r="R9" s="388"/>
      <c r="S9" s="388"/>
      <c r="T9" s="388"/>
      <c r="U9" s="388"/>
      <c r="V9" s="388"/>
      <c r="W9" s="388"/>
      <c r="X9" s="388"/>
      <c r="Y9" s="388"/>
      <c r="Z9" s="388"/>
    </row>
    <row r="10" spans="1:26" x14ac:dyDescent="0.25">
      <c r="A10" s="403" t="s">
        <v>147</v>
      </c>
      <c r="B10" s="403" t="s">
        <v>148</v>
      </c>
      <c r="C10" s="388"/>
      <c r="D10" s="388"/>
      <c r="E10" s="388"/>
      <c r="F10" s="388"/>
      <c r="G10" s="388"/>
      <c r="H10" s="388"/>
      <c r="I10" s="388"/>
      <c r="J10" s="388"/>
      <c r="K10" s="388"/>
      <c r="L10" s="388"/>
      <c r="M10" s="388"/>
      <c r="N10" s="388"/>
      <c r="O10" s="388"/>
      <c r="P10" s="388"/>
      <c r="Q10" s="388"/>
      <c r="R10" s="388"/>
      <c r="S10" s="388"/>
      <c r="T10" s="388"/>
      <c r="U10" s="388"/>
      <c r="V10" s="388"/>
      <c r="W10" s="388"/>
      <c r="X10" s="388"/>
      <c r="Y10" s="388"/>
      <c r="Z10" s="388"/>
    </row>
    <row r="11" spans="1:26" x14ac:dyDescent="0.25">
      <c r="A11" s="403"/>
      <c r="B11" s="407" t="s">
        <v>149</v>
      </c>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row>
    <row r="12" spans="1:26" x14ac:dyDescent="0.25">
      <c r="A12" s="403"/>
      <c r="B12" s="407" t="s">
        <v>150</v>
      </c>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row>
    <row r="13" spans="1:26" x14ac:dyDescent="0.25">
      <c r="A13" s="388"/>
      <c r="B13" s="26"/>
      <c r="C13" s="10" t="s">
        <v>606</v>
      </c>
      <c r="D13" s="10" t="s">
        <v>151</v>
      </c>
      <c r="E13" s="10" t="s">
        <v>152</v>
      </c>
      <c r="F13" s="27" t="s">
        <v>153</v>
      </c>
      <c r="G13" s="10" t="s">
        <v>607</v>
      </c>
      <c r="H13" s="10" t="s">
        <v>154</v>
      </c>
      <c r="I13" s="10" t="s">
        <v>155</v>
      </c>
      <c r="J13" s="28" t="s">
        <v>153</v>
      </c>
      <c r="K13" s="29" t="s">
        <v>153</v>
      </c>
      <c r="L13" s="29" t="s">
        <v>190</v>
      </c>
      <c r="M13" s="30" t="s">
        <v>1</v>
      </c>
      <c r="N13" s="390"/>
      <c r="O13" s="388"/>
      <c r="P13" s="388"/>
      <c r="Q13" s="388"/>
      <c r="R13" s="388"/>
      <c r="S13" s="388"/>
      <c r="T13" s="388"/>
      <c r="U13" s="388"/>
      <c r="V13" s="388"/>
      <c r="W13" s="388"/>
      <c r="X13" s="388"/>
      <c r="Y13" s="388"/>
      <c r="Z13" s="388"/>
    </row>
    <row r="14" spans="1:26" x14ac:dyDescent="0.25">
      <c r="A14" s="388"/>
      <c r="B14" s="15"/>
      <c r="C14" s="18" t="s">
        <v>156</v>
      </c>
      <c r="D14" s="18" t="s">
        <v>156</v>
      </c>
      <c r="E14" s="18" t="s">
        <v>156</v>
      </c>
      <c r="F14" s="32" t="s">
        <v>156</v>
      </c>
      <c r="G14" s="33" t="s">
        <v>8</v>
      </c>
      <c r="H14" s="33" t="s">
        <v>8</v>
      </c>
      <c r="I14" s="18" t="s">
        <v>8</v>
      </c>
      <c r="J14" s="34" t="s">
        <v>8</v>
      </c>
      <c r="K14" s="18" t="s">
        <v>157</v>
      </c>
      <c r="L14" s="18" t="s">
        <v>157</v>
      </c>
      <c r="M14" s="35" t="s">
        <v>157</v>
      </c>
      <c r="N14" s="388"/>
      <c r="O14" s="388"/>
      <c r="P14" s="388"/>
      <c r="Q14" s="388"/>
      <c r="R14" s="388"/>
      <c r="S14" s="388"/>
      <c r="T14" s="388"/>
      <c r="U14" s="388"/>
      <c r="V14" s="388"/>
      <c r="W14" s="388"/>
      <c r="X14" s="388"/>
      <c r="Y14" s="388"/>
      <c r="Z14" s="388"/>
    </row>
    <row r="15" spans="1:26" x14ac:dyDescent="0.25">
      <c r="A15" s="407"/>
      <c r="B15" s="36">
        <v>6</v>
      </c>
      <c r="C15" s="37">
        <f>IF($C$64=0,($E$64/$E$68),($C$64/$E$68))*C41</f>
        <v>11.2049667447804</v>
      </c>
      <c r="D15" s="37">
        <f>IF(D41="","",(IF($C$64=0,($E$64/$E$68),($C$64/$E$68))*D41))</f>
        <v>0.47234341781719941</v>
      </c>
      <c r="E15" s="37">
        <f>IF(E41="","",(IF($C$64=0,($E$64/$E$68),($C$64/$E$68))*E41))</f>
        <v>68.582586132928782</v>
      </c>
      <c r="F15" s="38">
        <f ca="1">IF(SUM(C15:E15)=0,0,IF(E15="","",IF(D15="","",_xll.RiskPertAlt(2.5%,D15,"m. likely",C15,97.5%,E15,_xll.RiskTruncate(0,)))))</f>
        <v>26.241671744738895</v>
      </c>
      <c r="G15" s="37">
        <f>IF($D$64=0,($E$64/$E$68),($D$64/$E$68))*F41</f>
        <v>0</v>
      </c>
      <c r="H15" s="37">
        <f>IF(G41="","",IF($D$64=0,($E$64/$E$68),($D$64/$E$68))*G41)</f>
        <v>0</v>
      </c>
      <c r="I15" s="37">
        <f>IF(H41="","",IF($D$64=0,($E$64/$E$68),($D$64/$E$68))*H41)</f>
        <v>0</v>
      </c>
      <c r="J15" s="38">
        <f>IF(SUM(G15:I15)=0,0,IF(I15="","",IF(H15="","",_xll.RiskPertAlt(2.5%,H15,"m. likely",G15,97.5%,I15,_xll.RiskTruncate(0,)))))</f>
        <v>0</v>
      </c>
      <c r="K15" s="37">
        <f ca="1">IF(F15="",C15,F15)+IF(J15="",G15,J15)</f>
        <v>26.241671744738895</v>
      </c>
      <c r="L15" s="37">
        <f>C15+G15</f>
        <v>11.2049667447804</v>
      </c>
      <c r="M15" s="39">
        <f ca="1">IF(Uncertainty=TRUE,K15,L15)</f>
        <v>26.241671744738895</v>
      </c>
      <c r="N15" s="388"/>
      <c r="O15" s="388"/>
      <c r="P15" s="388"/>
      <c r="Q15" s="388"/>
      <c r="R15" s="388"/>
      <c r="S15" s="388"/>
      <c r="T15" s="388"/>
      <c r="U15" s="388"/>
      <c r="V15" s="388"/>
      <c r="W15" s="388"/>
      <c r="X15" s="388"/>
      <c r="Y15" s="388"/>
      <c r="Z15" s="388"/>
    </row>
    <row r="16" spans="1:26" x14ac:dyDescent="0.25">
      <c r="A16" s="388"/>
      <c r="B16" s="36">
        <v>12</v>
      </c>
      <c r="C16" s="37">
        <f>IF($C$65=0,($E$65/$E$68),($C$65/$E$68))*C41</f>
        <v>97.614612638625104</v>
      </c>
      <c r="D16" s="37">
        <f>IF(D41="","",IF($C$65=0,($E$65/$E$68),($C$65/$E$68))*D41)</f>
        <v>4.1149269616626434</v>
      </c>
      <c r="E16" s="37">
        <f>IF(E41="","",IF($C$65=0,($E$65/$E$68),($C$65/$E$68))*E41)</f>
        <v>597.47277538682158</v>
      </c>
      <c r="F16" s="38">
        <f ca="1">IF(SUM(C16:E16)=0,0,IF(E16="","",IF(D16="","",_xll.RiskPertAlt(2.5%,D16,"m. likely",C16,97.5%,E16,_xll.RiskTruncate(0,)))))</f>
        <v>228.61028334116804</v>
      </c>
      <c r="G16" s="37">
        <f>IF($D$65=0,($E$65/$E$68),($D$65/$E$68))*F41</f>
        <v>0</v>
      </c>
      <c r="H16" s="37">
        <f>IF(G41="","",IF($D$65=0,($E$65/$E$68),($D$65/$E$68))*G41)</f>
        <v>0</v>
      </c>
      <c r="I16" s="37">
        <f>IF(H41="","",IF($D$65=0,($E$65/$E$68),($D$65/$E$68))*H41)</f>
        <v>0</v>
      </c>
      <c r="J16" s="38">
        <f>IF(SUM(G16:I16)=0,0,IF(I16="","",IF(H16="","",_xll.RiskPertAlt(2.5%,H16,"m. likely",G16,97.5%,I16,_xll.RiskTruncate(0,)))))</f>
        <v>0</v>
      </c>
      <c r="K16" s="37">
        <f t="shared" ref="K16:K35" ca="1" si="0">IF(F16="",C16,F16)+IF(J16="",G16,J16)</f>
        <v>228.61028334116804</v>
      </c>
      <c r="L16" s="37">
        <f t="shared" ref="L16:L35" si="1">C16+G16</f>
        <v>97.614612638625104</v>
      </c>
      <c r="M16" s="39">
        <f t="shared" ref="M16:M35" ca="1" si="2">IF(Uncertainty=TRUE,K16,L16)</f>
        <v>228.61028334116804</v>
      </c>
      <c r="N16" s="388"/>
      <c r="O16" s="388"/>
      <c r="P16" s="388"/>
      <c r="Q16" s="388"/>
      <c r="R16" s="388"/>
      <c r="S16" s="388"/>
      <c r="T16" s="388"/>
      <c r="U16" s="388"/>
      <c r="V16" s="388"/>
      <c r="W16" s="388"/>
      <c r="X16" s="388"/>
      <c r="Y16" s="388"/>
      <c r="Z16" s="388"/>
    </row>
    <row r="17" spans="1:26" x14ac:dyDescent="0.25">
      <c r="A17" s="388"/>
      <c r="B17" s="36">
        <v>18</v>
      </c>
      <c r="C17" s="37">
        <f>IF($C$66=0,($E$66/$E$68),($C$66/$E$68))*C41</f>
        <v>94.334605948192362</v>
      </c>
      <c r="D17" s="37">
        <f>IF(D41="","",IF($C$66=0,($E$66/$E$68),($C$66/$E$68))*D41)</f>
        <v>3.9766588520010075</v>
      </c>
      <c r="E17" s="37">
        <f>IF(E41="","",IF($C$66=0,($E$66/$E$68),($C$66/$E$68))*E41)</f>
        <v>577.39673710067711</v>
      </c>
      <c r="F17" s="38">
        <f ca="1">IF(SUM(C17:E17)=0,0,IF(E17="","",IF(D17="","",_xll.RiskPertAlt(2.5%,D17,"m. likely",C17,97.5%,E17,_xll.RiskTruncate(0,)))))</f>
        <v>220.92861316298615</v>
      </c>
      <c r="G17" s="37">
        <f>IF($D$66=0,($E$66/$E$68),($D$66/$E$68))*F41</f>
        <v>0</v>
      </c>
      <c r="H17" s="37">
        <f>IF(G41="","",IF($D$66=0,($E$66/$E$68),($D$66/$E$68))*G41)</f>
        <v>0</v>
      </c>
      <c r="I17" s="37">
        <f>IF(H41="","",IF($D$66=0,($E$66/$E$68),($D$66/$E$68))*H41)</f>
        <v>0</v>
      </c>
      <c r="J17" s="38">
        <f>IF(SUM(G17:I17)=0,0,IF(I17="","",IF(H17="","",_xll.RiskPertAlt(2.5%,H17,"m. likely",G17,97.5%,I17,_xll.RiskTruncate(0,)))))</f>
        <v>0</v>
      </c>
      <c r="K17" s="37">
        <f t="shared" ca="1" si="0"/>
        <v>220.92861316298615</v>
      </c>
      <c r="L17" s="37">
        <f t="shared" si="1"/>
        <v>94.334605948192362</v>
      </c>
      <c r="M17" s="39">
        <f t="shared" ca="1" si="2"/>
        <v>220.92861316298615</v>
      </c>
      <c r="N17" s="388"/>
      <c r="O17" s="388"/>
      <c r="P17" s="388"/>
      <c r="Q17" s="388"/>
      <c r="R17" s="388"/>
      <c r="S17" s="388"/>
      <c r="T17" s="388"/>
      <c r="U17" s="388"/>
      <c r="V17" s="388"/>
      <c r="W17" s="388"/>
      <c r="X17" s="388"/>
      <c r="Y17" s="388"/>
      <c r="Z17" s="388"/>
    </row>
    <row r="18" spans="1:26" x14ac:dyDescent="0.25">
      <c r="A18" s="388"/>
      <c r="B18" s="36">
        <v>24</v>
      </c>
      <c r="C18" s="37">
        <f>IF($C$67=0,($E$67/$E$68),($C$67/$E$68))*C41</f>
        <v>372.55808506430708</v>
      </c>
      <c r="D18" s="37">
        <f>IF(D41="","",IF($C$67=0,($E$67/$E$68),($C$67/$E$68))*D41)</f>
        <v>15.705121063092863</v>
      </c>
      <c r="E18" s="37">
        <f>IF(E41="","",IF($C$67=0,($E$67/$E$68),($C$67/$E$68))*E41)</f>
        <v>2280.3277814585435</v>
      </c>
      <c r="F18" s="38">
        <f ca="1">IF(SUM(C18:E18)=0,0,IF(E18="","",IF(D18="","",_xll.RiskPertAlt(2.5%,D18,"m. likely",C18,97.5%,E18,_xll.RiskTruncate(0,)))))</f>
        <v>872.51905309403674</v>
      </c>
      <c r="G18" s="37">
        <f>IF($D$67=0,($E$67/$E$68),($D$67/$E$68))*F41</f>
        <v>0</v>
      </c>
      <c r="H18" s="37">
        <f>IF(G41="","",IF($D$67=0,($E$67/$E$68),($D$67/$E$68))*G41)</f>
        <v>0</v>
      </c>
      <c r="I18" s="37">
        <f>IF(H41="","",IF($D$67=0,($E$67/$E$68),($D$67/$E$68))*H41)</f>
        <v>0</v>
      </c>
      <c r="J18" s="38">
        <f>IF(SUM(G18:I18)=0,0,IF(I18="","",IF(H18="","",_xll.RiskPertAlt(2.5%,H18,"m. likely",G18,97.5%,I18,_xll.RiskTruncate(0,)))))</f>
        <v>0</v>
      </c>
      <c r="K18" s="37">
        <f t="shared" ca="1" si="0"/>
        <v>872.51905309403674</v>
      </c>
      <c r="L18" s="37">
        <f t="shared" si="1"/>
        <v>372.55808506430708</v>
      </c>
      <c r="M18" s="39">
        <f t="shared" ca="1" si="2"/>
        <v>872.51905309403674</v>
      </c>
      <c r="N18" s="388"/>
      <c r="O18" s="388"/>
      <c r="P18" s="388"/>
      <c r="Q18" s="388"/>
      <c r="R18" s="388"/>
      <c r="S18" s="388"/>
      <c r="T18" s="388"/>
      <c r="U18" s="388"/>
      <c r="V18" s="388"/>
      <c r="W18" s="388"/>
      <c r="X18" s="388"/>
      <c r="Y18" s="388"/>
      <c r="Z18" s="388"/>
    </row>
    <row r="19" spans="1:26" x14ac:dyDescent="0.25">
      <c r="A19" s="388"/>
      <c r="B19" s="36">
        <v>30</v>
      </c>
      <c r="C19" s="37">
        <f t="shared" ref="C19:C34" si="3">C42</f>
        <v>193.68716660413833</v>
      </c>
      <c r="D19" s="37">
        <f t="shared" ref="D19:E34" si="4">IF(D42="","",D42)</f>
        <v>8.1944529156384913</v>
      </c>
      <c r="E19" s="37">
        <f t="shared" si="4"/>
        <v>1185.348757722792</v>
      </c>
      <c r="F19" s="38">
        <f ca="1">IF(SUM(C19:E19)=0,0,IF(E19="","",IF(D19="","",_xll.RiskPertAlt(2.5%,D19,"m. likely",C19,97.5%,E19,_xll.RiskTruncate(0,)))))</f>
        <v>453.55622071675703</v>
      </c>
      <c r="G19" s="37">
        <f t="shared" ref="G19:I35" si="5">IF(F42="","",F42)</f>
        <v>0</v>
      </c>
      <c r="H19" s="37">
        <f t="shared" si="5"/>
        <v>0</v>
      </c>
      <c r="I19" s="37">
        <f t="shared" si="5"/>
        <v>0</v>
      </c>
      <c r="J19" s="38">
        <f>IF(SUM(G19:I19)=0,0,IF(I19="","",IF(H19="","",_xll.RiskPertAlt(2.5%,H19,"m. likely",G19,97.5%,I19,_xll.RiskTruncate(0,)))))</f>
        <v>0</v>
      </c>
      <c r="K19" s="37">
        <f t="shared" ca="1" si="0"/>
        <v>453.55622071675703</v>
      </c>
      <c r="L19" s="37">
        <f t="shared" si="1"/>
        <v>193.68716660413833</v>
      </c>
      <c r="M19" s="39">
        <f t="shared" ca="1" si="2"/>
        <v>453.55622071675703</v>
      </c>
      <c r="N19" s="388"/>
      <c r="O19" s="388"/>
      <c r="P19" s="388"/>
      <c r="Q19" s="388"/>
      <c r="R19" s="388"/>
      <c r="S19" s="388"/>
      <c r="T19" s="388"/>
      <c r="U19" s="388"/>
      <c r="V19" s="388"/>
      <c r="W19" s="388"/>
      <c r="X19" s="388"/>
      <c r="Y19" s="388"/>
      <c r="Z19" s="388"/>
    </row>
    <row r="20" spans="1:26" x14ac:dyDescent="0.25">
      <c r="A20" s="388"/>
      <c r="B20" s="36">
        <v>36</v>
      </c>
      <c r="C20" s="37">
        <f t="shared" si="3"/>
        <v>186.91652407292531</v>
      </c>
      <c r="D20" s="37">
        <f t="shared" si="4"/>
        <v>7.9123149253281087</v>
      </c>
      <c r="E20" s="37">
        <f t="shared" si="4"/>
        <v>1143.889956238781</v>
      </c>
      <c r="F20" s="38">
        <f ca="1">IF(SUM(C20:E20)=0,0,IF(E20="","",IF(D20="","",_xll.RiskPertAlt(2.5%,D20,"m. likely",C20,97.5%,E20,_xll.RiskTruncate(0,)))))</f>
        <v>437.69373848572127</v>
      </c>
      <c r="G20" s="37">
        <f t="shared" si="5"/>
        <v>0</v>
      </c>
      <c r="H20" s="37">
        <f t="shared" si="5"/>
        <v>0</v>
      </c>
      <c r="I20" s="37">
        <f t="shared" si="5"/>
        <v>0</v>
      </c>
      <c r="J20" s="38">
        <f>IF(SUM(G20:I20)=0,0,IF(I20="","",IF(H20="","",_xll.RiskPertAlt(2.5%,H20,"m. likely",G20,97.5%,I20,_xll.RiskTruncate(0,)))))</f>
        <v>0</v>
      </c>
      <c r="K20" s="37">
        <f t="shared" ca="1" si="0"/>
        <v>437.69373848572127</v>
      </c>
      <c r="L20" s="37">
        <f t="shared" si="1"/>
        <v>186.91652407292531</v>
      </c>
      <c r="M20" s="39">
        <f t="shared" ca="1" si="2"/>
        <v>437.69373848572127</v>
      </c>
      <c r="N20" s="388"/>
      <c r="O20" s="388"/>
      <c r="P20" s="388"/>
      <c r="Q20" s="388"/>
      <c r="R20" s="388"/>
      <c r="S20" s="388"/>
      <c r="T20" s="388"/>
      <c r="U20" s="388"/>
      <c r="V20" s="388"/>
      <c r="W20" s="388"/>
      <c r="X20" s="388"/>
      <c r="Y20" s="388"/>
      <c r="Z20" s="388"/>
    </row>
    <row r="21" spans="1:26" x14ac:dyDescent="0.25">
      <c r="A21" s="388"/>
      <c r="B21" s="36">
        <v>48</v>
      </c>
      <c r="C21" s="37">
        <f t="shared" si="3"/>
        <v>106.50376381142226</v>
      </c>
      <c r="D21" s="37">
        <f t="shared" si="4"/>
        <v>4.5741986748786658</v>
      </c>
      <c r="E21" s="37">
        <f t="shared" si="4"/>
        <v>651.42885944122531</v>
      </c>
      <c r="F21" s="38">
        <f ca="1">IF(SUM(C21:E21)=0,0,IF(E21="","",IF(D21="","",_xll.RiskPertAlt(2.5%,D21,"m. likely",C21,97.5%,E21,_xll.RiskTruncate(0,)))))</f>
        <v>249.27734545545741</v>
      </c>
      <c r="G21" s="37">
        <f t="shared" si="5"/>
        <v>0</v>
      </c>
      <c r="H21" s="37">
        <f t="shared" si="5"/>
        <v>0</v>
      </c>
      <c r="I21" s="37">
        <f t="shared" si="5"/>
        <v>0</v>
      </c>
      <c r="J21" s="38">
        <f>IF(SUM(G21:I21)=0,0,IF(I21="","",IF(H21="","",_xll.RiskPertAlt(2.5%,H21,"m. likely",G21,97.5%,I21,_xll.RiskTruncate(0,)))))</f>
        <v>0</v>
      </c>
      <c r="K21" s="37">
        <f t="shared" ca="1" si="0"/>
        <v>249.27734545545741</v>
      </c>
      <c r="L21" s="37">
        <f t="shared" si="1"/>
        <v>106.50376381142226</v>
      </c>
      <c r="M21" s="39">
        <f t="shared" ca="1" si="2"/>
        <v>249.27734545545741</v>
      </c>
      <c r="N21" s="388"/>
      <c r="O21" s="388"/>
      <c r="P21" s="388"/>
      <c r="Q21" s="388"/>
      <c r="R21" s="388"/>
      <c r="S21" s="388"/>
      <c r="T21" s="388"/>
      <c r="U21" s="388"/>
      <c r="V21" s="388"/>
      <c r="W21" s="388"/>
      <c r="X21" s="388"/>
      <c r="Y21" s="388"/>
      <c r="Z21" s="388"/>
    </row>
    <row r="22" spans="1:26" x14ac:dyDescent="0.25">
      <c r="A22" s="388"/>
      <c r="B22" s="36">
        <v>60</v>
      </c>
      <c r="C22" s="37">
        <f t="shared" si="3"/>
        <v>62.864568459072167</v>
      </c>
      <c r="D22" s="37">
        <f t="shared" si="4"/>
        <v>2.7835893325258381</v>
      </c>
      <c r="E22" s="37">
        <f t="shared" si="4"/>
        <v>384.06316527647118</v>
      </c>
      <c r="F22" s="38">
        <f ca="1">IF(SUM(C22:E22)=0,0,IF(E22="","",IF(D22="","",_xll.RiskPertAlt(2.5%,D22,"m. likely",C22,97.5%,E22,_xll.RiskTruncate(0,)))))</f>
        <v>146.98831306559941</v>
      </c>
      <c r="G22" s="37">
        <f t="shared" si="5"/>
        <v>0</v>
      </c>
      <c r="H22" s="37">
        <f t="shared" si="5"/>
        <v>0</v>
      </c>
      <c r="I22" s="37">
        <f t="shared" si="5"/>
        <v>0</v>
      </c>
      <c r="J22" s="38">
        <f>IF(SUM(G22:I22)=0,0,IF(I22="","",IF(H22="","",_xll.RiskPertAlt(2.5%,H22,"m. likely",G22,97.5%,I22,_xll.RiskTruncate(0,)))))</f>
        <v>0</v>
      </c>
      <c r="K22" s="37">
        <f t="shared" ca="1" si="0"/>
        <v>146.98831306559941</v>
      </c>
      <c r="L22" s="37">
        <f t="shared" si="1"/>
        <v>62.864568459072167</v>
      </c>
      <c r="M22" s="39">
        <f t="shared" ca="1" si="2"/>
        <v>146.98831306559941</v>
      </c>
      <c r="N22" s="388"/>
      <c r="O22" s="388"/>
      <c r="P22" s="388"/>
      <c r="Q22" s="388"/>
      <c r="R22" s="388"/>
      <c r="S22" s="388"/>
      <c r="T22" s="388"/>
      <c r="U22" s="388"/>
      <c r="V22" s="388"/>
      <c r="W22" s="388"/>
      <c r="X22" s="388"/>
      <c r="Y22" s="388"/>
      <c r="Z22" s="388"/>
    </row>
    <row r="23" spans="1:26" x14ac:dyDescent="0.25">
      <c r="A23" s="388"/>
      <c r="B23" s="36">
        <v>72</v>
      </c>
      <c r="C23" s="37">
        <f t="shared" si="3"/>
        <v>36.799690710580023</v>
      </c>
      <c r="D23" s="37">
        <f t="shared" si="4"/>
        <v>1.7541343894378061</v>
      </c>
      <c r="E23" s="37">
        <f t="shared" si="4"/>
        <v>224.156549381719</v>
      </c>
      <c r="F23" s="38">
        <f ca="1">IF(SUM(C23:E23)=0,0,IF(E23="","",IF(D23="","",_xll.RiskPertAlt(2.5%,D23,"m. likely",C23,97.5%,E23,_xll.RiskTruncate(0,)))))</f>
        <v>85.821768881010428</v>
      </c>
      <c r="G23" s="37">
        <f t="shared" si="5"/>
        <v>0</v>
      </c>
      <c r="H23" s="37">
        <f t="shared" si="5"/>
        <v>0</v>
      </c>
      <c r="I23" s="37">
        <f t="shared" si="5"/>
        <v>0</v>
      </c>
      <c r="J23" s="38">
        <f>IF(SUM(G23:I23)=0,0,IF(I23="","",IF(H23="","",_xll.RiskPertAlt(2.5%,H23,"m. likely",G23,97.5%,I23,_xll.RiskTruncate(0,)))))</f>
        <v>0</v>
      </c>
      <c r="K23" s="37">
        <f t="shared" ca="1" si="0"/>
        <v>85.821768881010428</v>
      </c>
      <c r="L23" s="37">
        <f t="shared" si="1"/>
        <v>36.799690710580023</v>
      </c>
      <c r="M23" s="39">
        <f t="shared" ca="1" si="2"/>
        <v>85.821768881010428</v>
      </c>
      <c r="N23" s="388"/>
      <c r="O23" s="388"/>
      <c r="P23" s="388"/>
      <c r="Q23" s="388"/>
      <c r="R23" s="388"/>
      <c r="S23" s="388"/>
      <c r="T23" s="388"/>
      <c r="U23" s="388"/>
      <c r="V23" s="388"/>
      <c r="W23" s="388"/>
      <c r="X23" s="388"/>
      <c r="Y23" s="388"/>
      <c r="Z23" s="388"/>
    </row>
    <row r="24" spans="1:26" x14ac:dyDescent="0.25">
      <c r="A24" s="388"/>
      <c r="B24" s="36">
        <v>84</v>
      </c>
      <c r="C24" s="37">
        <f t="shared" si="3"/>
        <v>23.590567435306692</v>
      </c>
      <c r="D24" s="37">
        <f t="shared" si="4"/>
        <v>1.2884562906727097</v>
      </c>
      <c r="E24" s="37">
        <f t="shared" si="4"/>
        <v>142.8197629288438</v>
      </c>
      <c r="F24" s="38">
        <f ca="1">IF(SUM(C24:E24)=0,0,IF(E24="","",IF(D24="","",_xll.RiskPertAlt(2.5%,D24,"m. likely",C24,97.5%,E24,_xll.RiskTruncate(0,)))))</f>
        <v>54.724789170232327</v>
      </c>
      <c r="G24" s="37">
        <f t="shared" si="5"/>
        <v>0</v>
      </c>
      <c r="H24" s="37">
        <f t="shared" si="5"/>
        <v>0</v>
      </c>
      <c r="I24" s="37">
        <f t="shared" si="5"/>
        <v>0</v>
      </c>
      <c r="J24" s="38">
        <f>IF(SUM(G24:I24)=0,0,IF(I24="","",IF(H24="","",_xll.RiskPertAlt(2.5%,H24,"m. likely",G24,97.5%,I24,_xll.RiskTruncate(0,)))))</f>
        <v>0</v>
      </c>
      <c r="K24" s="37">
        <f t="shared" ca="1" si="0"/>
        <v>54.724789170232327</v>
      </c>
      <c r="L24" s="37">
        <f t="shared" si="1"/>
        <v>23.590567435306692</v>
      </c>
      <c r="M24" s="39">
        <f t="shared" ca="1" si="2"/>
        <v>54.724789170232327</v>
      </c>
      <c r="N24" s="388"/>
      <c r="O24" s="388"/>
      <c r="P24" s="388"/>
      <c r="Q24" s="388"/>
      <c r="R24" s="388"/>
      <c r="S24" s="388"/>
      <c r="T24" s="388"/>
      <c r="U24" s="388"/>
      <c r="V24" s="388"/>
      <c r="W24" s="388"/>
      <c r="X24" s="388"/>
      <c r="Y24" s="388"/>
      <c r="Z24" s="388"/>
    </row>
    <row r="25" spans="1:26" x14ac:dyDescent="0.25">
      <c r="A25" s="388"/>
      <c r="B25" s="36">
        <v>96</v>
      </c>
      <c r="C25" s="37">
        <f t="shared" si="3"/>
        <v>13.08403715046034</v>
      </c>
      <c r="D25" s="37">
        <f t="shared" si="4"/>
        <v>0.90803075729947347</v>
      </c>
      <c r="E25" s="37">
        <f t="shared" si="4"/>
        <v>78.178118924419934</v>
      </c>
      <c r="F25" s="38">
        <f ca="1">IF(SUM(C25:E25)=0,0,IF(E25="","",IF(D25="","",_xll.RiskPertAlt(2.5%,D25,"m. likely",C25,97.5%,E25,_xll.RiskTruncate(0,)))))</f>
        <v>30.010293731445895</v>
      </c>
      <c r="G25" s="37">
        <f t="shared" si="5"/>
        <v>0</v>
      </c>
      <c r="H25" s="37">
        <f t="shared" si="5"/>
        <v>0</v>
      </c>
      <c r="I25" s="37">
        <f t="shared" si="5"/>
        <v>0</v>
      </c>
      <c r="J25" s="38">
        <f>IF(SUM(G25:I25)=0,0,IF(I25="","",IF(H25="","",_xll.RiskPertAlt(2.5%,H25,"m. likely",G25,97.5%,I25,_xll.RiskTruncate(0,)))))</f>
        <v>0</v>
      </c>
      <c r="K25" s="37">
        <f t="shared" ca="1" si="0"/>
        <v>30.010293731445895</v>
      </c>
      <c r="L25" s="37">
        <f t="shared" si="1"/>
        <v>13.08403715046034</v>
      </c>
      <c r="M25" s="39">
        <f t="shared" ca="1" si="2"/>
        <v>30.010293731445895</v>
      </c>
      <c r="N25" s="388"/>
      <c r="O25" s="388"/>
      <c r="P25" s="388"/>
      <c r="Q25" s="388"/>
      <c r="R25" s="388"/>
      <c r="S25" s="388"/>
      <c r="T25" s="388"/>
      <c r="U25" s="388"/>
      <c r="V25" s="388"/>
      <c r="W25" s="388"/>
      <c r="X25" s="388"/>
      <c r="Y25" s="388"/>
      <c r="Z25" s="388"/>
    </row>
    <row r="26" spans="1:26" x14ac:dyDescent="0.25">
      <c r="A26" s="388"/>
      <c r="B26" s="36">
        <v>108</v>
      </c>
      <c r="C26" s="37">
        <f t="shared" si="3"/>
        <v>6.4127949213111606</v>
      </c>
      <c r="D26" s="37">
        <f t="shared" si="4"/>
        <v>0.64349160043532982</v>
      </c>
      <c r="E26" s="37">
        <f t="shared" si="4"/>
        <v>37.256036130416192</v>
      </c>
      <c r="F26" s="38">
        <f ca="1">IF(SUM(C26:E26)=0,0,IF(E26="","",IF(D26="","",_xll.RiskPertAlt(2.5%,D26,"m. likely",C26,97.5%,E26,_xll.RiskTruncate(0,)))))</f>
        <v>14.363738031397297</v>
      </c>
      <c r="G26" s="37">
        <f t="shared" si="5"/>
        <v>0</v>
      </c>
      <c r="H26" s="37">
        <f t="shared" si="5"/>
        <v>0</v>
      </c>
      <c r="I26" s="37">
        <f t="shared" si="5"/>
        <v>0</v>
      </c>
      <c r="J26" s="38">
        <f>IF(SUM(G26:I26)=0,0,IF(I26="","",IF(H26="","",_xll.RiskPertAlt(2.5%,H26,"m. likely",G26,97.5%,I26,_xll.RiskTruncate(0,)))))</f>
        <v>0</v>
      </c>
      <c r="K26" s="37">
        <f t="shared" ca="1" si="0"/>
        <v>14.363738031397297</v>
      </c>
      <c r="L26" s="37">
        <f t="shared" si="1"/>
        <v>6.4127949213111606</v>
      </c>
      <c r="M26" s="39">
        <f t="shared" ca="1" si="2"/>
        <v>14.363738031397297</v>
      </c>
      <c r="N26" s="388"/>
      <c r="O26" s="388"/>
      <c r="P26" s="388"/>
      <c r="Q26" s="388"/>
      <c r="R26" s="388"/>
      <c r="S26" s="388"/>
      <c r="T26" s="388"/>
      <c r="U26" s="388"/>
      <c r="V26" s="388"/>
      <c r="W26" s="388"/>
      <c r="X26" s="388"/>
      <c r="Y26" s="388"/>
      <c r="Z26" s="388"/>
    </row>
    <row r="27" spans="1:26" x14ac:dyDescent="0.25">
      <c r="A27" s="388"/>
      <c r="B27" s="36">
        <v>120</v>
      </c>
      <c r="C27" s="37">
        <f t="shared" si="3"/>
        <v>2.94540039635051</v>
      </c>
      <c r="D27" s="37">
        <f t="shared" si="4"/>
        <v>0.47678291795987587</v>
      </c>
      <c r="E27" s="37">
        <f t="shared" si="4"/>
        <v>16.142862915526251</v>
      </c>
      <c r="F27" s="38">
        <f ca="1">IF(SUM(C27:E27)=0,0,IF(E27="","",IF(D27="","",_xll.RiskPertAlt(2.5%,D27,"m. likely",C27,97.5%,E27,_xll.RiskTruncate(0,)))))</f>
        <v>6.2982670339154181</v>
      </c>
      <c r="G27" s="37">
        <f t="shared" si="5"/>
        <v>0</v>
      </c>
      <c r="H27" s="37">
        <f t="shared" si="5"/>
        <v>0</v>
      </c>
      <c r="I27" s="37">
        <f t="shared" si="5"/>
        <v>0</v>
      </c>
      <c r="J27" s="38">
        <f>IF(SUM(G27:I27)=0,0,IF(I27="","",IF(H27="","",_xll.RiskPertAlt(2.5%,H27,"m. likely",G27,97.5%,I27,_xll.RiskTruncate(0,)))))</f>
        <v>0</v>
      </c>
      <c r="K27" s="37">
        <f t="shared" ca="1" si="0"/>
        <v>6.2982670339154181</v>
      </c>
      <c r="L27" s="37">
        <f t="shared" si="1"/>
        <v>2.94540039635051</v>
      </c>
      <c r="M27" s="39">
        <f t="shared" ca="1" si="2"/>
        <v>6.2982670339154181</v>
      </c>
      <c r="N27" s="388"/>
      <c r="O27" s="388"/>
      <c r="P27" s="388"/>
      <c r="Q27" s="388"/>
      <c r="R27" s="388"/>
      <c r="S27" s="388"/>
      <c r="T27" s="388"/>
      <c r="U27" s="388"/>
      <c r="V27" s="388"/>
      <c r="W27" s="388"/>
      <c r="X27" s="388"/>
      <c r="Y27" s="388"/>
      <c r="Z27" s="388"/>
    </row>
    <row r="28" spans="1:26" x14ac:dyDescent="0.25">
      <c r="A28" s="388"/>
      <c r="B28" s="36">
        <v>132</v>
      </c>
      <c r="C28" s="37">
        <f>C51</f>
        <v>1.3552098376758253</v>
      </c>
      <c r="D28" s="37">
        <f t="shared" si="4"/>
        <v>0.36840509512074593</v>
      </c>
      <c r="E28" s="37">
        <f t="shared" si="4"/>
        <v>6.6307613225117539</v>
      </c>
      <c r="F28" s="38">
        <f ca="1">IF(SUM(C28:E28)=0,0,IF(E28="","",IF(D28="","",_xll.RiskPertAlt(2.5%,D28,"m. likely",C28,97.5%,E28,_xll.RiskTruncate(0,)))))</f>
        <v>2.6926396331571585</v>
      </c>
      <c r="G28" s="37">
        <f t="shared" si="5"/>
        <v>0</v>
      </c>
      <c r="H28" s="37">
        <f t="shared" si="5"/>
        <v>0</v>
      </c>
      <c r="I28" s="37">
        <f t="shared" si="5"/>
        <v>0</v>
      </c>
      <c r="J28" s="38">
        <f>IF(SUM(G28:I28)=0,0,IF(I28="","",IF(H28="","",_xll.RiskPertAlt(2.5%,H28,"m. likely",G28,97.5%,I28,_xll.RiskTruncate(0,)))))</f>
        <v>0</v>
      </c>
      <c r="K28" s="40">
        <f ca="1">IF(F28="",C28,F28)+IF(J28="",G28,J28)</f>
        <v>2.6926396331571585</v>
      </c>
      <c r="L28" s="40">
        <f t="shared" si="1"/>
        <v>1.3552098376758253</v>
      </c>
      <c r="M28" s="39">
        <f t="shared" ca="1" si="2"/>
        <v>2.6926396331571585</v>
      </c>
      <c r="N28" s="388"/>
      <c r="O28" s="388"/>
      <c r="P28" s="388"/>
      <c r="Q28" s="388"/>
      <c r="R28" s="388"/>
      <c r="S28" s="388"/>
      <c r="T28" s="388"/>
      <c r="U28" s="388"/>
      <c r="V28" s="388"/>
      <c r="W28" s="388"/>
      <c r="X28" s="388"/>
      <c r="Y28" s="388"/>
      <c r="Z28" s="388"/>
    </row>
    <row r="29" spans="1:26" x14ac:dyDescent="0.25">
      <c r="A29" s="388"/>
      <c r="B29" s="36">
        <v>144</v>
      </c>
      <c r="C29" s="37">
        <f t="shared" si="3"/>
        <v>0.66185725220959979</v>
      </c>
      <c r="D29" s="37">
        <f t="shared" si="4"/>
        <v>0.28762317994705261</v>
      </c>
      <c r="E29" s="37">
        <f t="shared" si="4"/>
        <v>2.662547997259062</v>
      </c>
      <c r="F29" s="38">
        <f ca="1">IF(SUM(C29:E29)=0,0,IF(E29="","",IF(D29="","",_xll.RiskPertAlt(2.5%,D29,"m. likely",C29,97.5%,E29,_xll.RiskTruncate(0,)))))</f>
        <v>1.169061744794532</v>
      </c>
      <c r="G29" s="37">
        <f t="shared" si="5"/>
        <v>0</v>
      </c>
      <c r="H29" s="37">
        <f t="shared" si="5"/>
        <v>0</v>
      </c>
      <c r="I29" s="37">
        <f t="shared" si="5"/>
        <v>0</v>
      </c>
      <c r="J29" s="38">
        <f>IF(SUM(G29:I29)=0,0,IF(I29="","",IF(H29="","",_xll.RiskPertAlt(2.5%,H29,"m. likely",G29,97.5%,I29,_xll.RiskTruncate(0,)))))</f>
        <v>0</v>
      </c>
      <c r="K29" s="40">
        <f ca="1">IF(F29="",C29,F29)+IF(J29="",G29,J29)</f>
        <v>1.169061744794532</v>
      </c>
      <c r="L29" s="40">
        <f t="shared" si="1"/>
        <v>0.66185725220959979</v>
      </c>
      <c r="M29" s="39">
        <f t="shared" ca="1" si="2"/>
        <v>1.169061744794532</v>
      </c>
      <c r="N29" s="388"/>
      <c r="O29" s="388"/>
      <c r="P29" s="388"/>
      <c r="Q29" s="388"/>
      <c r="R29" s="388"/>
      <c r="S29" s="388"/>
      <c r="T29" s="388"/>
      <c r="U29" s="388"/>
      <c r="V29" s="388"/>
      <c r="W29" s="388"/>
      <c r="X29" s="388"/>
      <c r="Y29" s="388"/>
      <c r="Z29" s="388"/>
    </row>
    <row r="30" spans="1:26" x14ac:dyDescent="0.25">
      <c r="A30" s="388"/>
      <c r="B30" s="36">
        <v>156</v>
      </c>
      <c r="C30" s="37">
        <f t="shared" si="3"/>
        <v>0.40567870999658573</v>
      </c>
      <c r="D30" s="37">
        <f t="shared" si="4"/>
        <v>0.25801796702358198</v>
      </c>
      <c r="E30" s="37">
        <f t="shared" si="4"/>
        <v>1.1950870075552305</v>
      </c>
      <c r="F30" s="38">
        <f ca="1">IF(SUM(C30:E30)=0,0,IF(E30="","",IF(D30="","",_xll.RiskPertAlt(2.5%,D30,"m. likely",C30,97.5%,E30,_xll.RiskTruncate(0,)))))</f>
        <v>0.60580530927053033</v>
      </c>
      <c r="G30" s="37">
        <f t="shared" si="5"/>
        <v>0</v>
      </c>
      <c r="H30" s="37">
        <f t="shared" si="5"/>
        <v>0</v>
      </c>
      <c r="I30" s="37">
        <f t="shared" si="5"/>
        <v>0</v>
      </c>
      <c r="J30" s="38">
        <f>IF(SUM(G30:I30)=0,0,IF(I30="","",IF(H30="","",_xll.RiskPertAlt(2.5%,H30,"m. likely",G30,97.5%,I30,_xll.RiskTruncate(0,)))))</f>
        <v>0</v>
      </c>
      <c r="K30" s="40">
        <f t="shared" ca="1" si="0"/>
        <v>0.60580530927053033</v>
      </c>
      <c r="L30" s="40">
        <f t="shared" si="1"/>
        <v>0.40567870999658573</v>
      </c>
      <c r="M30" s="39">
        <f t="shared" ca="1" si="2"/>
        <v>0.60580530927053033</v>
      </c>
      <c r="N30" s="388"/>
      <c r="O30" s="388"/>
      <c r="P30" s="388"/>
      <c r="Q30" s="388"/>
      <c r="R30" s="388"/>
      <c r="S30" s="388"/>
      <c r="T30" s="388"/>
      <c r="U30" s="388"/>
      <c r="V30" s="388"/>
      <c r="W30" s="388"/>
      <c r="X30" s="388"/>
      <c r="Y30" s="388"/>
      <c r="Z30" s="388"/>
    </row>
    <row r="31" spans="1:26" x14ac:dyDescent="0.25">
      <c r="A31" s="388"/>
      <c r="B31" s="36">
        <v>168</v>
      </c>
      <c r="C31" s="37">
        <f t="shared" si="3"/>
        <v>0.28735746383503219</v>
      </c>
      <c r="D31" s="37">
        <f t="shared" si="4"/>
        <v>0.22310732037672149</v>
      </c>
      <c r="E31" s="37">
        <f t="shared" si="4"/>
        <v>0.63084480748599137</v>
      </c>
      <c r="F31" s="38">
        <f ca="1">IF(SUM(C31:E31)=0,0,IF(E31="","",IF(D31="","",_xll.RiskPertAlt(2.5%,D31,"m. likely",C31,97.5%,E31,_xll.RiskTruncate(0,)))))</f>
        <v>0.37443655103379114</v>
      </c>
      <c r="G31" s="37">
        <f t="shared" si="5"/>
        <v>0</v>
      </c>
      <c r="H31" s="37">
        <f t="shared" si="5"/>
        <v>0</v>
      </c>
      <c r="I31" s="37">
        <f t="shared" si="5"/>
        <v>0</v>
      </c>
      <c r="J31" s="38">
        <f>IF(SUM(G31:I31)=0,0,IF(I31="","",IF(H31="","",_xll.RiskPertAlt(2.5%,H31,"m. likely",G31,97.5%,I31,_xll.RiskTruncate(0,)))))</f>
        <v>0</v>
      </c>
      <c r="K31" s="40">
        <f t="shared" ca="1" si="0"/>
        <v>0.37443655103379114</v>
      </c>
      <c r="L31" s="40">
        <f t="shared" si="1"/>
        <v>0.28735746383503219</v>
      </c>
      <c r="M31" s="39">
        <f t="shared" ca="1" si="2"/>
        <v>0.37443655103379114</v>
      </c>
      <c r="N31" s="388"/>
      <c r="O31" s="388"/>
      <c r="P31" s="388"/>
      <c r="Q31" s="388"/>
      <c r="R31" s="388"/>
      <c r="S31" s="388"/>
      <c r="T31" s="388"/>
      <c r="U31" s="388"/>
      <c r="V31" s="388"/>
      <c r="W31" s="388"/>
      <c r="X31" s="388"/>
      <c r="Y31" s="388"/>
      <c r="Z31" s="388"/>
    </row>
    <row r="32" spans="1:26" x14ac:dyDescent="0.25">
      <c r="A32" s="388"/>
      <c r="B32" s="36">
        <v>180</v>
      </c>
      <c r="C32" s="37">
        <f t="shared" si="3"/>
        <v>0.11614098433110683</v>
      </c>
      <c r="D32" s="37">
        <f t="shared" si="4"/>
        <v>0.10074609864406327</v>
      </c>
      <c r="E32" s="37">
        <f t="shared" si="4"/>
        <v>0.19844349924897733</v>
      </c>
      <c r="F32" s="38">
        <f ca="1">IF(SUM(C32:E32)=0,0,IF(E32="","",IF(D32="","",_xll.RiskPertAlt(2.5%,D32,"m. likely",C32,97.5%,E32,_xll.RiskTruncate(0,)))))</f>
        <v>0.13700588082782469</v>
      </c>
      <c r="G32" s="37">
        <f t="shared" si="5"/>
        <v>0</v>
      </c>
      <c r="H32" s="37">
        <f t="shared" si="5"/>
        <v>0</v>
      </c>
      <c r="I32" s="37">
        <f t="shared" si="5"/>
        <v>0</v>
      </c>
      <c r="J32" s="38">
        <f>IF(SUM(G32:I32)=0,0,IF(I32="","",IF(H32="","",_xll.RiskPertAlt(2.5%,H32,"m. likely",G32,97.5%,I32,_xll.RiskTruncate(0,)))))</f>
        <v>0</v>
      </c>
      <c r="K32" s="40">
        <f t="shared" ca="1" si="0"/>
        <v>0.13700588082782469</v>
      </c>
      <c r="L32" s="40">
        <f t="shared" si="1"/>
        <v>0.11614098433110683</v>
      </c>
      <c r="M32" s="39">
        <f t="shared" ca="1" si="2"/>
        <v>0.13700588082782469</v>
      </c>
      <c r="N32" s="388"/>
      <c r="O32" s="388"/>
      <c r="P32" s="388"/>
      <c r="Q32" s="388"/>
      <c r="R32" s="388"/>
      <c r="S32" s="388"/>
      <c r="T32" s="388"/>
      <c r="U32" s="388"/>
      <c r="V32" s="388"/>
      <c r="W32" s="388"/>
      <c r="X32" s="388"/>
      <c r="Y32" s="388"/>
      <c r="Z32" s="388"/>
    </row>
    <row r="33" spans="1:26" x14ac:dyDescent="0.25">
      <c r="A33" s="388"/>
      <c r="B33" s="36">
        <v>192</v>
      </c>
      <c r="C33" s="37">
        <f t="shared" si="3"/>
        <v>1.4238092898136784E-2</v>
      </c>
      <c r="D33" s="37">
        <f t="shared" si="4"/>
        <v>1.33373980794858E-2</v>
      </c>
      <c r="E33" s="37">
        <f t="shared" si="4"/>
        <v>1.9053292585579109E-2</v>
      </c>
      <c r="F33" s="38">
        <f ca="1">IF(SUM(C33:E33)=0,0,IF(E33="","",IF(D33="","",_xll.RiskPertAlt(2.5%,D33,"m. likely",C33,97.5%,E33,_xll.RiskTruncate(0,)))))</f>
        <v>1.5458816750740054E-2</v>
      </c>
      <c r="G33" s="37">
        <f t="shared" si="5"/>
        <v>0</v>
      </c>
      <c r="H33" s="37">
        <f t="shared" si="5"/>
        <v>0</v>
      </c>
      <c r="I33" s="37">
        <f t="shared" si="5"/>
        <v>0</v>
      </c>
      <c r="J33" s="38">
        <f>IF(SUM(G33:I33)=0,0,IF(I33="","",IF(H33="","",_xll.RiskPertAlt(2.5%,H33,"m. likely",G33,97.5%,I33,_xll.RiskTruncate(0,)))))</f>
        <v>0</v>
      </c>
      <c r="K33" s="40">
        <f t="shared" ca="1" si="0"/>
        <v>1.5458816750740054E-2</v>
      </c>
      <c r="L33" s="40">
        <f t="shared" si="1"/>
        <v>1.4238092898136784E-2</v>
      </c>
      <c r="M33" s="39">
        <f t="shared" ca="1" si="2"/>
        <v>1.5458816750740054E-2</v>
      </c>
      <c r="N33" s="388"/>
      <c r="O33" s="388"/>
      <c r="P33" s="388"/>
      <c r="Q33" s="388"/>
      <c r="R33" s="388"/>
      <c r="S33" s="388"/>
      <c r="T33" s="388"/>
      <c r="U33" s="388"/>
      <c r="V33" s="388"/>
      <c r="W33" s="388"/>
      <c r="X33" s="388"/>
      <c r="Y33" s="388"/>
      <c r="Z33" s="388"/>
    </row>
    <row r="34" spans="1:26" x14ac:dyDescent="0.25">
      <c r="A34" s="388"/>
      <c r="B34" s="36">
        <v>204</v>
      </c>
      <c r="C34" s="37">
        <f t="shared" si="3"/>
        <v>2.6903251484113404E-3</v>
      </c>
      <c r="D34" s="37">
        <f t="shared" si="4"/>
        <v>2.6120753801571997E-3</v>
      </c>
      <c r="E34" s="37">
        <f t="shared" si="4"/>
        <v>3.1086558102931868E-3</v>
      </c>
      <c r="F34" s="38">
        <f ca="1">IF(SUM(C34:E34)=0,0,IF(E34="","",IF(D34="","",_xll.RiskPertAlt(2.5%,D34,"m. likely",C34,97.5%,E34,_xll.RiskTruncate(0,)))))</f>
        <v>2.7963781161764087E-3</v>
      </c>
      <c r="G34" s="37">
        <f t="shared" si="5"/>
        <v>0</v>
      </c>
      <c r="H34" s="37">
        <f t="shared" si="5"/>
        <v>0</v>
      </c>
      <c r="I34" s="37">
        <f t="shared" si="5"/>
        <v>0</v>
      </c>
      <c r="J34" s="38">
        <f>IF(SUM(G34:I34)=0,0,IF(I34="","",IF(H34="","",_xll.RiskPertAlt(2.5%,H34,"m. likely",G34,97.5%,I34,_xll.RiskTruncate(0,)))))</f>
        <v>0</v>
      </c>
      <c r="K34" s="40">
        <f t="shared" ca="1" si="0"/>
        <v>2.7963781161764087E-3</v>
      </c>
      <c r="L34" s="40">
        <f t="shared" si="1"/>
        <v>2.6903251484113404E-3</v>
      </c>
      <c r="M34" s="39">
        <f t="shared" ca="1" si="2"/>
        <v>2.7963781161764087E-3</v>
      </c>
      <c r="N34" s="388"/>
      <c r="O34" s="388"/>
      <c r="P34" s="388"/>
      <c r="Q34" s="388"/>
      <c r="R34" s="388"/>
      <c r="S34" s="388"/>
      <c r="T34" s="388"/>
      <c r="U34" s="388"/>
      <c r="V34" s="388"/>
      <c r="W34" s="388"/>
      <c r="X34" s="388"/>
      <c r="Y34" s="388"/>
      <c r="Z34" s="388"/>
    </row>
    <row r="35" spans="1:26" x14ac:dyDescent="0.25">
      <c r="A35" s="388"/>
      <c r="B35" s="36">
        <v>216</v>
      </c>
      <c r="C35" s="37">
        <f>C58</f>
        <v>8.3244516471607597E-4</v>
      </c>
      <c r="D35" s="37">
        <f t="shared" ref="D35:E35" si="6">IF(D58="","",D58)</f>
        <v>8.2265961875841256E-4</v>
      </c>
      <c r="E35" s="37">
        <f t="shared" si="6"/>
        <v>8.8475961891418861E-4</v>
      </c>
      <c r="F35" s="38">
        <f ca="1">IF(SUM(C35:E35)=0,0,IF(E35="","",IF(D35="","",_xll.RiskPertAlt(2.5%,D35,"m. likely",C35,97.5%,E35,_xll.RiskTruncate(0,)))))</f>
        <v>8.4570764731718619E-4</v>
      </c>
      <c r="G35" s="37">
        <f t="shared" si="5"/>
        <v>0</v>
      </c>
      <c r="H35" s="37">
        <f t="shared" si="5"/>
        <v>0</v>
      </c>
      <c r="I35" s="37">
        <f t="shared" si="5"/>
        <v>0</v>
      </c>
      <c r="J35" s="38">
        <f>IF(SUM(G35:I35)=0,0,IF(I35="","",IF(H35="","",_xll.RiskPertAlt(2.5%,H35,"m. likely",G35,97.5%,I35,_xll.RiskTruncate(0,)))))</f>
        <v>0</v>
      </c>
      <c r="K35" s="40">
        <f t="shared" ca="1" si="0"/>
        <v>8.4570764731718619E-4</v>
      </c>
      <c r="L35" s="40">
        <f t="shared" si="1"/>
        <v>8.3244516471607597E-4</v>
      </c>
      <c r="M35" s="39">
        <f t="shared" ca="1" si="2"/>
        <v>8.4570764731718619E-4</v>
      </c>
      <c r="N35" s="388"/>
      <c r="O35" s="388"/>
      <c r="P35" s="388"/>
      <c r="Q35" s="388"/>
      <c r="R35" s="388"/>
      <c r="S35" s="388"/>
      <c r="T35" s="388"/>
      <c r="U35" s="388"/>
      <c r="V35" s="388"/>
      <c r="W35" s="388"/>
      <c r="X35" s="388"/>
      <c r="Y35" s="388"/>
      <c r="Z35" s="388"/>
    </row>
    <row r="36" spans="1:26" x14ac:dyDescent="0.25">
      <c r="A36" s="388"/>
      <c r="B36" s="41" t="s">
        <v>158</v>
      </c>
      <c r="C36" s="42"/>
      <c r="D36" s="42"/>
      <c r="E36" s="42"/>
      <c r="F36" s="7"/>
      <c r="G36" s="42"/>
      <c r="H36" s="42"/>
      <c r="I36" s="42"/>
      <c r="J36" s="7"/>
      <c r="K36" s="43">
        <f ca="1">SUM(K15:K35)</f>
        <v>2832.0321459360648</v>
      </c>
      <c r="L36" s="43">
        <f>SUM(L15:L35)</f>
        <v>1211.360789068731</v>
      </c>
      <c r="M36" s="44">
        <f ca="1">ROUND(SUM(M15:M35),0)</f>
        <v>2832</v>
      </c>
      <c r="N36" s="388"/>
      <c r="O36" s="388"/>
      <c r="P36" s="388"/>
      <c r="Q36" s="388"/>
      <c r="R36" s="388"/>
      <c r="S36" s="388"/>
      <c r="T36" s="388"/>
      <c r="U36" s="388"/>
      <c r="V36" s="388"/>
      <c r="W36" s="388"/>
      <c r="X36" s="388"/>
      <c r="Y36" s="388"/>
      <c r="Z36" s="388"/>
    </row>
    <row r="37" spans="1:26" x14ac:dyDescent="0.25">
      <c r="A37" s="388"/>
      <c r="B37" s="388"/>
      <c r="C37" s="410"/>
      <c r="D37" s="388"/>
      <c r="E37" s="388"/>
      <c r="F37" s="388"/>
      <c r="G37" s="388"/>
      <c r="H37" s="388"/>
      <c r="I37" s="388"/>
      <c r="J37" s="388"/>
      <c r="K37" s="388"/>
      <c r="L37" s="388"/>
      <c r="M37" s="388"/>
      <c r="N37" s="388"/>
      <c r="O37" s="388"/>
      <c r="P37" s="388"/>
      <c r="Q37" s="388"/>
      <c r="R37" s="388"/>
      <c r="S37" s="388"/>
      <c r="T37" s="388"/>
      <c r="U37" s="388"/>
      <c r="V37" s="388"/>
      <c r="W37" s="388"/>
      <c r="X37" s="388"/>
      <c r="Y37" s="388"/>
      <c r="Z37" s="388"/>
    </row>
    <row r="38" spans="1:26" x14ac:dyDescent="0.25">
      <c r="A38" s="403" t="s">
        <v>159</v>
      </c>
      <c r="B38" s="403" t="s">
        <v>608</v>
      </c>
      <c r="C38" s="388"/>
      <c r="D38" s="388"/>
      <c r="E38" s="388"/>
      <c r="F38" s="388"/>
      <c r="G38" s="388"/>
      <c r="H38" s="388"/>
      <c r="I38" s="388"/>
      <c r="J38" s="388"/>
      <c r="K38" s="388"/>
      <c r="L38" s="388"/>
      <c r="M38" s="388"/>
      <c r="N38" s="388"/>
      <c r="O38" s="388"/>
      <c r="P38" s="388"/>
      <c r="Q38" s="388"/>
      <c r="R38" s="388"/>
      <c r="S38" s="388"/>
      <c r="T38" s="388"/>
      <c r="U38" s="388"/>
      <c r="V38" s="388"/>
      <c r="W38" s="388"/>
      <c r="X38" s="388"/>
      <c r="Y38" s="388"/>
      <c r="Z38" s="388"/>
    </row>
    <row r="39" spans="1:26" x14ac:dyDescent="0.25">
      <c r="A39" s="388"/>
      <c r="B39" s="388" t="s">
        <v>602</v>
      </c>
      <c r="C39" s="388"/>
      <c r="D39" s="388"/>
      <c r="E39" s="388"/>
      <c r="F39" s="388"/>
      <c r="G39" s="388"/>
      <c r="H39" s="388"/>
      <c r="I39" s="388"/>
      <c r="J39" s="388"/>
      <c r="K39" s="388"/>
      <c r="L39" s="388"/>
      <c r="M39" s="388"/>
      <c r="N39" s="388"/>
      <c r="O39" s="388"/>
      <c r="P39" s="388"/>
      <c r="Q39" s="388"/>
      <c r="R39" s="388"/>
      <c r="S39" s="388"/>
      <c r="T39" s="388"/>
      <c r="U39" s="388"/>
      <c r="V39" s="388"/>
      <c r="W39" s="388"/>
      <c r="X39" s="388"/>
      <c r="Y39" s="388"/>
      <c r="Z39" s="388"/>
    </row>
    <row r="40" spans="1:26" x14ac:dyDescent="0.25">
      <c r="A40" s="388"/>
      <c r="B40" s="45"/>
      <c r="C40" s="46" t="s">
        <v>606</v>
      </c>
      <c r="D40" s="10" t="s">
        <v>151</v>
      </c>
      <c r="E40" s="10" t="s">
        <v>152</v>
      </c>
      <c r="F40" s="46" t="s">
        <v>607</v>
      </c>
      <c r="G40" s="10" t="s">
        <v>154</v>
      </c>
      <c r="H40" s="11" t="s">
        <v>155</v>
      </c>
      <c r="I40" s="420"/>
      <c r="J40" s="388"/>
      <c r="K40" s="388"/>
      <c r="L40" s="388"/>
      <c r="M40" s="388"/>
      <c r="N40" s="388"/>
      <c r="O40" s="388"/>
      <c r="P40" s="388"/>
      <c r="Q40" s="388"/>
      <c r="R40" s="388"/>
      <c r="S40" s="388"/>
      <c r="T40" s="388"/>
      <c r="U40" s="388"/>
      <c r="V40" s="388"/>
      <c r="W40" s="388"/>
      <c r="X40" s="388"/>
      <c r="Y40" s="388"/>
      <c r="Z40" s="388"/>
    </row>
    <row r="41" spans="1:26" x14ac:dyDescent="0.25">
      <c r="A41" s="388"/>
      <c r="B41" s="47" t="s">
        <v>160</v>
      </c>
      <c r="C41" s="1">
        <f>IF(C104="NA","",IF(C104=" NA","",C104))</f>
        <v>575.71227039590497</v>
      </c>
      <c r="D41" s="1">
        <f t="shared" ref="D41:H41" si="7">IF(D104="NA","",IF(D104=" NA","",D104))</f>
        <v>24.269050294573713</v>
      </c>
      <c r="E41" s="1">
        <f>IF(E104="NA","",IF(E104=" NA","",E104))</f>
        <v>3523.779880078971</v>
      </c>
      <c r="F41" s="1">
        <f t="shared" si="7"/>
        <v>0</v>
      </c>
      <c r="G41" s="1">
        <f t="shared" si="7"/>
        <v>0</v>
      </c>
      <c r="H41" s="1">
        <f t="shared" si="7"/>
        <v>0</v>
      </c>
      <c r="I41" s="420"/>
      <c r="J41" s="421"/>
      <c r="K41" s="414"/>
      <c r="L41" s="391"/>
      <c r="M41" s="388"/>
      <c r="N41" s="388"/>
      <c r="O41" s="388"/>
      <c r="P41" s="388"/>
      <c r="Q41" s="388"/>
      <c r="R41" s="388"/>
      <c r="S41" s="388"/>
      <c r="T41" s="388"/>
      <c r="U41" s="388"/>
      <c r="V41" s="388"/>
      <c r="W41" s="388"/>
      <c r="X41" s="388"/>
      <c r="Y41" s="388"/>
      <c r="Z41" s="388"/>
    </row>
    <row r="42" spans="1:26" x14ac:dyDescent="0.25">
      <c r="A42" s="388"/>
      <c r="B42" s="47" t="s">
        <v>161</v>
      </c>
      <c r="C42" s="1">
        <f t="shared" ref="C42:H57" si="8">IF(C105="NA","",IF(C105=" NA","",C105))</f>
        <v>193.68716660413833</v>
      </c>
      <c r="D42" s="1">
        <f t="shared" si="8"/>
        <v>8.1944529156384913</v>
      </c>
      <c r="E42" s="1">
        <f t="shared" si="8"/>
        <v>1185.348757722792</v>
      </c>
      <c r="F42" s="1">
        <f t="shared" si="8"/>
        <v>0</v>
      </c>
      <c r="G42" s="1">
        <f t="shared" si="8"/>
        <v>0</v>
      </c>
      <c r="H42" s="1">
        <f t="shared" si="8"/>
        <v>0</v>
      </c>
      <c r="I42" s="420"/>
      <c r="J42" s="421"/>
      <c r="K42" s="391"/>
      <c r="L42" s="391"/>
      <c r="M42" s="388"/>
      <c r="N42" s="388"/>
      <c r="O42" s="388"/>
      <c r="P42" s="388"/>
      <c r="Q42" s="388"/>
      <c r="R42" s="388"/>
      <c r="S42" s="388"/>
      <c r="T42" s="388"/>
      <c r="U42" s="388"/>
      <c r="V42" s="388"/>
      <c r="W42" s="388"/>
      <c r="X42" s="388"/>
      <c r="Y42" s="388"/>
      <c r="Z42" s="388"/>
    </row>
    <row r="43" spans="1:26" x14ac:dyDescent="0.25">
      <c r="A43" s="388"/>
      <c r="B43" s="47" t="s">
        <v>162</v>
      </c>
      <c r="C43" s="1">
        <f t="shared" si="8"/>
        <v>186.91652407292531</v>
      </c>
      <c r="D43" s="1">
        <f t="shared" si="8"/>
        <v>7.9123149253281087</v>
      </c>
      <c r="E43" s="1">
        <f t="shared" si="8"/>
        <v>1143.889956238781</v>
      </c>
      <c r="F43" s="1">
        <f t="shared" si="8"/>
        <v>0</v>
      </c>
      <c r="G43" s="1">
        <f t="shared" si="8"/>
        <v>0</v>
      </c>
      <c r="H43" s="1">
        <f t="shared" si="8"/>
        <v>0</v>
      </c>
      <c r="I43" s="420"/>
      <c r="J43" s="421"/>
      <c r="K43" s="413"/>
      <c r="L43" s="391"/>
      <c r="M43" s="388"/>
      <c r="N43" s="388"/>
      <c r="O43" s="388"/>
      <c r="P43" s="388"/>
      <c r="Q43" s="388"/>
      <c r="R43" s="388"/>
      <c r="S43" s="388"/>
      <c r="T43" s="388"/>
      <c r="U43" s="388"/>
      <c r="V43" s="388"/>
      <c r="W43" s="388"/>
      <c r="X43" s="388"/>
      <c r="Y43" s="388"/>
      <c r="Z43" s="388"/>
    </row>
    <row r="44" spans="1:26" x14ac:dyDescent="0.25">
      <c r="A44" s="388"/>
      <c r="B44" s="47" t="s">
        <v>163</v>
      </c>
      <c r="C44" s="1">
        <f t="shared" si="8"/>
        <v>106.50376381142226</v>
      </c>
      <c r="D44" s="1">
        <f t="shared" si="8"/>
        <v>4.5741986748786658</v>
      </c>
      <c r="E44" s="1">
        <f t="shared" si="8"/>
        <v>651.42885944122531</v>
      </c>
      <c r="F44" s="1">
        <f t="shared" si="8"/>
        <v>0</v>
      </c>
      <c r="G44" s="1">
        <f t="shared" si="8"/>
        <v>0</v>
      </c>
      <c r="H44" s="1">
        <f t="shared" si="8"/>
        <v>0</v>
      </c>
      <c r="I44" s="420"/>
      <c r="J44" s="421"/>
      <c r="K44" s="391"/>
      <c r="L44" s="391"/>
      <c r="M44" s="388"/>
      <c r="N44" s="388"/>
      <c r="O44" s="388"/>
      <c r="P44" s="388"/>
      <c r="Q44" s="388"/>
      <c r="R44" s="388"/>
      <c r="S44" s="388"/>
      <c r="T44" s="388"/>
      <c r="U44" s="388"/>
      <c r="V44" s="388"/>
      <c r="W44" s="388"/>
      <c r="X44" s="388"/>
      <c r="Y44" s="388"/>
      <c r="Z44" s="388"/>
    </row>
    <row r="45" spans="1:26" x14ac:dyDescent="0.25">
      <c r="A45" s="388"/>
      <c r="B45" s="47" t="s">
        <v>164</v>
      </c>
      <c r="C45" s="1">
        <f t="shared" si="8"/>
        <v>62.864568459072167</v>
      </c>
      <c r="D45" s="1">
        <f t="shared" si="8"/>
        <v>2.7835893325258381</v>
      </c>
      <c r="E45" s="1">
        <f t="shared" si="8"/>
        <v>384.06316527647118</v>
      </c>
      <c r="F45" s="1">
        <f t="shared" si="8"/>
        <v>0</v>
      </c>
      <c r="G45" s="1">
        <f t="shared" si="8"/>
        <v>0</v>
      </c>
      <c r="H45" s="1">
        <f t="shared" si="8"/>
        <v>0</v>
      </c>
      <c r="I45" s="420"/>
      <c r="J45" s="421"/>
      <c r="K45" s="413"/>
      <c r="L45" s="391"/>
      <c r="M45" s="388"/>
      <c r="N45" s="388"/>
      <c r="O45" s="388"/>
      <c r="P45" s="388"/>
      <c r="Q45" s="388"/>
      <c r="R45" s="388"/>
      <c r="S45" s="388"/>
      <c r="T45" s="388"/>
      <c r="U45" s="388"/>
      <c r="V45" s="388"/>
      <c r="W45" s="388"/>
      <c r="X45" s="388"/>
      <c r="Y45" s="388"/>
      <c r="Z45" s="388"/>
    </row>
    <row r="46" spans="1:26" x14ac:dyDescent="0.25">
      <c r="A46" s="388"/>
      <c r="B46" s="47" t="s">
        <v>165</v>
      </c>
      <c r="C46" s="1">
        <f t="shared" si="8"/>
        <v>36.799690710580023</v>
      </c>
      <c r="D46" s="1">
        <f t="shared" si="8"/>
        <v>1.7541343894378061</v>
      </c>
      <c r="E46" s="1">
        <f t="shared" si="8"/>
        <v>224.156549381719</v>
      </c>
      <c r="F46" s="1">
        <f t="shared" si="8"/>
        <v>0</v>
      </c>
      <c r="G46" s="1">
        <f t="shared" si="8"/>
        <v>0</v>
      </c>
      <c r="H46" s="1">
        <f t="shared" si="8"/>
        <v>0</v>
      </c>
      <c r="I46" s="420"/>
      <c r="J46" s="421"/>
      <c r="K46" s="391"/>
      <c r="L46" s="391"/>
      <c r="M46" s="388"/>
      <c r="N46" s="388"/>
      <c r="O46" s="388"/>
      <c r="P46" s="388"/>
      <c r="Q46" s="388"/>
      <c r="R46" s="388"/>
      <c r="S46" s="388"/>
      <c r="T46" s="388"/>
      <c r="U46" s="388"/>
      <c r="V46" s="388"/>
      <c r="W46" s="388"/>
      <c r="X46" s="388"/>
      <c r="Y46" s="388"/>
      <c r="Z46" s="388"/>
    </row>
    <row r="47" spans="1:26" x14ac:dyDescent="0.25">
      <c r="A47" s="388"/>
      <c r="B47" s="47" t="s">
        <v>166</v>
      </c>
      <c r="C47" s="1">
        <f t="shared" si="8"/>
        <v>23.590567435306692</v>
      </c>
      <c r="D47" s="1">
        <f t="shared" si="8"/>
        <v>1.2884562906727097</v>
      </c>
      <c r="E47" s="1">
        <f t="shared" si="8"/>
        <v>142.8197629288438</v>
      </c>
      <c r="F47" s="1">
        <f t="shared" si="8"/>
        <v>0</v>
      </c>
      <c r="G47" s="1">
        <f t="shared" si="8"/>
        <v>0</v>
      </c>
      <c r="H47" s="1">
        <f t="shared" si="8"/>
        <v>0</v>
      </c>
      <c r="I47" s="420"/>
      <c r="J47" s="421"/>
      <c r="K47" s="414"/>
      <c r="L47" s="391"/>
      <c r="M47" s="391"/>
      <c r="N47" s="388"/>
      <c r="O47" s="388"/>
      <c r="P47" s="388"/>
      <c r="Q47" s="388"/>
      <c r="R47" s="388"/>
      <c r="S47" s="388"/>
      <c r="T47" s="388"/>
      <c r="U47" s="388"/>
      <c r="V47" s="388"/>
      <c r="W47" s="388"/>
      <c r="X47" s="388"/>
      <c r="Y47" s="388"/>
      <c r="Z47" s="388"/>
    </row>
    <row r="48" spans="1:26" x14ac:dyDescent="0.25">
      <c r="A48" s="388"/>
      <c r="B48" s="47" t="s">
        <v>167</v>
      </c>
      <c r="C48" s="1">
        <f t="shared" si="8"/>
        <v>13.08403715046034</v>
      </c>
      <c r="D48" s="1">
        <f t="shared" si="8"/>
        <v>0.90803075729947347</v>
      </c>
      <c r="E48" s="1">
        <f t="shared" si="8"/>
        <v>78.178118924419934</v>
      </c>
      <c r="F48" s="1">
        <f t="shared" si="8"/>
        <v>0</v>
      </c>
      <c r="G48" s="1">
        <f t="shared" si="8"/>
        <v>0</v>
      </c>
      <c r="H48" s="1">
        <f t="shared" si="8"/>
        <v>0</v>
      </c>
      <c r="I48" s="420"/>
      <c r="J48" s="421"/>
      <c r="K48" s="388"/>
      <c r="L48" s="391"/>
      <c r="M48" s="388"/>
      <c r="N48" s="388"/>
      <c r="O48" s="388"/>
      <c r="P48" s="388"/>
      <c r="Q48" s="388"/>
      <c r="R48" s="388"/>
      <c r="S48" s="388"/>
      <c r="T48" s="388"/>
      <c r="U48" s="388"/>
      <c r="V48" s="388"/>
      <c r="W48" s="388"/>
      <c r="X48" s="388"/>
      <c r="Y48" s="388"/>
      <c r="Z48" s="388"/>
    </row>
    <row r="49" spans="1:26" x14ac:dyDescent="0.25">
      <c r="A49" s="388"/>
      <c r="B49" s="47" t="s">
        <v>168</v>
      </c>
      <c r="C49" s="1">
        <f t="shared" si="8"/>
        <v>6.4127949213111606</v>
      </c>
      <c r="D49" s="1">
        <f t="shared" si="8"/>
        <v>0.64349160043532982</v>
      </c>
      <c r="E49" s="1">
        <f t="shared" si="8"/>
        <v>37.256036130416192</v>
      </c>
      <c r="F49" s="1">
        <f t="shared" si="8"/>
        <v>0</v>
      </c>
      <c r="G49" s="1">
        <f t="shared" si="8"/>
        <v>0</v>
      </c>
      <c r="H49" s="1">
        <f t="shared" si="8"/>
        <v>0</v>
      </c>
      <c r="I49" s="420"/>
      <c r="J49" s="421"/>
      <c r="K49" s="391"/>
      <c r="L49" s="391"/>
      <c r="M49" s="388"/>
      <c r="N49" s="388"/>
      <c r="O49" s="388"/>
      <c r="P49" s="388"/>
      <c r="Q49" s="388"/>
      <c r="R49" s="388"/>
      <c r="S49" s="388"/>
      <c r="T49" s="388"/>
      <c r="U49" s="388"/>
      <c r="V49" s="388"/>
      <c r="W49" s="388"/>
      <c r="X49" s="388"/>
      <c r="Y49" s="388"/>
      <c r="Z49" s="388"/>
    </row>
    <row r="50" spans="1:26" x14ac:dyDescent="0.25">
      <c r="A50" s="388"/>
      <c r="B50" s="47" t="s">
        <v>169</v>
      </c>
      <c r="C50" s="1">
        <f t="shared" si="8"/>
        <v>2.94540039635051</v>
      </c>
      <c r="D50" s="1">
        <f t="shared" si="8"/>
        <v>0.47678291795987587</v>
      </c>
      <c r="E50" s="1">
        <f t="shared" si="8"/>
        <v>16.142862915526251</v>
      </c>
      <c r="F50" s="1">
        <f t="shared" si="8"/>
        <v>0</v>
      </c>
      <c r="G50" s="1">
        <f t="shared" si="8"/>
        <v>0</v>
      </c>
      <c r="H50" s="1">
        <f t="shared" si="8"/>
        <v>0</v>
      </c>
      <c r="I50" s="420"/>
      <c r="J50" s="421"/>
      <c r="K50" s="413"/>
      <c r="L50" s="391"/>
      <c r="M50" s="388"/>
      <c r="N50" s="388"/>
      <c r="O50" s="388"/>
      <c r="P50" s="388"/>
      <c r="Q50" s="388"/>
      <c r="R50" s="388"/>
      <c r="S50" s="388"/>
      <c r="T50" s="388"/>
      <c r="U50" s="388"/>
      <c r="V50" s="388"/>
      <c r="W50" s="388"/>
      <c r="X50" s="388"/>
      <c r="Y50" s="388"/>
      <c r="Z50" s="388"/>
    </row>
    <row r="51" spans="1:26" x14ac:dyDescent="0.25">
      <c r="A51" s="388"/>
      <c r="B51" s="47" t="s">
        <v>170</v>
      </c>
      <c r="C51" s="1">
        <f t="shared" si="8"/>
        <v>1.3552098376758253</v>
      </c>
      <c r="D51" s="1">
        <f t="shared" si="8"/>
        <v>0.36840509512074593</v>
      </c>
      <c r="E51" s="1">
        <f t="shared" si="8"/>
        <v>6.6307613225117539</v>
      </c>
      <c r="F51" s="1">
        <f t="shared" si="8"/>
        <v>0</v>
      </c>
      <c r="G51" s="1">
        <f t="shared" si="8"/>
        <v>0</v>
      </c>
      <c r="H51" s="1">
        <f t="shared" si="8"/>
        <v>0</v>
      </c>
      <c r="I51" s="420"/>
      <c r="J51" s="421"/>
      <c r="K51" s="391"/>
      <c r="L51" s="391"/>
      <c r="M51" s="388"/>
      <c r="N51" s="388"/>
      <c r="O51" s="388"/>
      <c r="P51" s="388"/>
      <c r="Q51" s="388"/>
      <c r="R51" s="388"/>
      <c r="S51" s="388"/>
      <c r="T51" s="388"/>
      <c r="U51" s="388"/>
      <c r="V51" s="388"/>
      <c r="W51" s="388"/>
      <c r="X51" s="388"/>
      <c r="Y51" s="388"/>
      <c r="Z51" s="388"/>
    </row>
    <row r="52" spans="1:26" x14ac:dyDescent="0.25">
      <c r="A52" s="388"/>
      <c r="B52" s="47" t="s">
        <v>171</v>
      </c>
      <c r="C52" s="1">
        <f t="shared" si="8"/>
        <v>0.66185725220959979</v>
      </c>
      <c r="D52" s="1">
        <f t="shared" si="8"/>
        <v>0.28762317994705261</v>
      </c>
      <c r="E52" s="1">
        <f t="shared" si="8"/>
        <v>2.662547997259062</v>
      </c>
      <c r="F52" s="1">
        <f t="shared" si="8"/>
        <v>0</v>
      </c>
      <c r="G52" s="1">
        <f t="shared" si="8"/>
        <v>0</v>
      </c>
      <c r="H52" s="1">
        <f t="shared" si="8"/>
        <v>0</v>
      </c>
      <c r="I52" s="420"/>
      <c r="J52" s="421"/>
      <c r="K52" s="413"/>
      <c r="L52" s="391"/>
      <c r="M52" s="388"/>
      <c r="N52" s="388"/>
      <c r="O52" s="388"/>
      <c r="P52" s="388"/>
      <c r="Q52" s="388"/>
      <c r="R52" s="388"/>
      <c r="S52" s="388"/>
      <c r="T52" s="388"/>
      <c r="U52" s="388"/>
      <c r="V52" s="388"/>
      <c r="W52" s="388"/>
      <c r="X52" s="388"/>
      <c r="Y52" s="388"/>
      <c r="Z52" s="388"/>
    </row>
    <row r="53" spans="1:26" x14ac:dyDescent="0.25">
      <c r="A53" s="388"/>
      <c r="B53" s="47" t="s">
        <v>172</v>
      </c>
      <c r="C53" s="1">
        <f t="shared" si="8"/>
        <v>0.40567870999658573</v>
      </c>
      <c r="D53" s="1">
        <f t="shared" si="8"/>
        <v>0.25801796702358198</v>
      </c>
      <c r="E53" s="1">
        <f t="shared" si="8"/>
        <v>1.1950870075552305</v>
      </c>
      <c r="F53" s="1">
        <f t="shared" si="8"/>
        <v>0</v>
      </c>
      <c r="G53" s="1">
        <f t="shared" si="8"/>
        <v>0</v>
      </c>
      <c r="H53" s="1">
        <f t="shared" si="8"/>
        <v>0</v>
      </c>
      <c r="I53" s="420"/>
      <c r="J53" s="421"/>
      <c r="K53" s="388"/>
      <c r="L53" s="391"/>
      <c r="M53" s="388"/>
      <c r="N53" s="388"/>
      <c r="O53" s="388"/>
      <c r="P53" s="388"/>
      <c r="Q53" s="388"/>
      <c r="R53" s="388"/>
      <c r="S53" s="388"/>
      <c r="T53" s="388"/>
      <c r="U53" s="388"/>
      <c r="V53" s="388"/>
      <c r="W53" s="388"/>
      <c r="X53" s="388"/>
      <c r="Y53" s="388"/>
      <c r="Z53" s="388"/>
    </row>
    <row r="54" spans="1:26" x14ac:dyDescent="0.25">
      <c r="A54" s="388"/>
      <c r="B54" s="47" t="s">
        <v>173</v>
      </c>
      <c r="C54" s="1">
        <f t="shared" si="8"/>
        <v>0.28735746383503219</v>
      </c>
      <c r="D54" s="1">
        <f t="shared" si="8"/>
        <v>0.22310732037672149</v>
      </c>
      <c r="E54" s="1">
        <f t="shared" si="8"/>
        <v>0.63084480748599137</v>
      </c>
      <c r="F54" s="1">
        <f t="shared" si="8"/>
        <v>0</v>
      </c>
      <c r="G54" s="1">
        <f t="shared" si="8"/>
        <v>0</v>
      </c>
      <c r="H54" s="1">
        <f t="shared" si="8"/>
        <v>0</v>
      </c>
      <c r="I54" s="420"/>
      <c r="J54" s="421"/>
      <c r="K54" s="388"/>
      <c r="L54" s="391"/>
      <c r="M54" s="388"/>
      <c r="N54" s="388"/>
      <c r="O54" s="388"/>
      <c r="P54" s="388"/>
      <c r="Q54" s="388"/>
      <c r="R54" s="388"/>
      <c r="S54" s="388"/>
      <c r="T54" s="388"/>
      <c r="U54" s="388"/>
      <c r="V54" s="388"/>
      <c r="W54" s="388"/>
      <c r="X54" s="388"/>
      <c r="Y54" s="388"/>
      <c r="Z54" s="388"/>
    </row>
    <row r="55" spans="1:26" x14ac:dyDescent="0.25">
      <c r="A55" s="388"/>
      <c r="B55" s="47" t="s">
        <v>174</v>
      </c>
      <c r="C55" s="1">
        <f t="shared" si="8"/>
        <v>0.11614098433110683</v>
      </c>
      <c r="D55" s="1">
        <f t="shared" si="8"/>
        <v>0.10074609864406327</v>
      </c>
      <c r="E55" s="1">
        <f t="shared" si="8"/>
        <v>0.19844349924897733</v>
      </c>
      <c r="F55" s="1">
        <f t="shared" si="8"/>
        <v>0</v>
      </c>
      <c r="G55" s="1">
        <f t="shared" si="8"/>
        <v>0</v>
      </c>
      <c r="H55" s="1">
        <f t="shared" si="8"/>
        <v>0</v>
      </c>
      <c r="I55" s="420"/>
      <c r="J55" s="421"/>
      <c r="K55" s="391"/>
      <c r="L55" s="391"/>
      <c r="M55" s="388"/>
      <c r="N55" s="388"/>
      <c r="O55" s="388"/>
      <c r="P55" s="388"/>
      <c r="Q55" s="388"/>
      <c r="R55" s="388"/>
      <c r="S55" s="388"/>
      <c r="T55" s="388"/>
      <c r="U55" s="388"/>
      <c r="V55" s="388"/>
      <c r="W55" s="388"/>
      <c r="X55" s="388"/>
      <c r="Y55" s="388"/>
      <c r="Z55" s="388"/>
    </row>
    <row r="56" spans="1:26" x14ac:dyDescent="0.25">
      <c r="A56" s="388"/>
      <c r="B56" s="47" t="s">
        <v>175</v>
      </c>
      <c r="C56" s="1">
        <f t="shared" si="8"/>
        <v>1.4238092898136784E-2</v>
      </c>
      <c r="D56" s="1">
        <f t="shared" si="8"/>
        <v>1.33373980794858E-2</v>
      </c>
      <c r="E56" s="1">
        <f t="shared" si="8"/>
        <v>1.9053292585579109E-2</v>
      </c>
      <c r="F56" s="1">
        <f t="shared" si="8"/>
        <v>0</v>
      </c>
      <c r="G56" s="1">
        <f t="shared" si="8"/>
        <v>0</v>
      </c>
      <c r="H56" s="1">
        <f t="shared" si="8"/>
        <v>0</v>
      </c>
      <c r="I56" s="420"/>
      <c r="J56" s="421"/>
      <c r="K56" s="413"/>
      <c r="L56" s="391"/>
      <c r="M56" s="388"/>
      <c r="N56" s="388"/>
      <c r="O56" s="388"/>
      <c r="P56" s="388"/>
      <c r="Q56" s="388"/>
      <c r="R56" s="388"/>
      <c r="S56" s="388"/>
      <c r="T56" s="388"/>
      <c r="U56" s="388"/>
      <c r="V56" s="388"/>
      <c r="W56" s="388"/>
      <c r="X56" s="388"/>
      <c r="Y56" s="388"/>
      <c r="Z56" s="388"/>
    </row>
    <row r="57" spans="1:26" x14ac:dyDescent="0.25">
      <c r="A57" s="388"/>
      <c r="B57" s="47" t="s">
        <v>176</v>
      </c>
      <c r="C57" s="1">
        <f t="shared" si="8"/>
        <v>2.6903251484113404E-3</v>
      </c>
      <c r="D57" s="1">
        <f t="shared" si="8"/>
        <v>2.6120753801571997E-3</v>
      </c>
      <c r="E57" s="1">
        <f t="shared" si="8"/>
        <v>3.1086558102931868E-3</v>
      </c>
      <c r="F57" s="1">
        <f t="shared" si="8"/>
        <v>0</v>
      </c>
      <c r="G57" s="1">
        <f t="shared" si="8"/>
        <v>0</v>
      </c>
      <c r="H57" s="1">
        <f t="shared" si="8"/>
        <v>0</v>
      </c>
      <c r="I57" s="420"/>
      <c r="J57" s="421"/>
      <c r="K57" s="391"/>
      <c r="L57" s="391"/>
      <c r="M57" s="388"/>
      <c r="N57" s="388"/>
      <c r="O57" s="422"/>
      <c r="P57" s="388"/>
      <c r="Q57" s="388"/>
      <c r="R57" s="388"/>
      <c r="S57" s="388"/>
      <c r="T57" s="388"/>
      <c r="U57" s="388"/>
      <c r="V57" s="388"/>
      <c r="W57" s="388"/>
      <c r="X57" s="388"/>
      <c r="Y57" s="388"/>
      <c r="Z57" s="388"/>
    </row>
    <row r="58" spans="1:26" x14ac:dyDescent="0.25">
      <c r="A58" s="388"/>
      <c r="B58" s="49" t="s">
        <v>177</v>
      </c>
      <c r="C58" s="1">
        <f t="shared" ref="C58:H58" si="9">IF(C121="NA","",IF(C121=" NA","",C121))</f>
        <v>8.3244516471607597E-4</v>
      </c>
      <c r="D58" s="1">
        <f t="shared" si="9"/>
        <v>8.2265961875841256E-4</v>
      </c>
      <c r="E58" s="1">
        <f t="shared" si="9"/>
        <v>8.8475961891418861E-4</v>
      </c>
      <c r="F58" s="1">
        <f t="shared" si="9"/>
        <v>0</v>
      </c>
      <c r="G58" s="1">
        <f t="shared" si="9"/>
        <v>0</v>
      </c>
      <c r="H58" s="1">
        <f t="shared" si="9"/>
        <v>0</v>
      </c>
      <c r="I58" s="420"/>
      <c r="J58" s="421"/>
      <c r="K58" s="413"/>
      <c r="L58" s="391"/>
      <c r="M58" s="388"/>
      <c r="N58" s="388"/>
      <c r="O58" s="388"/>
      <c r="P58" s="388"/>
      <c r="Q58" s="388"/>
      <c r="R58" s="388"/>
      <c r="S58" s="388"/>
      <c r="T58" s="388"/>
      <c r="U58" s="388"/>
      <c r="V58" s="388"/>
      <c r="W58" s="388"/>
      <c r="X58" s="388"/>
      <c r="Y58" s="388"/>
      <c r="Z58" s="388"/>
    </row>
    <row r="59" spans="1:26" x14ac:dyDescent="0.25">
      <c r="A59" s="388"/>
      <c r="B59" s="411" t="s">
        <v>178</v>
      </c>
      <c r="C59" s="412"/>
      <c r="D59" s="412"/>
      <c r="E59" s="412"/>
      <c r="F59" s="412"/>
      <c r="G59" s="412"/>
      <c r="H59" s="412"/>
      <c r="I59" s="388"/>
      <c r="J59" s="388"/>
      <c r="K59" s="391"/>
      <c r="L59" s="391"/>
      <c r="M59" s="388"/>
      <c r="N59" s="388"/>
      <c r="O59" s="388"/>
      <c r="P59" s="388"/>
      <c r="Q59" s="388"/>
      <c r="R59" s="388"/>
      <c r="S59" s="388"/>
      <c r="T59" s="388"/>
      <c r="U59" s="388"/>
      <c r="V59" s="388"/>
      <c r="W59" s="388"/>
      <c r="X59" s="388"/>
      <c r="Y59" s="388"/>
      <c r="Z59" s="388"/>
    </row>
    <row r="60" spans="1:26" x14ac:dyDescent="0.25">
      <c r="A60" s="388"/>
      <c r="B60" s="388"/>
      <c r="C60" s="388"/>
      <c r="D60" s="388"/>
      <c r="E60" s="388"/>
      <c r="F60" s="388"/>
      <c r="G60" s="388"/>
      <c r="H60" s="388"/>
      <c r="I60" s="388"/>
      <c r="J60" s="388"/>
      <c r="K60" s="413"/>
      <c r="L60" s="391"/>
      <c r="M60" s="388"/>
      <c r="N60" s="388"/>
      <c r="O60" s="388"/>
      <c r="P60" s="388"/>
      <c r="Q60" s="388"/>
      <c r="R60" s="388"/>
      <c r="S60" s="388"/>
      <c r="T60" s="388"/>
      <c r="U60" s="388"/>
      <c r="V60" s="388"/>
      <c r="W60" s="388"/>
      <c r="X60" s="388"/>
      <c r="Y60" s="388"/>
      <c r="Z60" s="388"/>
    </row>
    <row r="61" spans="1:26" x14ac:dyDescent="0.25">
      <c r="A61" s="403" t="s">
        <v>179</v>
      </c>
      <c r="B61" s="403" t="s">
        <v>609</v>
      </c>
      <c r="C61" s="388"/>
      <c r="D61" s="388"/>
      <c r="E61" s="388"/>
      <c r="F61" s="388"/>
      <c r="G61" s="388"/>
      <c r="H61" s="388"/>
      <c r="I61" s="388"/>
      <c r="J61" s="388"/>
      <c r="K61" s="391"/>
      <c r="L61" s="391"/>
      <c r="M61" s="388"/>
      <c r="N61" s="388"/>
      <c r="O61" s="388"/>
      <c r="P61" s="388"/>
      <c r="Q61" s="388"/>
      <c r="R61" s="388"/>
      <c r="S61" s="388"/>
      <c r="T61" s="388"/>
      <c r="U61" s="388"/>
      <c r="V61" s="388"/>
      <c r="W61" s="388"/>
      <c r="X61" s="388"/>
      <c r="Y61" s="388"/>
      <c r="Z61" s="388"/>
    </row>
    <row r="62" spans="1:26" x14ac:dyDescent="0.25">
      <c r="A62" s="388"/>
      <c r="B62" s="388"/>
      <c r="C62" s="388"/>
      <c r="D62" s="388"/>
      <c r="E62" s="388"/>
      <c r="F62" s="388"/>
      <c r="G62" s="388"/>
      <c r="H62" s="388"/>
      <c r="I62" s="388"/>
      <c r="J62" s="388"/>
      <c r="K62" s="414"/>
      <c r="L62" s="391"/>
      <c r="M62" s="388"/>
      <c r="N62" s="388"/>
      <c r="O62" s="388"/>
      <c r="P62" s="388"/>
      <c r="Q62" s="388"/>
      <c r="R62" s="388"/>
      <c r="S62" s="388"/>
      <c r="T62" s="388"/>
      <c r="U62" s="388"/>
      <c r="V62" s="388"/>
      <c r="W62" s="388"/>
      <c r="X62" s="388"/>
      <c r="Y62" s="388"/>
      <c r="Z62" s="388"/>
    </row>
    <row r="63" spans="1:26" x14ac:dyDescent="0.25">
      <c r="A63" s="388"/>
      <c r="B63" s="45"/>
      <c r="C63" s="50" t="s">
        <v>156</v>
      </c>
      <c r="D63" s="50" t="s">
        <v>8</v>
      </c>
      <c r="E63" s="30" t="s">
        <v>180</v>
      </c>
      <c r="F63" s="388"/>
      <c r="G63" s="388"/>
      <c r="H63" s="388"/>
      <c r="I63" s="388"/>
      <c r="J63" s="388"/>
      <c r="K63" s="388"/>
      <c r="L63" s="388"/>
      <c r="M63" s="388"/>
      <c r="N63" s="388"/>
      <c r="O63" s="388"/>
      <c r="P63" s="388"/>
      <c r="Q63" s="388"/>
      <c r="R63" s="388"/>
      <c r="S63" s="388"/>
      <c r="T63" s="388"/>
      <c r="U63" s="388"/>
      <c r="V63" s="388"/>
      <c r="W63" s="388"/>
      <c r="X63" s="388"/>
      <c r="Y63" s="388"/>
      <c r="Z63" s="388"/>
    </row>
    <row r="64" spans="1:26" x14ac:dyDescent="0.25">
      <c r="A64" s="388"/>
      <c r="B64" s="47" t="s">
        <v>181</v>
      </c>
      <c r="E64">
        <v>44444</v>
      </c>
      <c r="F64" s="420"/>
      <c r="G64" s="388"/>
      <c r="H64" s="388"/>
      <c r="I64" s="388"/>
      <c r="J64" s="388"/>
      <c r="K64" s="388"/>
      <c r="L64" s="388"/>
      <c r="M64" s="388"/>
      <c r="N64" s="388"/>
      <c r="O64" s="388"/>
      <c r="P64" s="388"/>
      <c r="Q64" s="388"/>
      <c r="R64" s="388"/>
      <c r="S64" s="388"/>
      <c r="T64" s="388"/>
      <c r="U64" s="388"/>
      <c r="V64" s="388"/>
      <c r="W64" s="388"/>
      <c r="X64" s="388"/>
      <c r="Y64" s="388"/>
      <c r="Z64" s="388"/>
    </row>
    <row r="65" spans="1:26" x14ac:dyDescent="0.25">
      <c r="A65" s="388"/>
      <c r="B65" s="47" t="s">
        <v>9</v>
      </c>
      <c r="E65">
        <v>387184</v>
      </c>
      <c r="F65" s="420"/>
      <c r="G65" s="407" t="s">
        <v>182</v>
      </c>
      <c r="H65" s="388"/>
      <c r="I65" s="388"/>
      <c r="J65" s="388"/>
      <c r="K65" s="388"/>
      <c r="L65" s="388"/>
      <c r="M65" s="388"/>
      <c r="N65" s="388"/>
      <c r="O65" s="388"/>
      <c r="P65" s="388"/>
      <c r="Q65" s="388"/>
      <c r="R65" s="388"/>
      <c r="S65" s="388"/>
      <c r="T65" s="388"/>
      <c r="U65" s="388"/>
      <c r="V65" s="388"/>
      <c r="W65" s="388"/>
      <c r="X65" s="388"/>
      <c r="Y65" s="388"/>
      <c r="Z65" s="388"/>
    </row>
    <row r="66" spans="1:26" x14ac:dyDescent="0.25">
      <c r="A66" s="388"/>
      <c r="B66" s="47" t="s">
        <v>183</v>
      </c>
      <c r="E66">
        <v>374174</v>
      </c>
      <c r="F66" s="420"/>
      <c r="G66" s="388"/>
      <c r="H66" s="388"/>
      <c r="I66" s="388"/>
      <c r="J66" s="388"/>
      <c r="K66" s="388"/>
      <c r="L66" s="388"/>
      <c r="M66" s="388"/>
      <c r="N66" s="388"/>
      <c r="O66" s="388"/>
      <c r="P66" s="388"/>
      <c r="Q66" s="388"/>
      <c r="R66" s="388"/>
      <c r="S66" s="388"/>
      <c r="T66" s="388"/>
      <c r="U66" s="388"/>
      <c r="V66" s="388"/>
      <c r="W66" s="388"/>
      <c r="X66" s="388"/>
      <c r="Y66" s="388"/>
      <c r="Z66" s="388"/>
    </row>
    <row r="67" spans="1:26" x14ac:dyDescent="0.25">
      <c r="A67" s="388"/>
      <c r="B67" s="51" t="s">
        <v>10</v>
      </c>
      <c r="E67">
        <v>1477735</v>
      </c>
      <c r="F67" s="420"/>
      <c r="G67" s="388"/>
      <c r="H67" s="388"/>
      <c r="I67" s="388"/>
      <c r="J67" s="388"/>
      <c r="K67" s="388"/>
      <c r="L67" s="388"/>
      <c r="M67" s="388"/>
      <c r="N67" s="388"/>
      <c r="O67" s="388"/>
      <c r="P67" s="388"/>
      <c r="Q67" s="388"/>
      <c r="R67" s="388"/>
      <c r="S67" s="388"/>
      <c r="T67" s="388"/>
      <c r="U67" s="388"/>
      <c r="V67" s="388"/>
      <c r="W67" s="388"/>
      <c r="X67" s="388"/>
      <c r="Y67" s="388"/>
      <c r="Z67" s="388"/>
    </row>
    <row r="68" spans="1:26" x14ac:dyDescent="0.25">
      <c r="A68" s="388"/>
      <c r="B68" s="52" t="s">
        <v>184</v>
      </c>
      <c r="C68" s="53">
        <f>SUM(C64:C67)</f>
        <v>0</v>
      </c>
      <c r="D68" s="53">
        <f>SUM(D64:D67)</f>
        <v>0</v>
      </c>
      <c r="E68" s="54">
        <f>SUM(E64:E67)</f>
        <v>2283537</v>
      </c>
      <c r="F68" s="388"/>
      <c r="G68" s="388"/>
      <c r="H68" s="388"/>
      <c r="I68" s="388"/>
      <c r="J68" s="388"/>
      <c r="K68" s="388"/>
      <c r="L68" s="388"/>
      <c r="M68" s="388"/>
      <c r="N68" s="388"/>
      <c r="O68" s="388"/>
      <c r="P68" s="388"/>
      <c r="Q68" s="388"/>
      <c r="R68" s="388"/>
      <c r="S68" s="388"/>
      <c r="T68" s="388"/>
      <c r="U68" s="388"/>
      <c r="V68" s="388"/>
      <c r="W68" s="388"/>
      <c r="X68" s="388"/>
      <c r="Y68" s="388"/>
      <c r="Z68" s="388"/>
    </row>
    <row r="69" spans="1:26" x14ac:dyDescent="0.25">
      <c r="A69" s="388"/>
      <c r="B69" s="415"/>
      <c r="C69" s="392"/>
      <c r="D69" s="392"/>
      <c r="E69" s="388"/>
      <c r="F69" s="388"/>
      <c r="G69" s="388"/>
      <c r="H69" s="388"/>
      <c r="I69" s="388"/>
      <c r="J69" s="388"/>
      <c r="K69" s="388"/>
      <c r="L69" s="388"/>
      <c r="M69" s="388"/>
      <c r="N69" s="388"/>
      <c r="O69" s="388"/>
      <c r="P69" s="388"/>
      <c r="Q69" s="388"/>
      <c r="R69" s="388"/>
      <c r="S69" s="388"/>
      <c r="T69" s="388"/>
      <c r="U69" s="388"/>
      <c r="V69" s="388"/>
      <c r="W69" s="388"/>
      <c r="X69" s="388"/>
      <c r="Y69" s="388"/>
      <c r="Z69" s="388"/>
    </row>
    <row r="70" spans="1:26" x14ac:dyDescent="0.25">
      <c r="A70" s="388"/>
      <c r="B70" s="415"/>
      <c r="C70" s="392"/>
      <c r="D70" s="392"/>
      <c r="E70" s="388"/>
      <c r="F70" s="388"/>
      <c r="G70" s="388"/>
      <c r="H70" s="388"/>
      <c r="I70" s="388"/>
      <c r="J70" s="388"/>
      <c r="K70" s="388"/>
      <c r="L70" s="388"/>
      <c r="M70" s="388"/>
      <c r="N70" s="388"/>
      <c r="O70" s="388"/>
      <c r="P70" s="388"/>
      <c r="Q70" s="388"/>
      <c r="R70" s="388"/>
      <c r="S70" s="388"/>
      <c r="T70" s="388"/>
      <c r="U70" s="388"/>
      <c r="V70" s="388"/>
      <c r="W70" s="388"/>
      <c r="X70" s="388"/>
      <c r="Y70" s="388"/>
      <c r="Z70" s="388"/>
    </row>
    <row r="71" spans="1:26" x14ac:dyDescent="0.25">
      <c r="A71" s="388"/>
      <c r="B71" s="415"/>
      <c r="C71" s="392"/>
      <c r="D71" s="392"/>
      <c r="E71" s="388"/>
      <c r="F71" s="388"/>
      <c r="G71" s="388"/>
      <c r="H71" s="388"/>
      <c r="I71" s="388"/>
      <c r="J71" s="388"/>
      <c r="K71" s="388"/>
      <c r="L71" s="388"/>
      <c r="M71" s="388"/>
      <c r="N71" s="388"/>
      <c r="O71" s="388"/>
      <c r="P71" s="388"/>
      <c r="Q71" s="388"/>
      <c r="R71" s="388"/>
      <c r="S71" s="388"/>
      <c r="T71" s="388"/>
      <c r="U71" s="388"/>
      <c r="V71" s="388"/>
      <c r="W71" s="388"/>
      <c r="X71" s="388"/>
      <c r="Y71" s="388"/>
      <c r="Z71" s="388"/>
    </row>
    <row r="72" spans="1:26" x14ac:dyDescent="0.25">
      <c r="A72" s="388"/>
      <c r="B72" s="415"/>
      <c r="C72" s="392"/>
      <c r="D72" s="392"/>
      <c r="E72" s="388"/>
      <c r="F72" s="388"/>
      <c r="G72" s="388"/>
      <c r="H72" s="388"/>
      <c r="I72" s="388"/>
      <c r="J72" s="388"/>
      <c r="K72" s="388"/>
      <c r="L72" s="388"/>
      <c r="M72" s="388"/>
      <c r="N72" s="388"/>
      <c r="O72" s="388"/>
      <c r="P72" s="388"/>
      <c r="Q72" s="388"/>
      <c r="R72" s="388"/>
      <c r="S72" s="388"/>
      <c r="T72" s="388"/>
      <c r="U72" s="388"/>
      <c r="V72" s="388"/>
      <c r="W72" s="388"/>
      <c r="X72" s="388"/>
      <c r="Y72" s="388"/>
      <c r="Z72" s="388"/>
    </row>
    <row r="73" spans="1:26" x14ac:dyDescent="0.25">
      <c r="A73" s="388"/>
      <c r="B73" s="388"/>
      <c r="C73" s="388"/>
      <c r="D73" s="388"/>
      <c r="E73" s="388"/>
      <c r="F73" s="388"/>
      <c r="G73" s="388"/>
      <c r="H73" s="388"/>
      <c r="I73" s="388"/>
      <c r="J73" s="388"/>
      <c r="K73" s="388"/>
      <c r="L73" s="388"/>
      <c r="M73" s="388"/>
      <c r="N73" s="388"/>
      <c r="O73" s="388"/>
      <c r="P73" s="388"/>
      <c r="Q73" s="388"/>
      <c r="R73" s="388"/>
      <c r="S73" s="388"/>
      <c r="T73" s="388"/>
      <c r="U73" s="388"/>
      <c r="V73" s="388"/>
      <c r="W73" s="388"/>
      <c r="X73" s="388"/>
      <c r="Y73" s="388"/>
      <c r="Z73" s="388"/>
    </row>
    <row r="74" spans="1:26" x14ac:dyDescent="0.25">
      <c r="A74" s="403" t="s">
        <v>185</v>
      </c>
      <c r="B74" s="416" t="s">
        <v>186</v>
      </c>
      <c r="C74" s="388"/>
      <c r="D74" s="388"/>
      <c r="E74" s="388"/>
      <c r="F74" s="388"/>
      <c r="G74" s="388"/>
      <c r="H74" s="388"/>
      <c r="I74" s="388"/>
      <c r="J74" s="388"/>
      <c r="K74" s="388"/>
      <c r="L74" s="388"/>
      <c r="M74" s="388"/>
      <c r="N74" s="388"/>
      <c r="O74" s="388"/>
      <c r="P74" s="388"/>
      <c r="Q74" s="388"/>
      <c r="R74" s="388"/>
      <c r="S74" s="388"/>
      <c r="T74" s="388"/>
      <c r="U74" s="388"/>
      <c r="V74" s="388"/>
      <c r="W74" s="388"/>
      <c r="X74" s="388"/>
      <c r="Y74" s="388"/>
      <c r="Z74" s="388"/>
    </row>
    <row r="75" spans="1:26" x14ac:dyDescent="0.25">
      <c r="A75" s="403"/>
      <c r="B75" s="415" t="s">
        <v>187</v>
      </c>
      <c r="C75" s="388"/>
      <c r="D75" s="388"/>
      <c r="E75" s="388"/>
      <c r="F75" s="388"/>
      <c r="G75" s="388"/>
      <c r="H75" s="388"/>
      <c r="I75" s="388"/>
      <c r="J75" s="388"/>
      <c r="K75" s="388"/>
      <c r="L75" s="388"/>
      <c r="M75" s="388"/>
      <c r="N75" s="388"/>
      <c r="O75" s="388"/>
      <c r="P75" s="388"/>
      <c r="Q75" s="388"/>
      <c r="R75" s="388"/>
      <c r="S75" s="388"/>
      <c r="T75" s="388"/>
      <c r="U75" s="388"/>
      <c r="V75" s="388"/>
      <c r="W75" s="388"/>
      <c r="X75" s="388"/>
      <c r="Y75" s="388"/>
      <c r="Z75" s="388"/>
    </row>
    <row r="76" spans="1:26" x14ac:dyDescent="0.25">
      <c r="A76" s="388"/>
      <c r="B76" s="56" t="s">
        <v>188</v>
      </c>
      <c r="C76" s="57" t="s">
        <v>189</v>
      </c>
      <c r="D76" s="58"/>
      <c r="E76" s="388"/>
      <c r="F76" s="388" t="s">
        <v>190</v>
      </c>
      <c r="G76" s="388"/>
      <c r="H76" s="388"/>
      <c r="I76" s="388"/>
      <c r="J76" s="388"/>
      <c r="K76" s="388"/>
      <c r="L76" s="388"/>
      <c r="M76" s="388"/>
      <c r="N76" s="388"/>
      <c r="O76" s="388"/>
      <c r="P76" s="388"/>
      <c r="Q76" s="388"/>
      <c r="R76" s="388"/>
      <c r="S76" s="388"/>
      <c r="T76" s="388"/>
      <c r="U76" s="388"/>
      <c r="V76" s="388"/>
      <c r="W76" s="388"/>
      <c r="X76" s="388"/>
      <c r="Y76" s="388"/>
      <c r="Z76" s="388"/>
    </row>
    <row r="77" spans="1:26" ht="26.25" x14ac:dyDescent="0.25">
      <c r="A77" s="388"/>
      <c r="B77" s="59" t="s">
        <v>191</v>
      </c>
      <c r="C77" s="60" t="s">
        <v>192</v>
      </c>
      <c r="D77" s="61" t="s">
        <v>193</v>
      </c>
      <c r="E77" s="388"/>
      <c r="F77" s="388"/>
      <c r="G77" s="388"/>
      <c r="H77" s="388"/>
      <c r="I77" s="388"/>
      <c r="J77" s="388"/>
      <c r="K77" s="388"/>
      <c r="L77" s="388"/>
      <c r="M77" s="388"/>
      <c r="N77" s="388"/>
      <c r="O77" s="388"/>
      <c r="P77" s="388"/>
      <c r="Q77" s="388"/>
      <c r="R77" s="388"/>
      <c r="S77" s="388"/>
      <c r="T77" s="388"/>
      <c r="U77" s="388"/>
      <c r="V77" s="388"/>
      <c r="W77" s="388"/>
      <c r="X77" s="388"/>
      <c r="Y77" s="388"/>
      <c r="Z77" s="388"/>
    </row>
    <row r="78" spans="1:26" x14ac:dyDescent="0.25">
      <c r="A78" s="407"/>
      <c r="B78" s="62">
        <v>4.9702178835852047E-2</v>
      </c>
      <c r="C78" s="63">
        <v>6</v>
      </c>
      <c r="D78" s="64">
        <f>C78</f>
        <v>6</v>
      </c>
      <c r="E78" s="389"/>
      <c r="F78" s="423" t="s">
        <v>194</v>
      </c>
      <c r="G78" s="388"/>
      <c r="H78" s="388"/>
      <c r="I78" s="388"/>
      <c r="J78" s="388"/>
      <c r="K78" s="388"/>
      <c r="L78" s="388"/>
      <c r="M78" s="388"/>
      <c r="N78" s="388"/>
      <c r="O78" s="388"/>
      <c r="P78" s="388"/>
      <c r="Q78" s="388"/>
      <c r="R78" s="388"/>
      <c r="S78" s="388"/>
      <c r="T78" s="388"/>
      <c r="U78" s="388"/>
      <c r="V78" s="388"/>
      <c r="W78" s="388"/>
      <c r="X78" s="388"/>
      <c r="Y78" s="388"/>
      <c r="Z78" s="388"/>
    </row>
    <row r="79" spans="1:26" x14ac:dyDescent="0.25">
      <c r="A79" s="408"/>
      <c r="B79" s="62">
        <v>5.689288440103088E-2</v>
      </c>
      <c r="C79" s="19">
        <v>12</v>
      </c>
      <c r="D79" s="64">
        <f ca="1">_xll.RiskDiscrete(C$78:$C79,B$78:$B79)</f>
        <v>12</v>
      </c>
      <c r="E79" s="388"/>
      <c r="F79" s="388"/>
      <c r="G79" s="388"/>
      <c r="H79" s="388"/>
      <c r="I79" s="388"/>
      <c r="J79" s="388"/>
      <c r="K79" s="388"/>
      <c r="L79" s="388"/>
      <c r="M79" s="388"/>
      <c r="N79" s="388"/>
      <c r="O79" s="388"/>
      <c r="P79" s="388"/>
      <c r="Q79" s="388"/>
      <c r="R79" s="388"/>
      <c r="S79" s="388"/>
      <c r="T79" s="388"/>
      <c r="U79" s="388"/>
      <c r="V79" s="388"/>
      <c r="W79" s="388"/>
      <c r="X79" s="388"/>
      <c r="Y79" s="388"/>
      <c r="Z79" s="388"/>
    </row>
    <row r="80" spans="1:26" x14ac:dyDescent="0.25">
      <c r="A80" s="408"/>
      <c r="B80" s="62">
        <v>1.0272249461389427E-2</v>
      </c>
      <c r="C80" s="19">
        <v>18</v>
      </c>
      <c r="D80" s="64">
        <f ca="1">_xll.RiskDiscrete(C$78:$C80,B$78:$B80)</f>
        <v>12</v>
      </c>
      <c r="E80" s="388"/>
      <c r="F80" s="388"/>
      <c r="G80" s="424"/>
      <c r="H80" s="388"/>
      <c r="I80" s="388"/>
      <c r="J80" s="388"/>
      <c r="K80" s="388"/>
      <c r="L80" s="388"/>
      <c r="M80" s="388"/>
      <c r="N80" s="388"/>
      <c r="O80" s="388"/>
      <c r="P80" s="388"/>
      <c r="Q80" s="388"/>
      <c r="R80" s="388"/>
      <c r="S80" s="388"/>
      <c r="T80" s="388"/>
      <c r="U80" s="388"/>
      <c r="V80" s="388"/>
      <c r="W80" s="388"/>
      <c r="X80" s="388"/>
      <c r="Y80" s="388"/>
      <c r="Z80" s="388"/>
    </row>
    <row r="81" spans="1:26" x14ac:dyDescent="0.25">
      <c r="A81" s="388"/>
      <c r="B81" s="62">
        <v>4.8749965388059377E-3</v>
      </c>
      <c r="C81" s="19">
        <v>24</v>
      </c>
      <c r="D81" s="64">
        <f ca="1">_xll.RiskDiscrete(C$78:$C81,B$78:$B81)</f>
        <v>12</v>
      </c>
      <c r="E81" s="388"/>
      <c r="F81" s="388"/>
      <c r="G81" s="388"/>
      <c r="H81" s="388"/>
      <c r="I81" s="388"/>
      <c r="J81" s="388"/>
      <c r="K81" s="388"/>
      <c r="L81" s="388"/>
      <c r="M81" s="388"/>
      <c r="N81" s="388"/>
      <c r="O81" s="388"/>
      <c r="P81" s="388"/>
      <c r="Q81" s="388"/>
      <c r="R81" s="388"/>
      <c r="S81" s="388"/>
      <c r="T81" s="388"/>
      <c r="U81" s="388"/>
      <c r="V81" s="388"/>
      <c r="W81" s="388"/>
      <c r="X81" s="388"/>
      <c r="Y81" s="388"/>
      <c r="Z81" s="388"/>
    </row>
    <row r="82" spans="1:26" x14ac:dyDescent="0.25">
      <c r="A82" s="388"/>
      <c r="B82" s="62">
        <v>2.5123010557118923E-3</v>
      </c>
      <c r="C82" s="19">
        <v>36</v>
      </c>
      <c r="D82" s="64">
        <f ca="1">_xll.RiskDiscrete(C$78:$C82,B$78:$B82)</f>
        <v>12</v>
      </c>
      <c r="E82" s="388"/>
      <c r="F82" s="388"/>
      <c r="G82" s="388"/>
      <c r="H82" s="388"/>
      <c r="I82" s="388"/>
      <c r="J82" s="388"/>
      <c r="K82" s="388"/>
      <c r="L82" s="388"/>
      <c r="M82" s="388"/>
      <c r="N82" s="388"/>
      <c r="O82" s="388"/>
      <c r="P82" s="388"/>
      <c r="Q82" s="388"/>
      <c r="R82" s="388"/>
      <c r="S82" s="388"/>
      <c r="T82" s="388"/>
      <c r="U82" s="388"/>
      <c r="V82" s="388"/>
      <c r="W82" s="388"/>
      <c r="X82" s="388"/>
      <c r="Y82" s="388"/>
      <c r="Z82" s="388"/>
    </row>
    <row r="83" spans="1:26" x14ac:dyDescent="0.25">
      <c r="A83" s="388"/>
      <c r="B83" s="62">
        <v>1.4376968262330946E-3</v>
      </c>
      <c r="C83" s="19">
        <v>48</v>
      </c>
      <c r="D83" s="64">
        <f ca="1">_xll.RiskDiscrete(C$78:$C83,B$78:$B83)</f>
        <v>12</v>
      </c>
      <c r="E83" s="388"/>
      <c r="F83" s="388"/>
      <c r="G83" s="388"/>
      <c r="H83" s="388"/>
      <c r="I83" s="388"/>
      <c r="J83" s="388"/>
      <c r="K83" s="388"/>
      <c r="L83" s="388"/>
      <c r="M83" s="388"/>
      <c r="N83" s="388"/>
      <c r="O83" s="388"/>
      <c r="P83" s="388"/>
      <c r="Q83" s="388"/>
      <c r="R83" s="388"/>
      <c r="S83" s="388"/>
      <c r="T83" s="388"/>
      <c r="U83" s="388"/>
      <c r="V83" s="388"/>
      <c r="W83" s="388"/>
      <c r="X83" s="388"/>
      <c r="Y83" s="388"/>
      <c r="Z83" s="388"/>
    </row>
    <row r="84" spans="1:26" x14ac:dyDescent="0.25">
      <c r="A84" s="388"/>
      <c r="B84" s="62">
        <v>1.4376968262330946E-3</v>
      </c>
      <c r="C84" s="19">
        <v>60</v>
      </c>
      <c r="D84" s="64">
        <f ca="1">_xll.RiskDiscrete(C$78:$C84,B$78:$B84)</f>
        <v>12</v>
      </c>
      <c r="E84" s="388"/>
      <c r="F84" s="388"/>
      <c r="G84" s="388"/>
      <c r="H84" s="388"/>
      <c r="I84" s="388"/>
      <c r="J84" s="388"/>
      <c r="K84" s="388"/>
      <c r="L84" s="388"/>
      <c r="M84" s="388"/>
      <c r="N84" s="388"/>
      <c r="O84" s="388"/>
      <c r="P84" s="388"/>
      <c r="Q84" s="388"/>
      <c r="R84" s="388"/>
      <c r="S84" s="388"/>
      <c r="T84" s="388"/>
      <c r="U84" s="388"/>
      <c r="V84" s="388"/>
      <c r="W84" s="388"/>
      <c r="X84" s="388"/>
      <c r="Y84" s="388"/>
      <c r="Z84" s="388"/>
    </row>
    <row r="85" spans="1:26" x14ac:dyDescent="0.25">
      <c r="A85" s="388"/>
      <c r="B85" s="62">
        <v>1.4376968262330946E-3</v>
      </c>
      <c r="C85" s="19">
        <v>72</v>
      </c>
      <c r="D85" s="64">
        <f ca="1">_xll.RiskDiscrete(C$78:$C85,B$78:$B85)</f>
        <v>12</v>
      </c>
      <c r="E85" s="388"/>
      <c r="F85" s="388"/>
      <c r="G85" s="388"/>
      <c r="H85" s="388"/>
      <c r="I85" s="388"/>
      <c r="J85" s="388"/>
      <c r="K85" s="388"/>
      <c r="L85" s="388"/>
      <c r="M85" s="388"/>
      <c r="N85" s="388"/>
      <c r="O85" s="388"/>
      <c r="P85" s="388"/>
      <c r="Q85" s="388"/>
      <c r="R85" s="388"/>
      <c r="S85" s="388"/>
      <c r="T85" s="388"/>
      <c r="U85" s="388"/>
      <c r="V85" s="388"/>
      <c r="W85" s="388"/>
      <c r="X85" s="388"/>
      <c r="Y85" s="388"/>
      <c r="Z85" s="388"/>
    </row>
    <row r="86" spans="1:26" x14ac:dyDescent="0.25">
      <c r="A86" s="388"/>
      <c r="B86" s="62">
        <v>1.4376968262330946E-3</v>
      </c>
      <c r="C86" s="19">
        <v>84</v>
      </c>
      <c r="D86" s="64">
        <f ca="1">_xll.RiskDiscrete(C$78:$C86,B$78:$B86)</f>
        <v>12</v>
      </c>
      <c r="E86" s="388"/>
      <c r="F86" s="388"/>
      <c r="G86" s="388"/>
      <c r="H86" s="388"/>
      <c r="I86" s="388"/>
      <c r="J86" s="388"/>
      <c r="K86" s="388"/>
      <c r="L86" s="388"/>
      <c r="M86" s="388"/>
      <c r="N86" s="388"/>
      <c r="O86" s="388"/>
      <c r="P86" s="388"/>
      <c r="Q86" s="388"/>
      <c r="R86" s="388"/>
      <c r="S86" s="388"/>
      <c r="T86" s="388"/>
      <c r="U86" s="388"/>
      <c r="V86" s="388"/>
      <c r="W86" s="388"/>
      <c r="X86" s="388"/>
      <c r="Y86" s="388"/>
      <c r="Z86" s="388"/>
    </row>
    <row r="87" spans="1:26" x14ac:dyDescent="0.25">
      <c r="A87" s="388"/>
      <c r="B87" s="62">
        <v>1.4376968262330946E-3</v>
      </c>
      <c r="C87" s="19">
        <v>96</v>
      </c>
      <c r="D87" s="64">
        <f ca="1">_xll.RiskDiscrete(C$78:$C87,B$78:$B87)</f>
        <v>12</v>
      </c>
      <c r="E87" s="388"/>
      <c r="F87" s="388"/>
      <c r="G87" s="388"/>
      <c r="H87" s="388"/>
      <c r="I87" s="388"/>
      <c r="J87" s="388"/>
      <c r="K87" s="388"/>
      <c r="L87" s="388"/>
      <c r="M87" s="388"/>
      <c r="N87" s="388"/>
      <c r="O87" s="388"/>
      <c r="P87" s="388"/>
      <c r="Q87" s="388"/>
      <c r="R87" s="388"/>
      <c r="S87" s="388"/>
      <c r="T87" s="388"/>
      <c r="U87" s="388"/>
      <c r="V87" s="388"/>
      <c r="W87" s="388"/>
      <c r="X87" s="388"/>
      <c r="Y87" s="388"/>
      <c r="Z87" s="388"/>
    </row>
    <row r="88" spans="1:26" x14ac:dyDescent="0.25">
      <c r="A88" s="388"/>
      <c r="B88" s="62">
        <v>1.4376968262330946E-3</v>
      </c>
      <c r="C88" s="19">
        <v>108</v>
      </c>
      <c r="D88" s="64">
        <f ca="1">_xll.RiskDiscrete(C$78:$C88,B$78:$B88)</f>
        <v>18</v>
      </c>
      <c r="E88" s="388"/>
      <c r="F88" s="388"/>
      <c r="G88" s="388"/>
      <c r="H88" s="388"/>
      <c r="I88" s="388"/>
      <c r="J88" s="388"/>
      <c r="K88" s="388"/>
      <c r="L88" s="388"/>
      <c r="M88" s="388"/>
      <c r="N88" s="388"/>
      <c r="O88" s="388"/>
      <c r="P88" s="388"/>
      <c r="Q88" s="388"/>
      <c r="R88" s="388"/>
      <c r="S88" s="388"/>
      <c r="T88" s="388"/>
      <c r="U88" s="388"/>
      <c r="V88" s="388"/>
      <c r="W88" s="388"/>
      <c r="X88" s="388"/>
      <c r="Y88" s="388"/>
      <c r="Z88" s="388"/>
    </row>
    <row r="89" spans="1:26" x14ac:dyDescent="0.25">
      <c r="A89" s="388"/>
      <c r="B89" s="62">
        <v>1.4376968262330946E-3</v>
      </c>
      <c r="C89" s="19">
        <v>120</v>
      </c>
      <c r="D89" s="64">
        <f ca="1">_xll.RiskDiscrete(C$78:$C89,B$78:$B89)</f>
        <v>18</v>
      </c>
      <c r="E89" s="388"/>
      <c r="F89" s="388"/>
      <c r="G89" s="388"/>
      <c r="H89" s="388"/>
      <c r="I89" s="388"/>
      <c r="J89" s="388"/>
      <c r="K89" s="388"/>
      <c r="L89" s="388"/>
      <c r="M89" s="388"/>
      <c r="N89" s="388"/>
      <c r="O89" s="388"/>
      <c r="P89" s="388"/>
      <c r="Q89" s="388"/>
      <c r="R89" s="388"/>
      <c r="S89" s="388"/>
      <c r="T89" s="388"/>
      <c r="U89" s="388"/>
      <c r="V89" s="388"/>
      <c r="W89" s="388"/>
      <c r="X89" s="388"/>
      <c r="Y89" s="388"/>
      <c r="Z89" s="388"/>
    </row>
    <row r="90" spans="1:26" x14ac:dyDescent="0.25">
      <c r="A90" s="388"/>
      <c r="B90" s="62">
        <v>1.4376968262330946E-3</v>
      </c>
      <c r="C90" s="19">
        <v>132</v>
      </c>
      <c r="D90" s="64">
        <f ca="1">_xll.RiskDiscrete(C$78:$C90,B$78:$B90)</f>
        <v>18</v>
      </c>
      <c r="E90" s="388"/>
      <c r="F90" s="388"/>
      <c r="G90" s="388"/>
      <c r="H90" s="388"/>
      <c r="I90" s="388"/>
      <c r="J90" s="388"/>
      <c r="K90" s="388"/>
      <c r="L90" s="388"/>
      <c r="M90" s="388"/>
      <c r="N90" s="388"/>
      <c r="O90" s="388"/>
      <c r="P90" s="388"/>
      <c r="Q90" s="388"/>
      <c r="R90" s="388"/>
      <c r="S90" s="388"/>
      <c r="T90" s="388"/>
      <c r="U90" s="388"/>
      <c r="V90" s="388"/>
      <c r="W90" s="388"/>
      <c r="X90" s="388"/>
      <c r="Y90" s="388"/>
      <c r="Z90" s="388"/>
    </row>
    <row r="91" spans="1:26" x14ac:dyDescent="0.25">
      <c r="A91" s="388"/>
      <c r="B91" s="62">
        <v>1.4376968262330946E-3</v>
      </c>
      <c r="C91" s="19">
        <v>144</v>
      </c>
      <c r="D91" s="64">
        <f ca="1">_xll.RiskDiscrete(C$78:$C91,B$78:$B91)</f>
        <v>18</v>
      </c>
      <c r="E91" s="388"/>
      <c r="F91" s="388"/>
      <c r="G91" s="388"/>
      <c r="H91" s="388"/>
      <c r="I91" s="388"/>
      <c r="J91" s="388"/>
      <c r="K91" s="388"/>
      <c r="L91" s="388"/>
      <c r="M91" s="388"/>
      <c r="N91" s="388"/>
      <c r="O91" s="388"/>
      <c r="P91" s="388"/>
      <c r="Q91" s="388"/>
      <c r="R91" s="388"/>
      <c r="S91" s="388"/>
      <c r="T91" s="388"/>
      <c r="U91" s="388"/>
      <c r="V91" s="388"/>
      <c r="W91" s="388"/>
      <c r="X91" s="388"/>
      <c r="Y91" s="388"/>
      <c r="Z91" s="388"/>
    </row>
    <row r="92" spans="1:26" x14ac:dyDescent="0.25">
      <c r="A92" s="388"/>
      <c r="B92" s="62">
        <v>1.4376968262330946E-3</v>
      </c>
      <c r="C92" s="19">
        <v>156</v>
      </c>
      <c r="D92" s="64">
        <f ca="1">_xll.RiskDiscrete(C$78:$C92,B$78:$B92)</f>
        <v>18</v>
      </c>
      <c r="E92" s="388"/>
      <c r="F92" s="388"/>
      <c r="G92" s="388"/>
      <c r="H92" s="388"/>
      <c r="I92" s="388"/>
      <c r="J92" s="388"/>
      <c r="K92" s="388"/>
      <c r="L92" s="388"/>
      <c r="M92" s="388"/>
      <c r="N92" s="388"/>
      <c r="O92" s="388"/>
      <c r="P92" s="388"/>
      <c r="Q92" s="388"/>
      <c r="R92" s="388"/>
      <c r="S92" s="388"/>
      <c r="T92" s="388"/>
      <c r="U92" s="388"/>
      <c r="V92" s="388"/>
      <c r="W92" s="388"/>
      <c r="X92" s="388"/>
      <c r="Y92" s="388"/>
      <c r="Z92" s="388"/>
    </row>
    <row r="93" spans="1:26" x14ac:dyDescent="0.25">
      <c r="A93" s="388"/>
      <c r="B93" s="62">
        <v>1.4376968262330946E-3</v>
      </c>
      <c r="C93" s="19">
        <v>168</v>
      </c>
      <c r="D93" s="64">
        <f ca="1">_xll.RiskDiscrete(C$78:$C93,B$78:$B93)</f>
        <v>24</v>
      </c>
      <c r="E93" s="388"/>
      <c r="F93" s="388"/>
      <c r="G93" s="388"/>
      <c r="H93" s="388"/>
      <c r="I93" s="388"/>
      <c r="J93" s="388"/>
      <c r="K93" s="388"/>
      <c r="L93" s="388"/>
      <c r="M93" s="388"/>
      <c r="N93" s="388"/>
      <c r="O93" s="388"/>
      <c r="P93" s="388"/>
      <c r="Q93" s="388"/>
      <c r="R93" s="388"/>
      <c r="S93" s="388"/>
      <c r="T93" s="388"/>
      <c r="U93" s="388"/>
      <c r="V93" s="388"/>
      <c r="W93" s="388"/>
      <c r="X93" s="388"/>
      <c r="Y93" s="388"/>
      <c r="Z93" s="388"/>
    </row>
    <row r="94" spans="1:26" x14ac:dyDescent="0.25">
      <c r="A94" s="388"/>
      <c r="B94" s="62">
        <v>1.4376968262330946E-3</v>
      </c>
      <c r="C94" s="19">
        <v>180</v>
      </c>
      <c r="D94" s="64">
        <f ca="1">_xll.RiskDiscrete(C$78:$C94,B$78:$B94)</f>
        <v>24</v>
      </c>
      <c r="E94" s="388"/>
      <c r="F94" s="388"/>
      <c r="G94" s="388"/>
      <c r="H94" s="388"/>
      <c r="I94" s="388"/>
      <c r="J94" s="388"/>
      <c r="K94" s="388"/>
      <c r="L94" s="388"/>
      <c r="M94" s="388"/>
      <c r="N94" s="388"/>
      <c r="O94" s="388"/>
      <c r="P94" s="388"/>
      <c r="Q94" s="388"/>
      <c r="R94" s="388"/>
      <c r="S94" s="388"/>
      <c r="T94" s="388"/>
      <c r="U94" s="388"/>
      <c r="V94" s="388"/>
      <c r="W94" s="388"/>
      <c r="X94" s="388"/>
      <c r="Y94" s="388"/>
      <c r="Z94" s="388"/>
    </row>
    <row r="95" spans="1:26" x14ac:dyDescent="0.25">
      <c r="A95" s="388"/>
      <c r="B95" s="62">
        <v>1.4376968262330946E-3</v>
      </c>
      <c r="C95" s="19">
        <v>192</v>
      </c>
      <c r="D95" s="64">
        <f ca="1">_xll.RiskDiscrete(C$78:$C95,B$78:$B95)</f>
        <v>24</v>
      </c>
      <c r="E95" s="388"/>
      <c r="F95" s="388"/>
      <c r="G95" s="388"/>
      <c r="H95" s="388"/>
      <c r="I95" s="388"/>
      <c r="J95" s="388"/>
      <c r="K95" s="388"/>
      <c r="L95" s="388"/>
      <c r="M95" s="388"/>
      <c r="N95" s="388"/>
      <c r="O95" s="388"/>
      <c r="P95" s="388"/>
      <c r="Q95" s="388"/>
      <c r="R95" s="388"/>
      <c r="S95" s="388"/>
      <c r="T95" s="388"/>
      <c r="U95" s="388"/>
      <c r="V95" s="388"/>
      <c r="W95" s="388"/>
      <c r="X95" s="388"/>
      <c r="Y95" s="388"/>
      <c r="Z95" s="388"/>
    </row>
    <row r="96" spans="1:26" x14ac:dyDescent="0.25">
      <c r="A96" s="388"/>
      <c r="B96" s="62">
        <v>1.4376968262330946E-3</v>
      </c>
      <c r="C96" s="19">
        <v>204</v>
      </c>
      <c r="D96" s="64">
        <f ca="1">_xll.RiskDiscrete(C$78:$C96,B$78:$B96)</f>
        <v>24</v>
      </c>
      <c r="E96" s="388"/>
      <c r="F96" s="388"/>
      <c r="G96" s="388"/>
      <c r="H96" s="388"/>
      <c r="I96" s="388"/>
      <c r="J96" s="388"/>
      <c r="K96" s="388"/>
      <c r="L96" s="388"/>
      <c r="M96" s="388"/>
      <c r="N96" s="388"/>
      <c r="O96" s="388"/>
      <c r="P96" s="388"/>
      <c r="Q96" s="388"/>
      <c r="R96" s="388"/>
      <c r="S96" s="388"/>
      <c r="T96" s="388"/>
      <c r="U96" s="388"/>
      <c r="V96" s="388"/>
      <c r="W96" s="388"/>
      <c r="X96" s="388"/>
      <c r="Y96" s="388"/>
      <c r="Z96" s="388"/>
    </row>
    <row r="97" spans="1:26" x14ac:dyDescent="0.25">
      <c r="A97" s="388"/>
      <c r="B97" s="62">
        <v>1.4376968262330946E-3</v>
      </c>
      <c r="C97" s="19">
        <v>216</v>
      </c>
      <c r="D97" s="64">
        <f ca="1">_xll.RiskDiscrete(C$78:$C97,B$78:$B97)</f>
        <v>24</v>
      </c>
      <c r="E97" s="388"/>
      <c r="F97" s="388"/>
      <c r="G97" s="388"/>
      <c r="H97" s="388"/>
      <c r="I97" s="388"/>
      <c r="J97" s="388"/>
      <c r="K97" s="388"/>
      <c r="L97" s="388"/>
      <c r="M97" s="388"/>
      <c r="N97" s="388"/>
      <c r="O97" s="388"/>
      <c r="P97" s="388"/>
      <c r="Q97" s="388"/>
      <c r="R97" s="388"/>
      <c r="S97" s="388"/>
      <c r="T97" s="388"/>
      <c r="U97" s="388"/>
      <c r="V97" s="388"/>
      <c r="W97" s="388"/>
      <c r="X97" s="388"/>
      <c r="Y97" s="388"/>
      <c r="Z97" s="388"/>
    </row>
    <row r="98" spans="1:26" x14ac:dyDescent="0.25">
      <c r="A98" s="388"/>
      <c r="B98" s="65">
        <v>1.4376968262330946E-3</v>
      </c>
      <c r="C98" s="66">
        <v>228</v>
      </c>
      <c r="D98" s="67">
        <f ca="1">_xll.RiskDiscrete(C$78:$C98,B$78:$B98)</f>
        <v>36</v>
      </c>
      <c r="E98" s="388"/>
      <c r="F98" s="388"/>
      <c r="G98" s="388"/>
      <c r="H98" s="388"/>
      <c r="I98" s="388"/>
      <c r="J98" s="388"/>
      <c r="K98" s="388"/>
      <c r="L98" s="388"/>
      <c r="M98" s="388"/>
      <c r="N98" s="388"/>
      <c r="O98" s="388"/>
      <c r="P98" s="388"/>
      <c r="Q98" s="388"/>
      <c r="R98" s="388"/>
      <c r="S98" s="388"/>
      <c r="T98" s="388"/>
      <c r="U98" s="388"/>
      <c r="V98" s="388"/>
      <c r="W98" s="388"/>
      <c r="X98" s="388"/>
      <c r="Y98" s="388"/>
      <c r="Z98" s="388"/>
    </row>
    <row r="99" spans="1:26" x14ac:dyDescent="0.25">
      <c r="A99" s="388"/>
      <c r="B99" s="388"/>
      <c r="C99" s="388"/>
      <c r="D99" s="388"/>
      <c r="E99" s="388"/>
      <c r="F99" s="388"/>
      <c r="G99" s="388"/>
      <c r="H99" s="388"/>
      <c r="I99" s="388"/>
      <c r="J99" s="388"/>
      <c r="K99" s="388"/>
      <c r="L99" s="388"/>
      <c r="M99" s="388"/>
      <c r="N99" s="388"/>
      <c r="O99" s="388"/>
      <c r="P99" s="388"/>
      <c r="Q99" s="388"/>
      <c r="R99" s="388"/>
      <c r="S99" s="388"/>
      <c r="T99" s="388"/>
      <c r="U99" s="388"/>
      <c r="V99" s="388"/>
      <c r="W99" s="388"/>
      <c r="X99" s="388"/>
      <c r="Y99" s="388"/>
      <c r="Z99" s="388"/>
    </row>
    <row r="100" spans="1:26" x14ac:dyDescent="0.25">
      <c r="A100" s="388"/>
      <c r="B100" s="388"/>
      <c r="C100" s="388"/>
      <c r="D100" s="388"/>
      <c r="E100" s="388"/>
      <c r="F100" s="388"/>
      <c r="G100" s="388"/>
      <c r="H100" s="388"/>
      <c r="I100" s="388"/>
      <c r="J100" s="388"/>
      <c r="K100" s="388"/>
      <c r="L100" s="388"/>
      <c r="M100" s="388"/>
      <c r="N100" s="388"/>
      <c r="O100" s="388"/>
      <c r="P100" s="388"/>
      <c r="Q100" s="388"/>
      <c r="R100" s="388"/>
      <c r="S100" s="388"/>
      <c r="T100" s="388"/>
      <c r="U100" s="388"/>
      <c r="V100" s="388"/>
      <c r="W100" s="388"/>
      <c r="X100" s="388"/>
      <c r="Y100" s="388"/>
      <c r="Z100" s="388"/>
    </row>
    <row r="101" spans="1:26" x14ac:dyDescent="0.25">
      <c r="A101" s="403" t="s">
        <v>195</v>
      </c>
      <c r="B101" s="403" t="s">
        <v>196</v>
      </c>
      <c r="C101" s="388"/>
      <c r="D101" s="388"/>
      <c r="E101" s="388"/>
      <c r="F101" s="388"/>
      <c r="G101" s="388"/>
      <c r="H101" s="388"/>
      <c r="I101" s="388"/>
      <c r="J101" s="388"/>
      <c r="K101" s="388"/>
      <c r="L101" s="388"/>
      <c r="M101" s="388"/>
      <c r="N101" s="388"/>
      <c r="O101" s="388"/>
      <c r="P101" s="388"/>
      <c r="Q101" s="388"/>
      <c r="R101" s="388"/>
      <c r="S101" s="388"/>
      <c r="T101" s="388"/>
      <c r="U101" s="388"/>
      <c r="V101" s="388"/>
      <c r="W101" s="388"/>
      <c r="X101" s="388"/>
      <c r="Y101" s="388"/>
      <c r="Z101" s="388"/>
    </row>
    <row r="102" spans="1:26" x14ac:dyDescent="0.25">
      <c r="A102" s="388"/>
      <c r="B102" s="417"/>
      <c r="C102" s="468" t="s">
        <v>156</v>
      </c>
      <c r="D102" s="469"/>
      <c r="E102" s="470"/>
      <c r="F102" s="469" t="s">
        <v>8</v>
      </c>
      <c r="G102" s="469"/>
      <c r="H102" s="469"/>
      <c r="I102" s="471"/>
      <c r="J102" s="472"/>
      <c r="K102" s="472"/>
      <c r="L102" s="391"/>
      <c r="M102" s="391"/>
      <c r="N102" s="391"/>
      <c r="O102" s="391"/>
      <c r="P102" s="391"/>
      <c r="Q102" s="391"/>
      <c r="R102" s="391"/>
      <c r="S102" s="391"/>
      <c r="T102" s="391"/>
      <c r="U102" s="391"/>
      <c r="V102" s="388"/>
      <c r="W102" s="388"/>
      <c r="X102" s="388"/>
      <c r="Y102" s="388"/>
      <c r="Z102" s="388"/>
    </row>
    <row r="103" spans="1:26" x14ac:dyDescent="0.25">
      <c r="A103" s="409"/>
      <c r="C103" s="385" t="s">
        <v>224</v>
      </c>
      <c r="D103" s="386" t="s">
        <v>198</v>
      </c>
      <c r="E103" s="384" t="s">
        <v>199</v>
      </c>
      <c r="F103" s="386" t="s">
        <v>224</v>
      </c>
      <c r="G103" s="386" t="s">
        <v>198</v>
      </c>
      <c r="H103" s="386" t="s">
        <v>199</v>
      </c>
      <c r="I103" s="418"/>
      <c r="J103" s="392"/>
      <c r="K103" s="392"/>
      <c r="L103" s="391"/>
      <c r="M103" s="391"/>
      <c r="N103" s="391"/>
      <c r="O103" s="391"/>
      <c r="P103" s="391"/>
      <c r="Q103" s="391"/>
      <c r="R103" s="391"/>
      <c r="S103" s="391"/>
      <c r="T103" s="391"/>
      <c r="U103" s="391"/>
      <c r="V103" s="388"/>
      <c r="W103" s="388"/>
      <c r="X103" s="388"/>
      <c r="Y103" s="388"/>
      <c r="Z103" s="388"/>
    </row>
    <row r="104" spans="1:26" x14ac:dyDescent="0.25">
      <c r="A104" s="409"/>
      <c r="B104" t="s">
        <v>160</v>
      </c>
      <c r="C104">
        <v>575.71227039590497</v>
      </c>
      <c r="D104">
        <v>24.269050294573713</v>
      </c>
      <c r="E104">
        <v>3523.779880078971</v>
      </c>
      <c r="I104" s="420"/>
      <c r="J104" s="391"/>
      <c r="K104" s="391"/>
      <c r="L104" s="391"/>
      <c r="M104" s="391"/>
      <c r="N104" s="391"/>
      <c r="O104" s="391"/>
      <c r="P104" s="391"/>
      <c r="Q104" s="391"/>
      <c r="R104" s="391"/>
      <c r="S104" s="391"/>
      <c r="T104" s="391"/>
      <c r="U104" s="391"/>
      <c r="V104" s="388"/>
      <c r="W104" s="388"/>
      <c r="X104" s="388"/>
      <c r="Y104" s="388"/>
      <c r="Z104" s="388"/>
    </row>
    <row r="105" spans="1:26" x14ac:dyDescent="0.25">
      <c r="A105" s="409"/>
      <c r="B105" t="s">
        <v>161</v>
      </c>
      <c r="C105">
        <v>193.68716660413833</v>
      </c>
      <c r="D105">
        <v>8.1944529156384913</v>
      </c>
      <c r="E105">
        <v>1185.348757722792</v>
      </c>
      <c r="I105" s="420"/>
      <c r="J105" s="391"/>
      <c r="K105" s="391"/>
      <c r="L105" s="391"/>
      <c r="M105" s="391"/>
      <c r="N105" s="391"/>
      <c r="O105" s="391"/>
      <c r="P105" s="391"/>
      <c r="Q105" s="391"/>
      <c r="R105" s="391"/>
      <c r="S105" s="391"/>
      <c r="T105" s="391"/>
      <c r="U105" s="391"/>
      <c r="V105" s="388"/>
      <c r="W105" s="388"/>
      <c r="X105" s="388"/>
      <c r="Y105" s="388"/>
      <c r="Z105" s="388"/>
    </row>
    <row r="106" spans="1:26" x14ac:dyDescent="0.25">
      <c r="A106" s="409"/>
      <c r="B106" t="s">
        <v>162</v>
      </c>
      <c r="C106">
        <v>186.91652407292531</v>
      </c>
      <c r="D106">
        <v>7.9123149253281087</v>
      </c>
      <c r="E106">
        <v>1143.889956238781</v>
      </c>
      <c r="I106" s="420"/>
      <c r="J106" s="391"/>
      <c r="K106" s="391"/>
      <c r="L106" s="391"/>
      <c r="M106" s="391"/>
      <c r="N106" s="391"/>
      <c r="O106" s="391"/>
      <c r="P106" s="391"/>
      <c r="Q106" s="391"/>
      <c r="R106" s="391"/>
      <c r="S106" s="391"/>
      <c r="T106" s="391"/>
      <c r="U106" s="391"/>
      <c r="V106" s="388"/>
      <c r="W106" s="388"/>
      <c r="X106" s="388"/>
      <c r="Y106" s="388"/>
      <c r="Z106" s="388"/>
    </row>
    <row r="107" spans="1:26" x14ac:dyDescent="0.25">
      <c r="A107" s="409"/>
      <c r="B107" t="s">
        <v>163</v>
      </c>
      <c r="C107">
        <v>106.50376381142226</v>
      </c>
      <c r="D107">
        <v>4.5741986748786658</v>
      </c>
      <c r="E107">
        <v>651.42885944122531</v>
      </c>
      <c r="I107" s="420"/>
      <c r="J107" s="391"/>
      <c r="K107" s="391"/>
      <c r="L107" s="391"/>
      <c r="M107" s="391"/>
      <c r="N107" s="391"/>
      <c r="O107" s="391"/>
      <c r="P107" s="391"/>
      <c r="Q107" s="391"/>
      <c r="R107" s="391"/>
      <c r="S107" s="391"/>
      <c r="T107" s="391"/>
      <c r="U107" s="391"/>
      <c r="V107" s="388"/>
      <c r="W107" s="388"/>
      <c r="X107" s="388"/>
      <c r="Y107" s="388"/>
      <c r="Z107" s="388"/>
    </row>
    <row r="108" spans="1:26" x14ac:dyDescent="0.25">
      <c r="A108" s="409"/>
      <c r="B108" t="s">
        <v>164</v>
      </c>
      <c r="C108">
        <v>62.864568459072167</v>
      </c>
      <c r="D108">
        <v>2.7835893325258381</v>
      </c>
      <c r="E108">
        <v>384.06316527647118</v>
      </c>
      <c r="I108" s="420"/>
      <c r="J108" s="391"/>
      <c r="K108" s="391"/>
      <c r="L108" s="391"/>
      <c r="M108" s="391"/>
      <c r="N108" s="391"/>
      <c r="O108" s="391"/>
      <c r="P108" s="391"/>
      <c r="Q108" s="391"/>
      <c r="R108" s="391"/>
      <c r="S108" s="391"/>
      <c r="T108" s="391"/>
      <c r="U108" s="391"/>
      <c r="V108" s="388"/>
      <c r="W108" s="388"/>
      <c r="X108" s="388"/>
      <c r="Y108" s="388"/>
      <c r="Z108" s="388"/>
    </row>
    <row r="109" spans="1:26" x14ac:dyDescent="0.25">
      <c r="A109" s="409"/>
      <c r="B109" t="s">
        <v>165</v>
      </c>
      <c r="C109">
        <v>36.799690710580023</v>
      </c>
      <c r="D109">
        <v>1.7541343894378061</v>
      </c>
      <c r="E109">
        <v>224.156549381719</v>
      </c>
      <c r="I109" s="420"/>
      <c r="J109" s="391"/>
      <c r="K109" s="391"/>
      <c r="L109" s="391"/>
      <c r="M109" s="391"/>
      <c r="N109" s="391"/>
      <c r="O109" s="391"/>
      <c r="P109" s="391"/>
      <c r="Q109" s="391"/>
      <c r="R109" s="391"/>
      <c r="S109" s="391"/>
      <c r="T109" s="391"/>
      <c r="U109" s="391"/>
      <c r="V109" s="388"/>
      <c r="W109" s="388"/>
      <c r="X109" s="388"/>
      <c r="Y109" s="388"/>
      <c r="Z109" s="388"/>
    </row>
    <row r="110" spans="1:26" x14ac:dyDescent="0.25">
      <c r="A110" s="409"/>
      <c r="B110" t="s">
        <v>166</v>
      </c>
      <c r="C110">
        <v>23.590567435306692</v>
      </c>
      <c r="D110">
        <v>1.2884562906727097</v>
      </c>
      <c r="E110">
        <v>142.8197629288438</v>
      </c>
      <c r="I110" s="420"/>
      <c r="J110" s="391"/>
      <c r="K110" s="391"/>
      <c r="L110" s="391"/>
      <c r="M110" s="391"/>
      <c r="N110" s="391"/>
      <c r="O110" s="391"/>
      <c r="P110" s="391"/>
      <c r="Q110" s="391"/>
      <c r="R110" s="391"/>
      <c r="S110" s="391"/>
      <c r="T110" s="391"/>
      <c r="U110" s="391"/>
      <c r="V110" s="388"/>
      <c r="W110" s="388"/>
      <c r="X110" s="388"/>
      <c r="Y110" s="388"/>
      <c r="Z110" s="388"/>
    </row>
    <row r="111" spans="1:26" x14ac:dyDescent="0.25">
      <c r="A111" s="409"/>
      <c r="B111" t="s">
        <v>167</v>
      </c>
      <c r="C111">
        <v>13.08403715046034</v>
      </c>
      <c r="D111">
        <v>0.90803075729947347</v>
      </c>
      <c r="E111">
        <v>78.178118924419934</v>
      </c>
      <c r="I111" s="420"/>
      <c r="J111" s="391"/>
      <c r="K111" s="391"/>
      <c r="L111" s="391"/>
      <c r="M111" s="391"/>
      <c r="N111" s="391"/>
      <c r="O111" s="391"/>
      <c r="P111" s="391"/>
      <c r="Q111" s="391"/>
      <c r="R111" s="391"/>
      <c r="S111" s="391"/>
      <c r="T111" s="391"/>
      <c r="U111" s="391"/>
      <c r="V111" s="388"/>
      <c r="W111" s="388"/>
      <c r="X111" s="388"/>
      <c r="Y111" s="388"/>
      <c r="Z111" s="388"/>
    </row>
    <row r="112" spans="1:26" x14ac:dyDescent="0.25">
      <c r="A112" s="409"/>
      <c r="B112" t="s">
        <v>168</v>
      </c>
      <c r="C112">
        <v>6.4127949213111606</v>
      </c>
      <c r="D112">
        <v>0.64349160043532982</v>
      </c>
      <c r="E112">
        <v>37.256036130416192</v>
      </c>
      <c r="I112" s="420"/>
      <c r="J112" s="391"/>
      <c r="K112" s="391"/>
      <c r="L112" s="391"/>
      <c r="M112" s="391"/>
      <c r="N112" s="391"/>
      <c r="O112" s="391"/>
      <c r="P112" s="391"/>
      <c r="Q112" s="391"/>
      <c r="R112" s="391"/>
      <c r="S112" s="391"/>
      <c r="T112" s="391"/>
      <c r="U112" s="391"/>
      <c r="V112" s="388"/>
      <c r="W112" s="388"/>
      <c r="X112" s="388"/>
      <c r="Y112" s="388"/>
      <c r="Z112" s="388"/>
    </row>
    <row r="113" spans="1:26" x14ac:dyDescent="0.25">
      <c r="A113" s="409"/>
      <c r="B113" t="s">
        <v>169</v>
      </c>
      <c r="C113">
        <v>2.94540039635051</v>
      </c>
      <c r="D113">
        <v>0.47678291795987587</v>
      </c>
      <c r="E113">
        <v>16.142862915526251</v>
      </c>
      <c r="I113" s="420"/>
      <c r="J113" s="391"/>
      <c r="K113" s="391"/>
      <c r="L113" s="391"/>
      <c r="M113" s="391"/>
      <c r="N113" s="391"/>
      <c r="O113" s="391"/>
      <c r="P113" s="391"/>
      <c r="Q113" s="391"/>
      <c r="R113" s="391"/>
      <c r="S113" s="391"/>
      <c r="T113" s="391"/>
      <c r="U113" s="391"/>
      <c r="V113" s="388"/>
      <c r="W113" s="388"/>
      <c r="X113" s="388"/>
      <c r="Y113" s="388"/>
      <c r="Z113" s="388"/>
    </row>
    <row r="114" spans="1:26" x14ac:dyDescent="0.25">
      <c r="A114" s="409"/>
      <c r="B114" t="s">
        <v>170</v>
      </c>
      <c r="C114">
        <v>1.3552098376758253</v>
      </c>
      <c r="D114">
        <v>0.36840509512074593</v>
      </c>
      <c r="E114">
        <v>6.6307613225117539</v>
      </c>
      <c r="I114" s="420"/>
      <c r="J114" s="391"/>
      <c r="K114" s="391"/>
      <c r="L114" s="391"/>
      <c r="M114" s="391"/>
      <c r="N114" s="391"/>
      <c r="O114" s="391"/>
      <c r="P114" s="391"/>
      <c r="Q114" s="391"/>
      <c r="R114" s="391"/>
      <c r="S114" s="391"/>
      <c r="T114" s="391"/>
      <c r="U114" s="391"/>
      <c r="V114" s="388"/>
      <c r="W114" s="388"/>
      <c r="X114" s="388"/>
      <c r="Y114" s="388"/>
      <c r="Z114" s="388"/>
    </row>
    <row r="115" spans="1:26" x14ac:dyDescent="0.25">
      <c r="A115" s="409"/>
      <c r="B115" t="s">
        <v>171</v>
      </c>
      <c r="C115">
        <v>0.66185725220959979</v>
      </c>
      <c r="D115">
        <v>0.28762317994705261</v>
      </c>
      <c r="E115">
        <v>2.662547997259062</v>
      </c>
      <c r="I115" s="420"/>
      <c r="J115" s="391"/>
      <c r="K115" s="391"/>
      <c r="L115" s="391"/>
      <c r="M115" s="391"/>
      <c r="N115" s="391"/>
      <c r="O115" s="391"/>
      <c r="P115" s="391"/>
      <c r="Q115" s="391"/>
      <c r="R115" s="391"/>
      <c r="S115" s="391"/>
      <c r="T115" s="391"/>
      <c r="U115" s="391"/>
      <c r="V115" s="388"/>
      <c r="W115" s="388"/>
      <c r="X115" s="388"/>
      <c r="Y115" s="388"/>
      <c r="Z115" s="388"/>
    </row>
    <row r="116" spans="1:26" x14ac:dyDescent="0.25">
      <c r="A116" s="409"/>
      <c r="B116" t="s">
        <v>172</v>
      </c>
      <c r="C116">
        <v>0.40567870999658573</v>
      </c>
      <c r="D116">
        <v>0.25801796702358198</v>
      </c>
      <c r="E116">
        <v>1.1950870075552305</v>
      </c>
      <c r="I116" s="420"/>
      <c r="J116" s="391"/>
      <c r="K116" s="391"/>
      <c r="L116" s="391"/>
      <c r="M116" s="391"/>
      <c r="N116" s="391"/>
      <c r="O116" s="391"/>
      <c r="P116" s="391"/>
      <c r="Q116" s="391"/>
      <c r="R116" s="391"/>
      <c r="S116" s="391"/>
      <c r="T116" s="391"/>
      <c r="U116" s="391"/>
      <c r="V116" s="388"/>
      <c r="W116" s="388"/>
      <c r="X116" s="388"/>
      <c r="Y116" s="388"/>
      <c r="Z116" s="388"/>
    </row>
    <row r="117" spans="1:26" x14ac:dyDescent="0.25">
      <c r="A117" s="409"/>
      <c r="B117" t="s">
        <v>173</v>
      </c>
      <c r="C117">
        <v>0.28735746383503219</v>
      </c>
      <c r="D117">
        <v>0.22310732037672149</v>
      </c>
      <c r="E117">
        <v>0.63084480748599137</v>
      </c>
      <c r="I117" s="420"/>
      <c r="J117" s="391"/>
      <c r="K117" s="391"/>
      <c r="L117" s="391"/>
      <c r="M117" s="391"/>
      <c r="N117" s="391"/>
      <c r="O117" s="391"/>
      <c r="P117" s="391"/>
      <c r="Q117" s="391"/>
      <c r="R117" s="391"/>
      <c r="S117" s="391"/>
      <c r="T117" s="391"/>
      <c r="U117" s="391"/>
      <c r="V117" s="388"/>
      <c r="W117" s="388"/>
      <c r="X117" s="388"/>
      <c r="Y117" s="388"/>
      <c r="Z117" s="388"/>
    </row>
    <row r="118" spans="1:26" x14ac:dyDescent="0.25">
      <c r="A118" s="409"/>
      <c r="B118" t="s">
        <v>174</v>
      </c>
      <c r="C118">
        <v>0.11614098433110683</v>
      </c>
      <c r="D118">
        <v>0.10074609864406327</v>
      </c>
      <c r="E118">
        <v>0.19844349924897733</v>
      </c>
      <c r="I118" s="420"/>
      <c r="J118" s="391"/>
      <c r="K118" s="391"/>
      <c r="L118" s="391"/>
      <c r="M118" s="391"/>
      <c r="N118" s="391"/>
      <c r="O118" s="391"/>
      <c r="P118" s="391"/>
      <c r="Q118" s="391"/>
      <c r="R118" s="391"/>
      <c r="S118" s="391"/>
      <c r="T118" s="391"/>
      <c r="U118" s="391"/>
      <c r="V118" s="388"/>
      <c r="W118" s="388"/>
      <c r="X118" s="388"/>
      <c r="Y118" s="388"/>
      <c r="Z118" s="388"/>
    </row>
    <row r="119" spans="1:26" x14ac:dyDescent="0.25">
      <c r="A119" s="409"/>
      <c r="B119" t="s">
        <v>175</v>
      </c>
      <c r="C119">
        <v>1.4238092898136784E-2</v>
      </c>
      <c r="D119">
        <v>1.33373980794858E-2</v>
      </c>
      <c r="E119">
        <v>1.9053292585579109E-2</v>
      </c>
      <c r="I119" s="420"/>
      <c r="J119" s="391"/>
      <c r="K119" s="391"/>
      <c r="L119" s="391"/>
      <c r="M119" s="391"/>
      <c r="N119" s="391"/>
      <c r="O119" s="391"/>
      <c r="P119" s="391"/>
      <c r="Q119" s="391"/>
      <c r="R119" s="391"/>
      <c r="S119" s="391"/>
      <c r="T119" s="391"/>
      <c r="U119" s="391"/>
      <c r="V119" s="388"/>
      <c r="W119" s="388"/>
      <c r="X119" s="388"/>
      <c r="Y119" s="388"/>
      <c r="Z119" s="388"/>
    </row>
    <row r="120" spans="1:26" x14ac:dyDescent="0.25">
      <c r="A120" s="409"/>
      <c r="B120" t="s">
        <v>176</v>
      </c>
      <c r="C120">
        <v>2.6903251484113404E-3</v>
      </c>
      <c r="D120">
        <v>2.6120753801571997E-3</v>
      </c>
      <c r="E120">
        <v>3.1086558102931868E-3</v>
      </c>
      <c r="I120" s="420"/>
      <c r="J120" s="391"/>
      <c r="K120" s="391"/>
      <c r="L120" s="391"/>
      <c r="M120" s="391"/>
      <c r="N120" s="391"/>
      <c r="O120" s="391"/>
      <c r="P120" s="391"/>
      <c r="Q120" s="391"/>
      <c r="R120" s="391"/>
      <c r="S120" s="391"/>
      <c r="T120" s="391"/>
      <c r="U120" s="391"/>
      <c r="V120" s="388"/>
      <c r="W120" s="388"/>
      <c r="X120" s="388"/>
      <c r="Y120" s="388"/>
      <c r="Z120" s="388"/>
    </row>
    <row r="121" spans="1:26" x14ac:dyDescent="0.25">
      <c r="A121" s="409"/>
      <c r="B121" t="s">
        <v>177</v>
      </c>
      <c r="C121">
        <v>8.3244516471607597E-4</v>
      </c>
      <c r="D121">
        <v>8.2265961875841256E-4</v>
      </c>
      <c r="E121">
        <v>8.8475961891418861E-4</v>
      </c>
      <c r="I121" s="420"/>
      <c r="J121" s="391"/>
      <c r="K121" s="391"/>
      <c r="L121" s="391"/>
      <c r="M121" s="391"/>
      <c r="N121" s="391"/>
      <c r="O121" s="391"/>
      <c r="P121" s="391"/>
      <c r="Q121" s="391"/>
      <c r="R121" s="391"/>
      <c r="S121" s="391"/>
      <c r="T121" s="391"/>
      <c r="U121" s="391"/>
      <c r="V121" s="388"/>
      <c r="W121" s="388"/>
      <c r="X121" s="388"/>
      <c r="Y121" s="388"/>
      <c r="Z121" s="388"/>
    </row>
    <row r="122" spans="1:26" x14ac:dyDescent="0.25">
      <c r="A122" s="388"/>
      <c r="B122" s="412"/>
      <c r="C122" s="412"/>
      <c r="D122" s="419"/>
      <c r="E122" s="412"/>
      <c r="F122" s="412"/>
      <c r="G122" s="412"/>
      <c r="H122" s="412"/>
      <c r="I122" s="391"/>
      <c r="J122" s="391"/>
      <c r="K122" s="391"/>
      <c r="L122" s="391"/>
      <c r="M122" s="391"/>
      <c r="N122" s="391"/>
      <c r="O122" s="391"/>
      <c r="P122" s="391"/>
      <c r="Q122" s="391"/>
      <c r="R122" s="391"/>
      <c r="S122" s="391"/>
      <c r="T122" s="391"/>
      <c r="U122" s="391"/>
      <c r="V122" s="388"/>
      <c r="W122" s="388"/>
      <c r="X122" s="388"/>
      <c r="Y122" s="388"/>
      <c r="Z122" s="388"/>
    </row>
    <row r="123" spans="1:26" x14ac:dyDescent="0.25">
      <c r="A123" s="388"/>
      <c r="B123" s="388"/>
      <c r="C123" s="388"/>
      <c r="D123" s="388"/>
      <c r="E123" s="388"/>
      <c r="F123" s="388"/>
      <c r="G123" s="388"/>
      <c r="H123" s="388"/>
      <c r="I123" s="388"/>
      <c r="J123" s="388"/>
      <c r="K123" s="388"/>
      <c r="L123" s="388"/>
      <c r="M123" s="388"/>
      <c r="N123" s="388"/>
      <c r="O123" s="388"/>
      <c r="P123" s="388"/>
      <c r="Q123" s="388"/>
      <c r="R123" s="388"/>
      <c r="S123" s="388"/>
      <c r="T123" s="388"/>
      <c r="U123" s="388"/>
      <c r="V123" s="388"/>
      <c r="W123" s="388"/>
      <c r="X123" s="388"/>
      <c r="Y123" s="388"/>
      <c r="Z123" s="388"/>
    </row>
    <row r="124" spans="1:26" x14ac:dyDescent="0.25">
      <c r="A124" s="388"/>
      <c r="B124" s="388"/>
      <c r="C124" s="388"/>
      <c r="D124" s="388"/>
      <c r="E124" s="388"/>
      <c r="F124" s="388"/>
      <c r="G124" s="388"/>
      <c r="H124" s="388"/>
      <c r="I124" s="388"/>
      <c r="J124" s="388"/>
      <c r="K124" s="388"/>
      <c r="L124" s="388"/>
      <c r="M124" s="388"/>
      <c r="N124" s="388"/>
      <c r="O124" s="388"/>
      <c r="P124" s="388"/>
      <c r="Q124" s="388"/>
      <c r="R124" s="388"/>
      <c r="S124" s="388"/>
      <c r="T124" s="388"/>
      <c r="U124" s="388"/>
      <c r="V124" s="388"/>
      <c r="W124" s="388"/>
      <c r="X124" s="388"/>
      <c r="Y124" s="388"/>
      <c r="Z124" s="388"/>
    </row>
    <row r="125" spans="1:26" x14ac:dyDescent="0.25">
      <c r="A125" s="388"/>
      <c r="B125" s="388"/>
      <c r="C125" s="388"/>
      <c r="D125" s="388"/>
      <c r="E125" s="388"/>
      <c r="F125" s="388"/>
      <c r="G125" s="388"/>
      <c r="H125" s="388"/>
      <c r="I125" s="388"/>
      <c r="J125" s="388"/>
      <c r="K125" s="388"/>
      <c r="L125" s="388"/>
      <c r="M125" s="388"/>
      <c r="N125" s="388"/>
      <c r="O125" s="388"/>
      <c r="P125" s="388"/>
      <c r="Q125" s="388"/>
      <c r="R125" s="388"/>
      <c r="S125" s="388"/>
      <c r="T125" s="388"/>
      <c r="U125" s="388"/>
      <c r="V125" s="388"/>
      <c r="W125" s="388"/>
      <c r="X125" s="388"/>
      <c r="Y125" s="388"/>
    </row>
    <row r="126" spans="1:26" x14ac:dyDescent="0.25">
      <c r="A126" s="388"/>
      <c r="B126" s="388"/>
      <c r="C126" s="388"/>
      <c r="D126" s="388"/>
      <c r="E126" s="388"/>
      <c r="F126" s="388"/>
      <c r="G126" s="388"/>
      <c r="H126" s="388"/>
      <c r="I126" s="388"/>
      <c r="J126" s="388"/>
      <c r="K126" s="388"/>
      <c r="L126" s="388"/>
      <c r="M126" s="388"/>
      <c r="N126" s="388"/>
      <c r="O126" s="388"/>
      <c r="P126" s="388"/>
      <c r="Q126" s="388"/>
      <c r="R126" s="388"/>
      <c r="S126" s="388"/>
      <c r="T126" s="388"/>
      <c r="U126" s="388"/>
      <c r="V126" s="388"/>
      <c r="W126" s="388"/>
      <c r="X126" s="388"/>
      <c r="Y126" s="388"/>
    </row>
    <row r="127" spans="1:26" x14ac:dyDescent="0.25">
      <c r="A127" s="388"/>
      <c r="B127" s="388"/>
      <c r="C127" s="388"/>
      <c r="D127" s="388"/>
      <c r="E127" s="388"/>
      <c r="F127" s="388"/>
      <c r="G127" s="388"/>
      <c r="H127" s="388"/>
      <c r="I127" s="388"/>
      <c r="J127" s="388"/>
      <c r="K127" s="388"/>
      <c r="L127" s="388"/>
      <c r="M127" s="388"/>
      <c r="N127" s="388"/>
      <c r="O127" s="388"/>
      <c r="P127" s="388"/>
      <c r="Q127" s="388"/>
      <c r="R127" s="388"/>
      <c r="S127" s="388"/>
      <c r="T127" s="388"/>
      <c r="U127" s="388"/>
      <c r="V127" s="388"/>
      <c r="W127" s="388"/>
      <c r="X127" s="388"/>
      <c r="Y127" s="388"/>
    </row>
    <row r="128" spans="1:26" x14ac:dyDescent="0.25">
      <c r="A128" s="388"/>
      <c r="B128" s="388"/>
      <c r="C128" s="388"/>
      <c r="D128" s="388"/>
      <c r="E128" s="388"/>
      <c r="F128" s="388"/>
      <c r="G128" s="388"/>
      <c r="H128" s="388"/>
      <c r="I128" s="388"/>
      <c r="J128" s="388"/>
      <c r="K128" s="388"/>
      <c r="L128" s="388"/>
      <c r="M128" s="388"/>
      <c r="N128" s="388"/>
      <c r="O128" s="388"/>
      <c r="P128" s="388"/>
      <c r="Q128" s="388"/>
      <c r="R128" s="388"/>
      <c r="S128" s="388"/>
      <c r="T128" s="388"/>
      <c r="U128" s="388"/>
      <c r="V128" s="388"/>
      <c r="W128" s="388"/>
      <c r="X128" s="388"/>
      <c r="Y128" s="388"/>
    </row>
    <row r="129" spans="1:25" x14ac:dyDescent="0.25">
      <c r="A129" s="388"/>
      <c r="B129" s="388"/>
      <c r="C129" s="388"/>
      <c r="D129" s="388"/>
      <c r="E129" s="388"/>
      <c r="F129" s="388"/>
      <c r="G129" s="388"/>
      <c r="H129" s="388"/>
      <c r="I129" s="388"/>
      <c r="J129" s="388"/>
      <c r="K129" s="388"/>
      <c r="L129" s="388"/>
      <c r="M129" s="388"/>
      <c r="N129" s="388"/>
      <c r="O129" s="388"/>
      <c r="P129" s="388"/>
      <c r="Q129" s="388"/>
      <c r="R129" s="388"/>
      <c r="S129" s="388"/>
      <c r="T129" s="388"/>
      <c r="U129" s="388"/>
      <c r="V129" s="388"/>
      <c r="W129" s="388"/>
      <c r="X129" s="388"/>
      <c r="Y129" s="388"/>
    </row>
    <row r="130" spans="1:25" x14ac:dyDescent="0.25">
      <c r="A130" s="388"/>
      <c r="B130" s="388"/>
      <c r="C130" s="388"/>
      <c r="D130" s="388"/>
      <c r="E130" s="388"/>
      <c r="F130" s="388"/>
      <c r="G130" s="388"/>
      <c r="H130" s="388"/>
      <c r="I130" s="388"/>
      <c r="J130" s="388"/>
      <c r="K130" s="388"/>
      <c r="L130" s="388"/>
      <c r="M130" s="388"/>
      <c r="N130" s="388"/>
      <c r="O130" s="388"/>
      <c r="P130" s="388"/>
      <c r="Q130" s="388"/>
      <c r="R130" s="388"/>
      <c r="S130" s="388"/>
      <c r="T130" s="388"/>
      <c r="U130" s="388"/>
      <c r="V130" s="388"/>
      <c r="W130" s="388"/>
      <c r="X130" s="388"/>
      <c r="Y130" s="388"/>
    </row>
    <row r="131" spans="1:25" x14ac:dyDescent="0.25">
      <c r="A131" s="388"/>
      <c r="B131" s="388"/>
      <c r="C131" s="388"/>
      <c r="D131" s="388"/>
      <c r="E131" s="388"/>
      <c r="F131" s="388"/>
      <c r="G131" s="388"/>
      <c r="H131" s="388"/>
      <c r="I131" s="388"/>
      <c r="J131" s="388"/>
      <c r="K131" s="388"/>
      <c r="L131" s="388"/>
      <c r="M131" s="388"/>
      <c r="N131" s="388"/>
      <c r="O131" s="388"/>
      <c r="P131" s="388"/>
      <c r="Q131" s="388"/>
      <c r="R131" s="388"/>
      <c r="S131" s="388"/>
      <c r="T131" s="388"/>
      <c r="U131" s="388"/>
      <c r="V131" s="388"/>
      <c r="W131" s="388"/>
      <c r="X131" s="388"/>
      <c r="Y131" s="388"/>
    </row>
    <row r="132" spans="1:25" x14ac:dyDescent="0.25">
      <c r="A132" s="388"/>
      <c r="B132" s="388"/>
      <c r="C132" s="388"/>
      <c r="D132" s="388"/>
      <c r="E132" s="388"/>
      <c r="F132" s="388"/>
      <c r="G132" s="388"/>
      <c r="H132" s="388"/>
      <c r="I132" s="388"/>
      <c r="J132" s="388"/>
      <c r="K132" s="388"/>
      <c r="L132" s="388"/>
      <c r="M132" s="388"/>
      <c r="N132" s="388"/>
      <c r="O132" s="388"/>
      <c r="P132" s="388"/>
      <c r="Q132" s="388"/>
      <c r="R132" s="388"/>
      <c r="S132" s="388"/>
      <c r="T132" s="388"/>
      <c r="U132" s="388"/>
      <c r="V132" s="388"/>
      <c r="W132" s="388"/>
      <c r="X132" s="388"/>
      <c r="Y132" s="388"/>
    </row>
    <row r="133" spans="1:25" x14ac:dyDescent="0.25">
      <c r="A133" s="388"/>
      <c r="B133" s="388"/>
      <c r="C133" s="388"/>
      <c r="D133" s="388"/>
      <c r="E133" s="388"/>
      <c r="F133" s="388"/>
      <c r="G133" s="388"/>
      <c r="H133" s="388"/>
      <c r="I133" s="388"/>
      <c r="J133" s="388"/>
      <c r="K133" s="388"/>
      <c r="L133" s="388"/>
      <c r="M133" s="388"/>
      <c r="N133" s="388"/>
      <c r="O133" s="388"/>
      <c r="P133" s="388"/>
      <c r="Q133" s="388"/>
      <c r="R133" s="388"/>
      <c r="S133" s="388"/>
      <c r="T133" s="388"/>
      <c r="U133" s="388"/>
      <c r="V133" s="388"/>
      <c r="W133" s="388"/>
      <c r="X133" s="388"/>
      <c r="Y133" s="388"/>
    </row>
    <row r="134" spans="1:25" x14ac:dyDescent="0.25">
      <c r="A134" s="388"/>
      <c r="B134" s="388"/>
      <c r="C134" s="388"/>
      <c r="D134" s="388"/>
      <c r="E134" s="388"/>
      <c r="F134" s="388"/>
      <c r="G134" s="388"/>
      <c r="H134" s="388"/>
      <c r="I134" s="388"/>
      <c r="J134" s="388"/>
      <c r="K134" s="388"/>
      <c r="L134" s="388"/>
      <c r="M134" s="388"/>
      <c r="N134" s="388"/>
      <c r="O134" s="388"/>
      <c r="P134" s="388"/>
      <c r="Q134" s="388"/>
      <c r="R134" s="388"/>
      <c r="S134" s="388"/>
      <c r="T134" s="388"/>
      <c r="U134" s="388"/>
      <c r="V134" s="388"/>
      <c r="W134" s="388"/>
      <c r="X134" s="388"/>
      <c r="Y134" s="388"/>
    </row>
    <row r="135" spans="1:25" x14ac:dyDescent="0.25">
      <c r="A135" s="388"/>
      <c r="B135" s="388"/>
      <c r="C135" s="388"/>
      <c r="D135" s="388"/>
      <c r="E135" s="388"/>
      <c r="F135" s="388"/>
      <c r="G135" s="388"/>
      <c r="H135" s="388"/>
      <c r="I135" s="388"/>
      <c r="J135" s="388"/>
      <c r="K135" s="388"/>
      <c r="L135" s="388"/>
      <c r="M135" s="388"/>
      <c r="N135" s="388"/>
      <c r="O135" s="388"/>
      <c r="P135" s="388"/>
      <c r="Q135" s="388"/>
      <c r="R135" s="388"/>
      <c r="S135" s="388"/>
      <c r="T135" s="388"/>
      <c r="U135" s="388"/>
      <c r="V135" s="388"/>
      <c r="W135" s="388"/>
      <c r="X135" s="388"/>
      <c r="Y135" s="388"/>
    </row>
    <row r="136" spans="1:25" x14ac:dyDescent="0.25">
      <c r="A136" s="388"/>
      <c r="B136" s="388"/>
      <c r="C136" s="388"/>
      <c r="D136" s="388"/>
      <c r="E136" s="388"/>
      <c r="F136" s="388"/>
      <c r="G136" s="388"/>
      <c r="H136" s="388"/>
      <c r="I136" s="388"/>
      <c r="J136" s="388"/>
      <c r="K136" s="388"/>
      <c r="L136" s="388"/>
      <c r="M136" s="388"/>
      <c r="N136" s="388"/>
      <c r="O136" s="388"/>
      <c r="P136" s="388"/>
      <c r="Q136" s="388"/>
      <c r="R136" s="388"/>
      <c r="S136" s="388"/>
      <c r="T136" s="388"/>
      <c r="U136" s="388"/>
      <c r="V136" s="388"/>
      <c r="W136" s="388"/>
      <c r="X136" s="388"/>
      <c r="Y136" s="388"/>
    </row>
    <row r="137" spans="1:25" x14ac:dyDescent="0.25">
      <c r="A137" s="388"/>
      <c r="B137" s="388"/>
      <c r="C137" s="388"/>
      <c r="D137" s="388"/>
      <c r="E137" s="388"/>
      <c r="F137" s="388"/>
      <c r="G137" s="388"/>
      <c r="H137" s="388"/>
      <c r="I137" s="388"/>
      <c r="J137" s="388"/>
      <c r="K137" s="388"/>
      <c r="L137" s="388"/>
      <c r="M137" s="388"/>
      <c r="N137" s="388"/>
      <c r="O137" s="388"/>
      <c r="P137" s="388"/>
      <c r="Q137" s="388"/>
      <c r="R137" s="388"/>
      <c r="S137" s="388"/>
      <c r="T137" s="388"/>
      <c r="U137" s="388"/>
      <c r="V137" s="388"/>
      <c r="W137" s="388"/>
      <c r="X137" s="388"/>
      <c r="Y137" s="388"/>
    </row>
    <row r="138" spans="1:25" x14ac:dyDescent="0.25">
      <c r="A138" s="388"/>
      <c r="B138" s="388"/>
      <c r="C138" s="388"/>
      <c r="D138" s="388"/>
      <c r="E138" s="388"/>
      <c r="F138" s="388"/>
      <c r="G138" s="388"/>
      <c r="H138" s="388"/>
      <c r="I138" s="388"/>
      <c r="J138" s="388"/>
      <c r="K138" s="388"/>
      <c r="L138" s="388"/>
      <c r="M138" s="388"/>
      <c r="N138" s="388"/>
      <c r="O138" s="388"/>
      <c r="P138" s="388"/>
      <c r="Q138" s="388"/>
      <c r="R138" s="388"/>
      <c r="S138" s="388"/>
      <c r="T138" s="388"/>
      <c r="U138" s="388"/>
      <c r="V138" s="388"/>
      <c r="W138" s="388"/>
      <c r="X138" s="388"/>
      <c r="Y138" s="388"/>
    </row>
    <row r="139" spans="1:25" x14ac:dyDescent="0.25">
      <c r="A139" s="388"/>
      <c r="B139" s="388"/>
      <c r="C139" s="388"/>
      <c r="D139" s="388"/>
      <c r="E139" s="388"/>
      <c r="F139" s="388"/>
      <c r="G139" s="388"/>
      <c r="H139" s="388"/>
      <c r="I139" s="388"/>
      <c r="J139" s="388"/>
      <c r="K139" s="388"/>
      <c r="L139" s="388"/>
      <c r="M139" s="388"/>
      <c r="N139" s="388"/>
      <c r="O139" s="388"/>
      <c r="P139" s="388"/>
      <c r="Q139" s="388"/>
      <c r="R139" s="388"/>
      <c r="S139" s="388"/>
      <c r="T139" s="388"/>
      <c r="U139" s="388"/>
      <c r="V139" s="388"/>
      <c r="W139" s="388"/>
      <c r="X139" s="388"/>
      <c r="Y139" s="388"/>
    </row>
    <row r="140" spans="1:25" x14ac:dyDescent="0.25">
      <c r="A140" s="388"/>
      <c r="B140" s="388"/>
      <c r="C140" s="388"/>
      <c r="D140" s="388"/>
      <c r="E140" s="388"/>
      <c r="F140" s="388"/>
      <c r="G140" s="388"/>
      <c r="H140" s="388"/>
      <c r="I140" s="388"/>
      <c r="J140" s="388"/>
      <c r="K140" s="388"/>
      <c r="L140" s="388"/>
      <c r="M140" s="388"/>
      <c r="N140" s="388"/>
      <c r="O140" s="388"/>
      <c r="P140" s="388"/>
      <c r="Q140" s="388"/>
      <c r="R140" s="388"/>
      <c r="S140" s="388"/>
      <c r="T140" s="388"/>
      <c r="U140" s="388"/>
      <c r="V140" s="388"/>
      <c r="W140" s="388"/>
      <c r="X140" s="388"/>
      <c r="Y140" s="388"/>
    </row>
    <row r="141" spans="1:25" x14ac:dyDescent="0.25">
      <c r="A141" s="388"/>
      <c r="B141" s="388"/>
      <c r="C141" s="388"/>
      <c r="D141" s="388"/>
      <c r="E141" s="388"/>
      <c r="F141" s="388"/>
      <c r="G141" s="388"/>
      <c r="H141" s="388"/>
      <c r="I141" s="388"/>
      <c r="J141" s="388"/>
      <c r="K141" s="388"/>
      <c r="L141" s="388"/>
      <c r="M141" s="388"/>
      <c r="N141" s="388"/>
      <c r="O141" s="388"/>
      <c r="P141" s="388"/>
      <c r="Q141" s="388"/>
      <c r="R141" s="388"/>
      <c r="S141" s="388"/>
      <c r="T141" s="388"/>
      <c r="U141" s="388"/>
      <c r="V141" s="388"/>
      <c r="W141" s="388"/>
      <c r="X141" s="388"/>
      <c r="Y141" s="388"/>
    </row>
    <row r="142" spans="1:25" x14ac:dyDescent="0.25">
      <c r="A142" s="388"/>
      <c r="B142" s="388"/>
      <c r="C142" s="388"/>
      <c r="D142" s="388"/>
      <c r="E142" s="388"/>
      <c r="F142" s="388"/>
      <c r="G142" s="388"/>
      <c r="H142" s="388"/>
      <c r="I142" s="388"/>
      <c r="J142" s="388"/>
      <c r="K142" s="388"/>
      <c r="L142" s="388"/>
      <c r="M142" s="388"/>
      <c r="N142" s="388"/>
      <c r="O142" s="388"/>
      <c r="P142" s="388"/>
      <c r="Q142" s="388"/>
      <c r="R142" s="388"/>
      <c r="S142" s="388"/>
      <c r="T142" s="388"/>
      <c r="U142" s="388"/>
      <c r="V142" s="388"/>
      <c r="W142" s="388"/>
      <c r="X142" s="388"/>
      <c r="Y142" s="388"/>
    </row>
    <row r="143" spans="1:25" x14ac:dyDescent="0.25">
      <c r="A143" s="388"/>
      <c r="B143" s="388"/>
      <c r="C143" s="388"/>
      <c r="D143" s="388"/>
      <c r="E143" s="388"/>
      <c r="F143" s="388"/>
      <c r="G143" s="388"/>
      <c r="H143" s="388"/>
      <c r="I143" s="388"/>
      <c r="J143" s="388"/>
      <c r="K143" s="388"/>
      <c r="L143" s="388"/>
      <c r="M143" s="388"/>
      <c r="N143" s="388"/>
      <c r="O143" s="388"/>
      <c r="P143" s="388"/>
      <c r="Q143" s="388"/>
      <c r="R143" s="388"/>
      <c r="S143" s="388"/>
      <c r="T143" s="388"/>
      <c r="U143" s="388"/>
      <c r="V143" s="388"/>
      <c r="W143" s="388"/>
      <c r="X143" s="388"/>
      <c r="Y143" s="388"/>
    </row>
    <row r="144" spans="1:25" x14ac:dyDescent="0.25">
      <c r="A144" s="388"/>
      <c r="B144" s="388"/>
      <c r="C144" s="388"/>
      <c r="D144" s="388"/>
      <c r="E144" s="388"/>
      <c r="F144" s="388"/>
      <c r="G144" s="388"/>
      <c r="H144" s="388"/>
      <c r="I144" s="388"/>
      <c r="J144" s="388"/>
      <c r="K144" s="388"/>
      <c r="L144" s="388"/>
      <c r="M144" s="388"/>
      <c r="N144" s="388"/>
      <c r="O144" s="388"/>
      <c r="P144" s="388"/>
      <c r="Q144" s="388"/>
      <c r="R144" s="388"/>
      <c r="S144" s="388"/>
      <c r="T144" s="388"/>
      <c r="U144" s="388"/>
      <c r="V144" s="388"/>
      <c r="W144" s="388"/>
      <c r="X144" s="388"/>
      <c r="Y144" s="388"/>
    </row>
    <row r="145" spans="1:25" x14ac:dyDescent="0.25">
      <c r="A145" s="388"/>
      <c r="B145" s="388"/>
      <c r="C145" s="388"/>
      <c r="D145" s="388"/>
      <c r="E145" s="388"/>
      <c r="F145" s="388"/>
      <c r="G145" s="388"/>
      <c r="H145" s="388"/>
      <c r="I145" s="388"/>
      <c r="J145" s="388"/>
      <c r="K145" s="388"/>
      <c r="L145" s="388"/>
      <c r="M145" s="388"/>
      <c r="N145" s="388"/>
      <c r="O145" s="388"/>
      <c r="P145" s="388"/>
      <c r="Q145" s="388"/>
      <c r="R145" s="388"/>
      <c r="S145" s="388"/>
      <c r="T145" s="388"/>
      <c r="U145" s="388"/>
      <c r="V145" s="388"/>
      <c r="W145" s="388"/>
      <c r="X145" s="388"/>
      <c r="Y145" s="388"/>
    </row>
    <row r="146" spans="1:25" x14ac:dyDescent="0.25">
      <c r="A146" s="388"/>
      <c r="B146" s="388"/>
      <c r="C146" s="388"/>
      <c r="D146" s="388"/>
      <c r="E146" s="388"/>
      <c r="F146" s="388"/>
      <c r="G146" s="388"/>
      <c r="H146" s="388"/>
      <c r="I146" s="388"/>
      <c r="J146" s="388"/>
      <c r="K146" s="388"/>
      <c r="L146" s="388"/>
      <c r="M146" s="388"/>
      <c r="N146" s="388"/>
      <c r="O146" s="388"/>
      <c r="P146" s="388"/>
      <c r="Q146" s="388"/>
      <c r="R146" s="388"/>
      <c r="S146" s="388"/>
      <c r="T146" s="388"/>
      <c r="U146" s="388"/>
      <c r="V146" s="388"/>
      <c r="W146" s="388"/>
      <c r="X146" s="388"/>
      <c r="Y146" s="388"/>
    </row>
    <row r="147" spans="1:25" x14ac:dyDescent="0.25">
      <c r="A147" s="388"/>
      <c r="B147" s="388"/>
      <c r="C147" s="388"/>
      <c r="D147" s="388"/>
      <c r="E147" s="388"/>
      <c r="F147" s="388"/>
      <c r="G147" s="388"/>
      <c r="H147" s="388"/>
      <c r="I147" s="388"/>
      <c r="J147" s="388"/>
      <c r="K147" s="388"/>
      <c r="L147" s="388"/>
      <c r="M147" s="388"/>
      <c r="N147" s="388"/>
      <c r="O147" s="388"/>
      <c r="P147" s="388"/>
      <c r="Q147" s="388"/>
      <c r="R147" s="388"/>
      <c r="S147" s="388"/>
      <c r="T147" s="388"/>
      <c r="U147" s="388"/>
      <c r="V147" s="388"/>
      <c r="W147" s="388"/>
      <c r="X147" s="388"/>
      <c r="Y147" s="388"/>
    </row>
    <row r="148" spans="1:25" x14ac:dyDescent="0.25">
      <c r="A148" s="388"/>
      <c r="B148" s="388"/>
      <c r="C148" s="388"/>
      <c r="D148" s="388"/>
      <c r="E148" s="388"/>
      <c r="F148" s="388"/>
      <c r="G148" s="388"/>
      <c r="H148" s="388"/>
      <c r="I148" s="388"/>
      <c r="J148" s="388"/>
      <c r="K148" s="388"/>
      <c r="L148" s="388"/>
      <c r="M148" s="388"/>
      <c r="N148" s="388"/>
      <c r="O148" s="388"/>
      <c r="P148" s="388"/>
      <c r="Q148" s="388"/>
      <c r="R148" s="388"/>
      <c r="S148" s="388"/>
      <c r="T148" s="388"/>
      <c r="U148" s="388"/>
      <c r="V148" s="388"/>
      <c r="W148" s="388"/>
      <c r="X148" s="388"/>
      <c r="Y148" s="388"/>
    </row>
    <row r="149" spans="1:25" x14ac:dyDescent="0.25">
      <c r="A149" s="388"/>
      <c r="B149" s="388"/>
      <c r="C149" s="388"/>
      <c r="D149" s="388"/>
      <c r="E149" s="388"/>
      <c r="F149" s="388"/>
      <c r="G149" s="388"/>
      <c r="H149" s="388"/>
      <c r="I149" s="388"/>
      <c r="J149" s="388"/>
      <c r="K149" s="388"/>
      <c r="L149" s="388"/>
      <c r="M149" s="388"/>
      <c r="N149" s="388"/>
      <c r="O149" s="388"/>
      <c r="P149" s="388"/>
      <c r="Q149" s="388"/>
      <c r="R149" s="388"/>
      <c r="S149" s="388"/>
      <c r="T149" s="388"/>
      <c r="U149" s="388"/>
      <c r="V149" s="388"/>
      <c r="W149" s="388"/>
      <c r="X149" s="388"/>
      <c r="Y149" s="388"/>
    </row>
    <row r="150" spans="1:25" x14ac:dyDescent="0.25">
      <c r="A150" s="388"/>
      <c r="B150" s="388"/>
      <c r="C150" s="388"/>
      <c r="D150" s="388"/>
      <c r="E150" s="388"/>
      <c r="F150" s="388"/>
      <c r="G150" s="388"/>
      <c r="H150" s="388"/>
      <c r="I150" s="388"/>
      <c r="J150" s="388"/>
      <c r="K150" s="388"/>
      <c r="L150" s="388"/>
      <c r="M150" s="388"/>
      <c r="N150" s="388"/>
      <c r="O150" s="388"/>
      <c r="P150" s="388"/>
      <c r="Q150" s="388"/>
      <c r="R150" s="388"/>
      <c r="S150" s="388"/>
      <c r="T150" s="388"/>
      <c r="U150" s="388"/>
      <c r="V150" s="388"/>
      <c r="W150" s="388"/>
      <c r="X150" s="388"/>
      <c r="Y150" s="388"/>
    </row>
    <row r="151" spans="1:25" x14ac:dyDescent="0.25">
      <c r="A151" s="388"/>
      <c r="B151" s="388"/>
      <c r="C151" s="388"/>
      <c r="D151" s="388"/>
      <c r="E151" s="388"/>
      <c r="F151" s="388"/>
      <c r="G151" s="388"/>
      <c r="H151" s="388"/>
      <c r="I151" s="388"/>
      <c r="J151" s="388"/>
      <c r="K151" s="388"/>
      <c r="L151" s="388"/>
      <c r="M151" s="388"/>
      <c r="N151" s="388"/>
      <c r="O151" s="388"/>
      <c r="P151" s="388"/>
      <c r="Q151" s="388"/>
      <c r="R151" s="388"/>
      <c r="S151" s="388"/>
      <c r="T151" s="388"/>
      <c r="U151" s="388"/>
      <c r="V151" s="388"/>
      <c r="W151" s="388"/>
      <c r="X151" s="388"/>
      <c r="Y151" s="388"/>
    </row>
    <row r="152" spans="1:25" x14ac:dyDescent="0.25">
      <c r="A152" s="388"/>
      <c r="B152" s="388"/>
      <c r="C152" s="388"/>
      <c r="D152" s="388"/>
      <c r="E152" s="388"/>
      <c r="F152" s="388"/>
      <c r="G152" s="388"/>
      <c r="H152" s="388"/>
      <c r="I152" s="388"/>
      <c r="J152" s="388"/>
      <c r="K152" s="388"/>
      <c r="L152" s="388"/>
      <c r="M152" s="388"/>
      <c r="N152" s="388"/>
      <c r="O152" s="388"/>
      <c r="P152" s="388"/>
      <c r="Q152" s="388"/>
      <c r="R152" s="388"/>
      <c r="S152" s="388"/>
      <c r="T152" s="388"/>
      <c r="U152" s="388"/>
      <c r="V152" s="388"/>
      <c r="W152" s="388"/>
      <c r="X152" s="388"/>
      <c r="Y152" s="388"/>
    </row>
    <row r="153" spans="1:25" x14ac:dyDescent="0.25">
      <c r="A153" s="388"/>
      <c r="B153" s="388"/>
      <c r="C153" s="388"/>
      <c r="D153" s="388"/>
      <c r="E153" s="388"/>
      <c r="F153" s="388"/>
      <c r="G153" s="388"/>
      <c r="H153" s="388"/>
      <c r="I153" s="388"/>
      <c r="J153" s="388"/>
      <c r="K153" s="388"/>
      <c r="L153" s="388"/>
      <c r="M153" s="388"/>
      <c r="N153" s="388"/>
      <c r="O153" s="388"/>
      <c r="P153" s="388"/>
      <c r="Q153" s="388"/>
      <c r="R153" s="388"/>
      <c r="S153" s="388"/>
      <c r="T153" s="388"/>
      <c r="U153" s="388"/>
      <c r="V153" s="388"/>
      <c r="W153" s="388"/>
      <c r="X153" s="388"/>
      <c r="Y153" s="388"/>
    </row>
    <row r="154" spans="1:25" x14ac:dyDescent="0.25">
      <c r="A154" s="388"/>
      <c r="B154" s="388"/>
      <c r="C154" s="388"/>
      <c r="D154" s="388"/>
      <c r="E154" s="388"/>
      <c r="F154" s="388"/>
      <c r="G154" s="388"/>
      <c r="H154" s="388"/>
      <c r="I154" s="388"/>
      <c r="J154" s="388"/>
      <c r="K154" s="388"/>
      <c r="L154" s="388"/>
      <c r="M154" s="388"/>
      <c r="N154" s="388"/>
      <c r="O154" s="388"/>
      <c r="P154" s="388"/>
      <c r="Q154" s="388"/>
      <c r="R154" s="388"/>
      <c r="S154" s="388"/>
      <c r="T154" s="388"/>
      <c r="U154" s="388"/>
      <c r="V154" s="388"/>
      <c r="W154" s="388"/>
      <c r="X154" s="388"/>
      <c r="Y154" s="388"/>
    </row>
    <row r="155" spans="1:25" x14ac:dyDescent="0.25">
      <c r="A155" s="388"/>
      <c r="B155" s="388"/>
      <c r="C155" s="388"/>
      <c r="D155" s="388"/>
      <c r="E155" s="388"/>
      <c r="F155" s="388"/>
      <c r="G155" s="388"/>
      <c r="H155" s="388"/>
      <c r="I155" s="388"/>
      <c r="J155" s="388"/>
      <c r="K155" s="388"/>
      <c r="L155" s="388"/>
      <c r="M155" s="388"/>
      <c r="N155" s="388"/>
      <c r="O155" s="388"/>
      <c r="P155" s="388"/>
      <c r="Q155" s="388"/>
      <c r="R155" s="388"/>
      <c r="S155" s="388"/>
      <c r="T155" s="388"/>
      <c r="U155" s="388"/>
      <c r="V155" s="388"/>
      <c r="W155" s="388"/>
      <c r="X155" s="388"/>
      <c r="Y155" s="388"/>
    </row>
    <row r="156" spans="1:25" x14ac:dyDescent="0.25">
      <c r="A156" s="388"/>
      <c r="B156" s="388"/>
      <c r="C156" s="388"/>
      <c r="D156" s="388"/>
      <c r="E156" s="388"/>
      <c r="F156" s="388"/>
      <c r="G156" s="388"/>
      <c r="H156" s="388"/>
      <c r="I156" s="388"/>
      <c r="J156" s="388"/>
      <c r="K156" s="388"/>
      <c r="L156" s="388"/>
      <c r="M156" s="388"/>
      <c r="N156" s="388"/>
      <c r="O156" s="388"/>
      <c r="P156" s="388"/>
      <c r="Q156" s="388"/>
      <c r="R156" s="388"/>
      <c r="S156" s="388"/>
      <c r="T156" s="388"/>
      <c r="U156" s="388"/>
      <c r="V156" s="388"/>
      <c r="W156" s="388"/>
      <c r="X156" s="388"/>
      <c r="Y156" s="388"/>
    </row>
    <row r="157" spans="1:25" x14ac:dyDescent="0.25">
      <c r="A157" s="388"/>
      <c r="B157" s="388"/>
      <c r="C157" s="388"/>
      <c r="D157" s="388"/>
      <c r="E157" s="388"/>
      <c r="F157" s="388"/>
      <c r="G157" s="388"/>
      <c r="H157" s="388"/>
      <c r="I157" s="388"/>
      <c r="J157" s="388"/>
      <c r="K157" s="388"/>
      <c r="L157" s="388"/>
      <c r="M157" s="388"/>
      <c r="N157" s="388"/>
      <c r="O157" s="388"/>
      <c r="P157" s="388"/>
      <c r="Q157" s="388"/>
      <c r="R157" s="388"/>
      <c r="S157" s="388"/>
      <c r="T157" s="388"/>
      <c r="U157" s="388"/>
      <c r="V157" s="388"/>
      <c r="W157" s="388"/>
      <c r="X157" s="388"/>
      <c r="Y157" s="388"/>
    </row>
    <row r="158" spans="1:25" x14ac:dyDescent="0.25">
      <c r="A158" s="388"/>
      <c r="B158" s="388"/>
      <c r="C158" s="388"/>
      <c r="D158" s="388"/>
      <c r="E158" s="388"/>
      <c r="F158" s="388"/>
      <c r="G158" s="388"/>
      <c r="H158" s="388"/>
      <c r="I158" s="388"/>
      <c r="J158" s="388"/>
      <c r="K158" s="388"/>
      <c r="L158" s="388"/>
      <c r="M158" s="388"/>
      <c r="N158" s="388"/>
      <c r="O158" s="388"/>
      <c r="P158" s="388"/>
      <c r="Q158" s="388"/>
      <c r="R158" s="388"/>
      <c r="S158" s="388"/>
      <c r="T158" s="388"/>
      <c r="U158" s="388"/>
      <c r="V158" s="388"/>
      <c r="W158" s="388"/>
      <c r="X158" s="388"/>
      <c r="Y158" s="388"/>
    </row>
    <row r="159" spans="1:25" x14ac:dyDescent="0.25">
      <c r="A159" s="388"/>
      <c r="B159" s="388"/>
      <c r="C159" s="388"/>
      <c r="D159" s="388"/>
      <c r="E159" s="388"/>
      <c r="F159" s="388"/>
      <c r="G159" s="388"/>
      <c r="H159" s="388"/>
      <c r="I159" s="388"/>
      <c r="J159" s="388"/>
      <c r="K159" s="388"/>
      <c r="L159" s="388"/>
      <c r="M159" s="388"/>
      <c r="N159" s="388"/>
      <c r="O159" s="388"/>
      <c r="P159" s="388"/>
      <c r="Q159" s="388"/>
      <c r="R159" s="388"/>
      <c r="S159" s="388"/>
      <c r="T159" s="388"/>
      <c r="U159" s="388"/>
      <c r="V159" s="388"/>
      <c r="W159" s="388"/>
      <c r="X159" s="388"/>
      <c r="Y159" s="388"/>
    </row>
    <row r="160" spans="1:25" x14ac:dyDescent="0.25">
      <c r="A160" s="388"/>
      <c r="B160" s="388"/>
      <c r="C160" s="388"/>
      <c r="D160" s="388"/>
      <c r="E160" s="388"/>
      <c r="F160" s="388"/>
      <c r="G160" s="388"/>
      <c r="H160" s="388"/>
      <c r="I160" s="388"/>
      <c r="J160" s="388"/>
      <c r="K160" s="388"/>
      <c r="L160" s="388"/>
      <c r="M160" s="388"/>
      <c r="N160" s="388"/>
      <c r="O160" s="388"/>
      <c r="P160" s="388"/>
      <c r="Q160" s="388"/>
      <c r="R160" s="388"/>
      <c r="S160" s="388"/>
      <c r="T160" s="388"/>
      <c r="U160" s="388"/>
      <c r="V160" s="388"/>
      <c r="W160" s="388"/>
      <c r="X160" s="388"/>
      <c r="Y160" s="388"/>
    </row>
    <row r="161" spans="1:25" x14ac:dyDescent="0.25">
      <c r="A161" s="388"/>
      <c r="B161" s="388"/>
      <c r="C161" s="388"/>
      <c r="D161" s="388"/>
      <c r="E161" s="388"/>
      <c r="F161" s="388"/>
      <c r="G161" s="388"/>
      <c r="H161" s="388"/>
      <c r="I161" s="388"/>
      <c r="J161" s="388"/>
      <c r="K161" s="388"/>
      <c r="L161" s="388"/>
      <c r="M161" s="388"/>
      <c r="N161" s="388"/>
      <c r="O161" s="388"/>
      <c r="P161" s="388"/>
      <c r="Q161" s="388"/>
      <c r="R161" s="388"/>
      <c r="S161" s="388"/>
      <c r="T161" s="388"/>
      <c r="U161" s="388"/>
      <c r="V161" s="388"/>
      <c r="W161" s="388"/>
      <c r="X161" s="388"/>
      <c r="Y161" s="388"/>
    </row>
    <row r="162" spans="1:25" x14ac:dyDescent="0.25">
      <c r="A162" s="388"/>
      <c r="B162" s="388"/>
      <c r="C162" s="388"/>
      <c r="D162" s="388"/>
      <c r="E162" s="388"/>
      <c r="F162" s="388"/>
      <c r="G162" s="388"/>
      <c r="H162" s="388"/>
      <c r="I162" s="388"/>
      <c r="J162" s="388"/>
      <c r="K162" s="388"/>
      <c r="L162" s="388"/>
      <c r="M162" s="388"/>
      <c r="N162" s="388"/>
      <c r="O162" s="388"/>
      <c r="P162" s="388"/>
      <c r="Q162" s="388"/>
      <c r="R162" s="388"/>
      <c r="S162" s="388"/>
      <c r="T162" s="388"/>
      <c r="U162" s="388"/>
      <c r="V162" s="388"/>
      <c r="W162" s="388"/>
      <c r="X162" s="388"/>
      <c r="Y162" s="388"/>
    </row>
    <row r="163" spans="1:25" x14ac:dyDescent="0.25">
      <c r="A163" s="388"/>
      <c r="B163" s="388"/>
      <c r="C163" s="388"/>
      <c r="D163" s="388"/>
      <c r="E163" s="388"/>
      <c r="F163" s="388"/>
      <c r="G163" s="388"/>
      <c r="H163" s="388"/>
      <c r="I163" s="388"/>
      <c r="J163" s="388"/>
      <c r="K163" s="388"/>
      <c r="L163" s="388"/>
      <c r="M163" s="388"/>
      <c r="N163" s="388"/>
      <c r="O163" s="388"/>
      <c r="P163" s="388"/>
      <c r="Q163" s="388"/>
      <c r="R163" s="388"/>
      <c r="S163" s="388"/>
      <c r="T163" s="388"/>
      <c r="U163" s="388"/>
      <c r="V163" s="388"/>
      <c r="W163" s="388"/>
      <c r="X163" s="388"/>
      <c r="Y163" s="388"/>
    </row>
    <row r="164" spans="1:25" x14ac:dyDescent="0.25">
      <c r="A164" s="388"/>
      <c r="B164" s="388"/>
      <c r="C164" s="388"/>
      <c r="D164" s="388"/>
      <c r="E164" s="388"/>
      <c r="F164" s="388"/>
      <c r="G164" s="388"/>
      <c r="H164" s="388"/>
      <c r="I164" s="388"/>
      <c r="J164" s="388"/>
      <c r="K164" s="388"/>
      <c r="L164" s="388"/>
      <c r="M164" s="388"/>
      <c r="N164" s="388"/>
      <c r="O164" s="388"/>
      <c r="P164" s="388"/>
      <c r="Q164" s="388"/>
      <c r="R164" s="388"/>
      <c r="S164" s="388"/>
      <c r="T164" s="388"/>
      <c r="U164" s="388"/>
      <c r="V164" s="388"/>
      <c r="W164" s="388"/>
      <c r="X164" s="388"/>
      <c r="Y164" s="388"/>
    </row>
    <row r="165" spans="1:25" x14ac:dyDescent="0.25">
      <c r="A165" s="388"/>
      <c r="B165" s="388"/>
      <c r="C165" s="388"/>
      <c r="D165" s="388"/>
      <c r="E165" s="388"/>
      <c r="F165" s="388"/>
      <c r="G165" s="388"/>
      <c r="H165" s="388"/>
      <c r="I165" s="388"/>
      <c r="J165" s="388"/>
      <c r="K165" s="388"/>
      <c r="L165" s="388"/>
      <c r="M165" s="388"/>
      <c r="N165" s="388"/>
      <c r="O165" s="388"/>
      <c r="P165" s="388"/>
      <c r="Q165" s="388"/>
      <c r="R165" s="388"/>
      <c r="S165" s="388"/>
      <c r="T165" s="388"/>
      <c r="U165" s="388"/>
      <c r="V165" s="388"/>
      <c r="W165" s="388"/>
      <c r="X165" s="388"/>
      <c r="Y165" s="388"/>
    </row>
    <row r="166" spans="1:25" x14ac:dyDescent="0.25">
      <c r="A166" s="388"/>
      <c r="B166" s="388"/>
      <c r="C166" s="388"/>
      <c r="D166" s="388"/>
      <c r="E166" s="388"/>
      <c r="F166" s="388"/>
      <c r="G166" s="388"/>
      <c r="H166" s="388"/>
      <c r="I166" s="388"/>
      <c r="J166" s="388"/>
      <c r="K166" s="388"/>
      <c r="L166" s="388"/>
      <c r="M166" s="388"/>
      <c r="N166" s="388"/>
      <c r="O166" s="388"/>
      <c r="P166" s="388"/>
      <c r="Q166" s="388"/>
      <c r="R166" s="388"/>
      <c r="S166" s="388"/>
      <c r="T166" s="388"/>
      <c r="U166" s="388"/>
      <c r="V166" s="388"/>
      <c r="W166" s="388"/>
      <c r="X166" s="388"/>
      <c r="Y166" s="388"/>
    </row>
    <row r="167" spans="1:25" x14ac:dyDescent="0.25">
      <c r="A167" s="388"/>
      <c r="B167" s="388"/>
      <c r="C167" s="388"/>
      <c r="D167" s="388"/>
      <c r="E167" s="388"/>
      <c r="F167" s="388"/>
      <c r="G167" s="388"/>
      <c r="H167" s="388"/>
      <c r="I167" s="388"/>
      <c r="J167" s="388"/>
      <c r="K167" s="388"/>
      <c r="L167" s="388"/>
      <c r="M167" s="388"/>
      <c r="N167" s="388"/>
      <c r="O167" s="388"/>
      <c r="P167" s="388"/>
      <c r="Q167" s="388"/>
      <c r="R167" s="388"/>
      <c r="S167" s="388"/>
      <c r="T167" s="388"/>
      <c r="U167" s="388"/>
      <c r="V167" s="388"/>
      <c r="W167" s="388"/>
      <c r="X167" s="388"/>
      <c r="Y167" s="388"/>
    </row>
    <row r="168" spans="1:25" x14ac:dyDescent="0.25">
      <c r="A168" s="388"/>
      <c r="B168" s="388"/>
      <c r="C168" s="388"/>
      <c r="D168" s="388"/>
      <c r="E168" s="388"/>
      <c r="F168" s="388"/>
      <c r="G168" s="388"/>
      <c r="H168" s="388"/>
      <c r="I168" s="388"/>
      <c r="J168" s="388"/>
      <c r="K168" s="388"/>
      <c r="L168" s="388"/>
      <c r="M168" s="388"/>
      <c r="N168" s="388"/>
      <c r="O168" s="388"/>
      <c r="P168" s="388"/>
      <c r="Q168" s="388"/>
      <c r="R168" s="388"/>
      <c r="S168" s="388"/>
      <c r="T168" s="388"/>
      <c r="U168" s="388"/>
      <c r="V168" s="388"/>
      <c r="W168" s="388"/>
      <c r="X168" s="388"/>
      <c r="Y168" s="388"/>
    </row>
    <row r="169" spans="1:25" x14ac:dyDescent="0.25">
      <c r="A169" s="388"/>
      <c r="B169" s="388"/>
      <c r="C169" s="388"/>
      <c r="D169" s="388"/>
      <c r="E169" s="388"/>
      <c r="F169" s="388"/>
      <c r="G169" s="388"/>
      <c r="H169" s="388"/>
      <c r="I169" s="388"/>
      <c r="J169" s="388"/>
      <c r="K169" s="388"/>
      <c r="L169" s="388"/>
      <c r="M169" s="388"/>
      <c r="N169" s="388"/>
      <c r="O169" s="388"/>
      <c r="P169" s="388"/>
      <c r="Q169" s="388"/>
      <c r="R169" s="388"/>
      <c r="S169" s="388"/>
      <c r="T169" s="388"/>
      <c r="U169" s="388"/>
      <c r="V169" s="388"/>
      <c r="W169" s="388"/>
      <c r="X169" s="388"/>
      <c r="Y169" s="388"/>
    </row>
    <row r="170" spans="1:25" x14ac:dyDescent="0.25">
      <c r="A170" s="388"/>
      <c r="B170" s="388"/>
      <c r="C170" s="388"/>
      <c r="D170" s="388"/>
      <c r="E170" s="388"/>
      <c r="F170" s="388"/>
      <c r="G170" s="388"/>
      <c r="H170" s="388"/>
      <c r="I170" s="388"/>
      <c r="J170" s="388"/>
      <c r="K170" s="388"/>
      <c r="L170" s="388"/>
      <c r="M170" s="388"/>
      <c r="N170" s="388"/>
      <c r="O170" s="388"/>
      <c r="P170" s="388"/>
      <c r="Q170" s="388"/>
      <c r="R170" s="388"/>
      <c r="S170" s="388"/>
      <c r="T170" s="388"/>
      <c r="U170" s="388"/>
      <c r="V170" s="388"/>
      <c r="W170" s="388"/>
      <c r="X170" s="388"/>
      <c r="Y170" s="388"/>
    </row>
    <row r="171" spans="1:25" x14ac:dyDescent="0.25">
      <c r="A171" s="388"/>
      <c r="B171" s="388"/>
      <c r="C171" s="388"/>
      <c r="D171" s="388"/>
      <c r="E171" s="388"/>
      <c r="F171" s="388"/>
      <c r="G171" s="388"/>
      <c r="H171" s="388"/>
      <c r="I171" s="388"/>
      <c r="J171" s="388"/>
      <c r="K171" s="388"/>
      <c r="L171" s="388"/>
      <c r="M171" s="388"/>
      <c r="N171" s="388"/>
      <c r="O171" s="388"/>
      <c r="P171" s="388"/>
      <c r="Q171" s="388"/>
      <c r="R171" s="388"/>
      <c r="S171" s="388"/>
      <c r="T171" s="388"/>
      <c r="U171" s="388"/>
      <c r="V171" s="388"/>
      <c r="W171" s="388"/>
      <c r="X171" s="388"/>
      <c r="Y171" s="388"/>
    </row>
    <row r="172" spans="1:25" x14ac:dyDescent="0.25">
      <c r="A172" s="388"/>
      <c r="B172" s="388"/>
      <c r="C172" s="388"/>
      <c r="D172" s="388"/>
      <c r="E172" s="388"/>
      <c r="F172" s="388"/>
      <c r="G172" s="388"/>
      <c r="H172" s="388"/>
      <c r="I172" s="388"/>
      <c r="J172" s="388"/>
      <c r="K172" s="388"/>
      <c r="L172" s="388"/>
      <c r="M172" s="388"/>
      <c r="N172" s="388"/>
      <c r="O172" s="388"/>
      <c r="P172" s="388"/>
      <c r="Q172" s="388"/>
      <c r="R172" s="388"/>
      <c r="S172" s="388"/>
      <c r="T172" s="388"/>
      <c r="U172" s="388"/>
      <c r="V172" s="388"/>
      <c r="W172" s="388"/>
      <c r="X172" s="388"/>
      <c r="Y172" s="388"/>
    </row>
    <row r="173" spans="1:25" x14ac:dyDescent="0.25">
      <c r="A173" s="388"/>
      <c r="B173" s="388"/>
      <c r="C173" s="388"/>
      <c r="D173" s="388"/>
      <c r="E173" s="388"/>
      <c r="F173" s="388"/>
      <c r="G173" s="388"/>
      <c r="H173" s="388"/>
      <c r="I173" s="388"/>
      <c r="J173" s="388"/>
      <c r="K173" s="388"/>
      <c r="L173" s="388"/>
      <c r="M173" s="388"/>
      <c r="N173" s="388"/>
      <c r="O173" s="388"/>
      <c r="P173" s="388"/>
      <c r="Q173" s="388"/>
      <c r="R173" s="388"/>
      <c r="S173" s="388"/>
      <c r="T173" s="388"/>
      <c r="U173" s="388"/>
      <c r="V173" s="388"/>
      <c r="W173" s="388"/>
      <c r="X173" s="388"/>
      <c r="Y173" s="388"/>
    </row>
    <row r="174" spans="1:25" x14ac:dyDescent="0.25">
      <c r="A174" s="388"/>
      <c r="B174" s="388"/>
      <c r="C174" s="388"/>
      <c r="D174" s="388"/>
      <c r="E174" s="388"/>
      <c r="F174" s="388"/>
      <c r="G174" s="388"/>
      <c r="H174" s="388"/>
      <c r="I174" s="388"/>
      <c r="J174" s="388"/>
      <c r="K174" s="388"/>
      <c r="L174" s="388"/>
      <c r="M174" s="388"/>
      <c r="N174" s="388"/>
      <c r="O174" s="388"/>
      <c r="P174" s="388"/>
      <c r="Q174" s="388"/>
      <c r="R174" s="388"/>
      <c r="S174" s="388"/>
      <c r="T174" s="388"/>
      <c r="U174" s="388"/>
      <c r="V174" s="388"/>
      <c r="W174" s="388"/>
      <c r="X174" s="388"/>
      <c r="Y174" s="388"/>
    </row>
    <row r="175" spans="1:25" x14ac:dyDescent="0.25">
      <c r="A175" s="388"/>
      <c r="B175" s="388"/>
      <c r="C175" s="388"/>
      <c r="D175" s="388"/>
      <c r="E175" s="388"/>
      <c r="F175" s="388"/>
      <c r="G175" s="388"/>
      <c r="H175" s="388"/>
      <c r="I175" s="388"/>
      <c r="J175" s="388"/>
      <c r="K175" s="388"/>
      <c r="L175" s="388"/>
      <c r="M175" s="388"/>
      <c r="N175" s="388"/>
      <c r="O175" s="388"/>
      <c r="P175" s="388"/>
      <c r="Q175" s="388"/>
      <c r="R175" s="388"/>
      <c r="S175" s="388"/>
      <c r="T175" s="388"/>
      <c r="U175" s="388"/>
      <c r="V175" s="388"/>
      <c r="W175" s="388"/>
      <c r="X175" s="388"/>
      <c r="Y175" s="388"/>
    </row>
    <row r="176" spans="1:25" x14ac:dyDescent="0.25">
      <c r="A176" s="388"/>
      <c r="B176" s="388"/>
      <c r="C176" s="388"/>
      <c r="D176" s="388"/>
      <c r="E176" s="388"/>
      <c r="F176" s="388"/>
      <c r="G176" s="388"/>
      <c r="H176" s="388"/>
      <c r="I176" s="388"/>
      <c r="J176" s="388"/>
      <c r="K176" s="388"/>
      <c r="L176" s="388"/>
      <c r="M176" s="388"/>
      <c r="N176" s="388"/>
      <c r="O176" s="388"/>
      <c r="P176" s="388"/>
      <c r="Q176" s="388"/>
      <c r="R176" s="388"/>
      <c r="S176" s="388"/>
      <c r="T176" s="388"/>
      <c r="U176" s="388"/>
      <c r="V176" s="388"/>
      <c r="W176" s="388"/>
      <c r="X176" s="388"/>
      <c r="Y176" s="388"/>
    </row>
    <row r="177" spans="1:25" x14ac:dyDescent="0.25">
      <c r="A177" s="388"/>
      <c r="B177" s="388"/>
      <c r="C177" s="388"/>
      <c r="D177" s="388"/>
      <c r="E177" s="388"/>
      <c r="F177" s="388"/>
      <c r="G177" s="388"/>
      <c r="H177" s="388"/>
      <c r="I177" s="388"/>
      <c r="J177" s="388"/>
      <c r="K177" s="388"/>
      <c r="L177" s="388"/>
      <c r="M177" s="388"/>
      <c r="N177" s="388"/>
      <c r="O177" s="388"/>
      <c r="P177" s="388"/>
      <c r="Q177" s="388"/>
      <c r="R177" s="388"/>
      <c r="S177" s="388"/>
      <c r="T177" s="388"/>
      <c r="U177" s="388"/>
      <c r="V177" s="388"/>
      <c r="W177" s="388"/>
      <c r="X177" s="388"/>
      <c r="Y177" s="388"/>
    </row>
    <row r="178" spans="1:25" x14ac:dyDescent="0.25">
      <c r="A178" s="388"/>
      <c r="B178" s="388"/>
      <c r="C178" s="388"/>
      <c r="D178" s="388"/>
      <c r="E178" s="388"/>
      <c r="F178" s="388"/>
      <c r="G178" s="388"/>
      <c r="H178" s="388"/>
      <c r="I178" s="388"/>
      <c r="J178" s="388"/>
      <c r="K178" s="388"/>
      <c r="L178" s="388"/>
      <c r="M178" s="388"/>
      <c r="N178" s="388"/>
      <c r="O178" s="388"/>
      <c r="P178" s="388"/>
      <c r="Q178" s="388"/>
      <c r="R178" s="388"/>
      <c r="S178" s="388"/>
      <c r="T178" s="388"/>
      <c r="U178" s="388"/>
      <c r="V178" s="388"/>
      <c r="W178" s="388"/>
      <c r="X178" s="388"/>
      <c r="Y178" s="388"/>
    </row>
    <row r="179" spans="1:25" x14ac:dyDescent="0.25">
      <c r="A179" s="388"/>
      <c r="B179" s="388"/>
      <c r="C179" s="388"/>
      <c r="D179" s="388"/>
      <c r="E179" s="388"/>
      <c r="F179" s="388"/>
      <c r="G179" s="388"/>
      <c r="H179" s="388"/>
      <c r="I179" s="388"/>
      <c r="J179" s="388"/>
      <c r="K179" s="388"/>
      <c r="L179" s="388"/>
      <c r="M179" s="388"/>
      <c r="N179" s="388"/>
      <c r="O179" s="388"/>
      <c r="P179" s="388"/>
      <c r="Q179" s="388"/>
      <c r="R179" s="388"/>
      <c r="S179" s="388"/>
      <c r="T179" s="388"/>
      <c r="U179" s="388"/>
      <c r="V179" s="388"/>
      <c r="W179" s="388"/>
      <c r="X179" s="388"/>
      <c r="Y179" s="388"/>
    </row>
    <row r="180" spans="1:25" x14ac:dyDescent="0.25">
      <c r="A180" s="388"/>
      <c r="B180" s="388"/>
      <c r="C180" s="388"/>
      <c r="D180" s="388"/>
      <c r="E180" s="388"/>
      <c r="F180" s="388"/>
      <c r="G180" s="388"/>
      <c r="H180" s="388"/>
      <c r="I180" s="388"/>
      <c r="J180" s="388"/>
      <c r="K180" s="388"/>
      <c r="L180" s="388"/>
      <c r="M180" s="388"/>
      <c r="N180" s="388"/>
      <c r="O180" s="388"/>
      <c r="P180" s="388"/>
      <c r="Q180" s="388"/>
      <c r="R180" s="388"/>
      <c r="S180" s="388"/>
      <c r="T180" s="388"/>
      <c r="U180" s="388"/>
      <c r="V180" s="388"/>
      <c r="W180" s="388"/>
      <c r="X180" s="388"/>
      <c r="Y180" s="388"/>
    </row>
    <row r="181" spans="1:25" x14ac:dyDescent="0.25">
      <c r="A181" s="388"/>
      <c r="B181" s="388"/>
      <c r="C181" s="388"/>
      <c r="D181" s="388"/>
      <c r="E181" s="388"/>
      <c r="F181" s="388"/>
      <c r="G181" s="388"/>
      <c r="H181" s="388"/>
      <c r="I181" s="388"/>
      <c r="J181" s="388"/>
      <c r="K181" s="388"/>
      <c r="L181" s="388"/>
      <c r="M181" s="388"/>
      <c r="N181" s="388"/>
      <c r="O181" s="388"/>
      <c r="P181" s="388"/>
      <c r="Q181" s="388"/>
      <c r="R181" s="388"/>
      <c r="S181" s="388"/>
      <c r="T181" s="388"/>
      <c r="U181" s="388"/>
      <c r="V181" s="388"/>
      <c r="W181" s="388"/>
      <c r="X181" s="388"/>
      <c r="Y181" s="388"/>
    </row>
    <row r="182" spans="1:25" x14ac:dyDescent="0.25">
      <c r="A182" s="388"/>
      <c r="B182" s="388"/>
      <c r="C182" s="388"/>
      <c r="D182" s="388"/>
      <c r="E182" s="388"/>
      <c r="F182" s="388"/>
      <c r="G182" s="388"/>
      <c r="H182" s="388"/>
      <c r="I182" s="388"/>
      <c r="J182" s="388"/>
      <c r="K182" s="388"/>
      <c r="L182" s="388"/>
      <c r="M182" s="388"/>
      <c r="N182" s="388"/>
      <c r="O182" s="388"/>
      <c r="P182" s="388"/>
      <c r="Q182" s="388"/>
      <c r="R182" s="388"/>
      <c r="S182" s="388"/>
      <c r="T182" s="388"/>
      <c r="U182" s="388"/>
      <c r="V182" s="388"/>
      <c r="W182" s="388"/>
      <c r="X182" s="388"/>
      <c r="Y182" s="388"/>
    </row>
    <row r="183" spans="1:25" x14ac:dyDescent="0.25">
      <c r="A183" s="388"/>
      <c r="B183" s="388"/>
      <c r="C183" s="388"/>
      <c r="D183" s="388"/>
      <c r="E183" s="388"/>
      <c r="F183" s="388"/>
      <c r="G183" s="388"/>
      <c r="H183" s="388"/>
      <c r="I183" s="388"/>
      <c r="J183" s="388"/>
      <c r="K183" s="388"/>
      <c r="L183" s="388"/>
      <c r="M183" s="388"/>
      <c r="N183" s="388"/>
      <c r="O183" s="388"/>
      <c r="P183" s="388"/>
      <c r="Q183" s="388"/>
      <c r="R183" s="388"/>
      <c r="S183" s="388"/>
      <c r="T183" s="388"/>
      <c r="U183" s="388"/>
      <c r="V183" s="388"/>
      <c r="W183" s="388"/>
      <c r="X183" s="388"/>
      <c r="Y183" s="388"/>
    </row>
    <row r="184" spans="1:25" x14ac:dyDescent="0.25">
      <c r="A184" s="388"/>
      <c r="B184" s="388"/>
      <c r="C184" s="388"/>
      <c r="D184" s="388"/>
      <c r="E184" s="388"/>
      <c r="F184" s="388"/>
      <c r="G184" s="388"/>
      <c r="H184" s="388"/>
      <c r="I184" s="388"/>
      <c r="J184" s="388"/>
      <c r="K184" s="388"/>
      <c r="L184" s="388"/>
      <c r="M184" s="388"/>
      <c r="N184" s="388"/>
      <c r="O184" s="388"/>
      <c r="P184" s="388"/>
      <c r="Q184" s="388"/>
      <c r="R184" s="388"/>
      <c r="S184" s="388"/>
      <c r="T184" s="388"/>
      <c r="U184" s="388"/>
      <c r="V184" s="388"/>
      <c r="W184" s="388"/>
      <c r="X184" s="388"/>
      <c r="Y184" s="388"/>
    </row>
    <row r="185" spans="1:25" x14ac:dyDescent="0.25">
      <c r="A185" s="388"/>
      <c r="B185" s="388"/>
      <c r="C185" s="388"/>
      <c r="D185" s="388"/>
      <c r="E185" s="388"/>
      <c r="F185" s="388"/>
      <c r="G185" s="388"/>
      <c r="H185" s="388"/>
      <c r="I185" s="388"/>
      <c r="J185" s="388"/>
      <c r="K185" s="388"/>
      <c r="L185" s="388"/>
      <c r="M185" s="388"/>
      <c r="N185" s="388"/>
      <c r="O185" s="388"/>
      <c r="P185" s="388"/>
      <c r="Q185" s="388"/>
      <c r="R185" s="388"/>
      <c r="S185" s="388"/>
      <c r="T185" s="388"/>
      <c r="U185" s="388"/>
      <c r="V185" s="388"/>
      <c r="W185" s="388"/>
      <c r="X185" s="388"/>
      <c r="Y185" s="388"/>
    </row>
    <row r="186" spans="1:25" x14ac:dyDescent="0.25">
      <c r="A186" s="388"/>
      <c r="B186" s="388"/>
      <c r="C186" s="388"/>
      <c r="D186" s="388"/>
      <c r="E186" s="388"/>
      <c r="F186" s="388"/>
      <c r="G186" s="388"/>
      <c r="H186" s="388"/>
      <c r="I186" s="388"/>
      <c r="J186" s="388"/>
      <c r="K186" s="388"/>
      <c r="L186" s="388"/>
      <c r="M186" s="388"/>
      <c r="N186" s="388"/>
      <c r="O186" s="388"/>
      <c r="P186" s="388"/>
      <c r="Q186" s="388"/>
      <c r="R186" s="388"/>
      <c r="S186" s="388"/>
      <c r="T186" s="388"/>
      <c r="U186" s="388"/>
      <c r="V186" s="388"/>
      <c r="W186" s="388"/>
      <c r="X186" s="388"/>
      <c r="Y186" s="388"/>
    </row>
    <row r="187" spans="1:25" x14ac:dyDescent="0.25">
      <c r="A187" s="388"/>
      <c r="B187" s="388"/>
      <c r="C187" s="388"/>
      <c r="D187" s="388"/>
      <c r="E187" s="388"/>
      <c r="F187" s="388"/>
      <c r="G187" s="388"/>
      <c r="H187" s="388"/>
      <c r="I187" s="388"/>
      <c r="J187" s="388"/>
      <c r="K187" s="388"/>
      <c r="L187" s="388"/>
      <c r="M187" s="388"/>
      <c r="N187" s="388"/>
      <c r="O187" s="388"/>
      <c r="P187" s="388"/>
      <c r="Q187" s="388"/>
      <c r="R187" s="388"/>
      <c r="S187" s="388"/>
      <c r="T187" s="388"/>
      <c r="U187" s="388"/>
      <c r="V187" s="388"/>
      <c r="W187" s="388"/>
      <c r="X187" s="388"/>
      <c r="Y187" s="388"/>
    </row>
    <row r="188" spans="1:25" x14ac:dyDescent="0.25">
      <c r="A188" s="388"/>
      <c r="B188" s="388"/>
      <c r="C188" s="388"/>
      <c r="D188" s="388"/>
      <c r="E188" s="388"/>
      <c r="F188" s="388"/>
      <c r="G188" s="388"/>
      <c r="H188" s="388"/>
      <c r="I188" s="388"/>
      <c r="J188" s="388"/>
      <c r="K188" s="388"/>
      <c r="L188" s="388"/>
      <c r="M188" s="388"/>
      <c r="N188" s="388"/>
      <c r="O188" s="388"/>
      <c r="P188" s="388"/>
      <c r="Q188" s="388"/>
      <c r="R188" s="388"/>
      <c r="S188" s="388"/>
      <c r="T188" s="388"/>
      <c r="U188" s="388"/>
      <c r="V188" s="388"/>
      <c r="W188" s="388"/>
      <c r="X188" s="388"/>
      <c r="Y188" s="388"/>
    </row>
    <row r="189" spans="1:25" x14ac:dyDescent="0.25">
      <c r="A189" s="388"/>
      <c r="B189" s="388"/>
      <c r="C189" s="388"/>
      <c r="D189" s="388"/>
      <c r="E189" s="388"/>
      <c r="F189" s="388"/>
      <c r="G189" s="388"/>
      <c r="H189" s="388"/>
      <c r="I189" s="388"/>
      <c r="J189" s="388"/>
      <c r="K189" s="388"/>
      <c r="L189" s="388"/>
      <c r="M189" s="388"/>
      <c r="N189" s="388"/>
      <c r="O189" s="388"/>
      <c r="P189" s="388"/>
      <c r="Q189" s="388"/>
      <c r="R189" s="388"/>
      <c r="S189" s="388"/>
      <c r="T189" s="388"/>
      <c r="U189" s="388"/>
      <c r="V189" s="388"/>
      <c r="W189" s="388"/>
      <c r="X189" s="388"/>
      <c r="Y189" s="388"/>
    </row>
    <row r="190" spans="1:25" x14ac:dyDescent="0.25">
      <c r="A190" s="388"/>
      <c r="B190" s="388"/>
      <c r="C190" s="388"/>
      <c r="D190" s="388"/>
      <c r="E190" s="388"/>
      <c r="F190" s="388"/>
      <c r="G190" s="388"/>
      <c r="H190" s="388"/>
      <c r="I190" s="388"/>
      <c r="J190" s="388"/>
      <c r="K190" s="388"/>
      <c r="L190" s="388"/>
      <c r="M190" s="388"/>
      <c r="N190" s="388"/>
      <c r="O190" s="388"/>
      <c r="P190" s="388"/>
      <c r="Q190" s="388"/>
      <c r="R190" s="388"/>
      <c r="S190" s="388"/>
      <c r="T190" s="388"/>
      <c r="U190" s="388"/>
      <c r="V190" s="388"/>
      <c r="W190" s="388"/>
      <c r="X190" s="388"/>
      <c r="Y190" s="388"/>
    </row>
    <row r="191" spans="1:25" x14ac:dyDescent="0.25">
      <c r="A191" s="388"/>
      <c r="B191" s="388"/>
      <c r="C191" s="388"/>
      <c r="D191" s="388"/>
      <c r="E191" s="388"/>
      <c r="F191" s="388"/>
      <c r="G191" s="388"/>
      <c r="H191" s="388"/>
      <c r="I191" s="388"/>
      <c r="J191" s="388"/>
      <c r="K191" s="388"/>
      <c r="L191" s="388"/>
      <c r="M191" s="388"/>
      <c r="N191" s="388"/>
      <c r="O191" s="388"/>
      <c r="P191" s="388"/>
      <c r="Q191" s="388"/>
      <c r="R191" s="388"/>
      <c r="S191" s="388"/>
      <c r="T191" s="388"/>
      <c r="U191" s="388"/>
      <c r="V191" s="388"/>
      <c r="W191" s="388"/>
      <c r="X191" s="388"/>
      <c r="Y191" s="388"/>
    </row>
    <row r="192" spans="1:25" x14ac:dyDescent="0.25">
      <c r="A192" s="388"/>
      <c r="B192" s="388"/>
      <c r="C192" s="388"/>
      <c r="D192" s="388"/>
      <c r="E192" s="388"/>
      <c r="F192" s="388"/>
      <c r="G192" s="388"/>
      <c r="H192" s="388"/>
      <c r="I192" s="388"/>
      <c r="J192" s="388"/>
      <c r="K192" s="388"/>
      <c r="L192" s="388"/>
      <c r="M192" s="388"/>
      <c r="N192" s="388"/>
      <c r="O192" s="388"/>
      <c r="P192" s="388"/>
      <c r="Q192" s="388"/>
      <c r="R192" s="388"/>
      <c r="S192" s="388"/>
      <c r="T192" s="388"/>
      <c r="U192" s="388"/>
      <c r="V192" s="388"/>
      <c r="W192" s="388"/>
      <c r="X192" s="388"/>
      <c r="Y192" s="388"/>
    </row>
    <row r="193" spans="1:25" x14ac:dyDescent="0.25">
      <c r="A193" s="388"/>
      <c r="B193" s="388"/>
      <c r="C193" s="388"/>
      <c r="D193" s="388"/>
      <c r="E193" s="388"/>
      <c r="F193" s="388"/>
      <c r="G193" s="388"/>
      <c r="H193" s="388"/>
      <c r="I193" s="388"/>
      <c r="J193" s="388"/>
      <c r="K193" s="388"/>
      <c r="L193" s="388"/>
      <c r="M193" s="388"/>
      <c r="N193" s="388"/>
      <c r="O193" s="388"/>
      <c r="P193" s="388"/>
      <c r="Q193" s="388"/>
      <c r="R193" s="388"/>
      <c r="S193" s="388"/>
      <c r="T193" s="388"/>
      <c r="U193" s="388"/>
      <c r="V193" s="388"/>
      <c r="W193" s="388"/>
      <c r="X193" s="388"/>
      <c r="Y193" s="388"/>
    </row>
    <row r="194" spans="1:25" x14ac:dyDescent="0.25">
      <c r="A194" s="388"/>
      <c r="B194" s="388"/>
      <c r="C194" s="388"/>
      <c r="D194" s="388"/>
      <c r="E194" s="388"/>
      <c r="F194" s="388"/>
      <c r="G194" s="388"/>
      <c r="H194" s="388"/>
      <c r="I194" s="388"/>
      <c r="J194" s="388"/>
      <c r="K194" s="388"/>
      <c r="L194" s="388"/>
      <c r="M194" s="388"/>
      <c r="N194" s="388"/>
      <c r="O194" s="388"/>
      <c r="P194" s="388"/>
      <c r="Q194" s="388"/>
      <c r="R194" s="388"/>
      <c r="S194" s="388"/>
      <c r="T194" s="388"/>
      <c r="U194" s="388"/>
      <c r="V194" s="388"/>
      <c r="W194" s="388"/>
      <c r="X194" s="388"/>
      <c r="Y194" s="388"/>
    </row>
    <row r="195" spans="1:25" x14ac:dyDescent="0.25">
      <c r="A195" s="388"/>
      <c r="B195" s="388"/>
      <c r="C195" s="388"/>
      <c r="D195" s="388"/>
      <c r="E195" s="388"/>
      <c r="F195" s="388"/>
      <c r="G195" s="388"/>
      <c r="H195" s="388"/>
      <c r="I195" s="388"/>
      <c r="J195" s="388"/>
      <c r="K195" s="388"/>
      <c r="L195" s="388"/>
      <c r="M195" s="388"/>
      <c r="N195" s="388"/>
      <c r="O195" s="388"/>
      <c r="P195" s="388"/>
      <c r="Q195" s="388"/>
      <c r="R195" s="388"/>
      <c r="S195" s="388"/>
      <c r="T195" s="388"/>
      <c r="U195" s="388"/>
      <c r="V195" s="388"/>
      <c r="W195" s="388"/>
      <c r="X195" s="388"/>
      <c r="Y195" s="388"/>
    </row>
    <row r="196" spans="1:25" x14ac:dyDescent="0.25">
      <c r="A196" s="388"/>
      <c r="B196" s="388"/>
      <c r="C196" s="388"/>
      <c r="D196" s="388"/>
      <c r="E196" s="388"/>
      <c r="F196" s="388"/>
      <c r="G196" s="388"/>
      <c r="H196" s="388"/>
      <c r="I196" s="388"/>
      <c r="J196" s="388"/>
      <c r="K196" s="388"/>
      <c r="L196" s="388"/>
      <c r="M196" s="388"/>
      <c r="N196" s="388"/>
      <c r="O196" s="388"/>
      <c r="P196" s="388"/>
      <c r="Q196" s="388"/>
      <c r="R196" s="388"/>
      <c r="S196" s="388"/>
      <c r="T196" s="388"/>
      <c r="U196" s="388"/>
      <c r="V196" s="388"/>
      <c r="W196" s="388"/>
      <c r="X196" s="388"/>
      <c r="Y196" s="388"/>
    </row>
    <row r="197" spans="1:25" x14ac:dyDescent="0.25">
      <c r="A197" s="388"/>
      <c r="B197" s="388"/>
      <c r="C197" s="388"/>
      <c r="D197" s="388"/>
      <c r="E197" s="388"/>
      <c r="F197" s="388"/>
      <c r="G197" s="388"/>
      <c r="H197" s="388"/>
      <c r="I197" s="388"/>
      <c r="J197" s="388"/>
      <c r="K197" s="388"/>
      <c r="L197" s="388"/>
      <c r="M197" s="388"/>
      <c r="N197" s="388"/>
      <c r="O197" s="388"/>
      <c r="P197" s="388"/>
      <c r="Q197" s="388"/>
      <c r="R197" s="388"/>
      <c r="S197" s="388"/>
      <c r="T197" s="388"/>
      <c r="U197" s="388"/>
      <c r="V197" s="388"/>
      <c r="W197" s="388"/>
      <c r="X197" s="388"/>
      <c r="Y197" s="388"/>
    </row>
    <row r="198" spans="1:25" x14ac:dyDescent="0.25">
      <c r="A198" s="388"/>
      <c r="B198" s="388"/>
      <c r="C198" s="388"/>
      <c r="D198" s="388"/>
      <c r="E198" s="388"/>
      <c r="F198" s="388"/>
      <c r="G198" s="388"/>
      <c r="H198" s="388"/>
      <c r="I198" s="388"/>
      <c r="J198" s="388"/>
      <c r="K198" s="388"/>
      <c r="L198" s="388"/>
      <c r="M198" s="388"/>
      <c r="N198" s="388"/>
      <c r="O198" s="388"/>
      <c r="P198" s="388"/>
      <c r="Q198" s="388"/>
      <c r="R198" s="388"/>
      <c r="S198" s="388"/>
      <c r="T198" s="388"/>
      <c r="U198" s="388"/>
      <c r="V198" s="388"/>
      <c r="W198" s="388"/>
      <c r="X198" s="388"/>
      <c r="Y198" s="388"/>
    </row>
    <row r="199" spans="1:25" x14ac:dyDescent="0.25">
      <c r="A199" s="388"/>
      <c r="B199" s="388"/>
      <c r="C199" s="388"/>
      <c r="D199" s="388"/>
      <c r="E199" s="388"/>
      <c r="F199" s="388"/>
      <c r="G199" s="388"/>
      <c r="H199" s="388"/>
      <c r="I199" s="388"/>
      <c r="J199" s="388"/>
      <c r="K199" s="388"/>
      <c r="L199" s="388"/>
      <c r="M199" s="388"/>
      <c r="N199" s="388"/>
      <c r="O199" s="388"/>
      <c r="P199" s="388"/>
      <c r="Q199" s="388"/>
      <c r="R199" s="388"/>
      <c r="S199" s="388"/>
      <c r="T199" s="388"/>
      <c r="U199" s="388"/>
      <c r="V199" s="388"/>
      <c r="W199" s="388"/>
      <c r="X199" s="388"/>
      <c r="Y199" s="388"/>
    </row>
    <row r="200" spans="1:25" x14ac:dyDescent="0.25">
      <c r="A200" s="388"/>
      <c r="B200" s="388"/>
      <c r="C200" s="388"/>
      <c r="D200" s="388"/>
      <c r="E200" s="388"/>
      <c r="F200" s="388"/>
      <c r="G200" s="388"/>
      <c r="H200" s="388"/>
      <c r="I200" s="388"/>
      <c r="J200" s="388"/>
      <c r="K200" s="388"/>
      <c r="L200" s="388"/>
      <c r="M200" s="388"/>
      <c r="N200" s="388"/>
      <c r="O200" s="388"/>
      <c r="P200" s="388"/>
      <c r="Q200" s="388"/>
      <c r="R200" s="388"/>
      <c r="S200" s="388"/>
      <c r="T200" s="388"/>
      <c r="U200" s="388"/>
      <c r="V200" s="388"/>
      <c r="W200" s="388"/>
      <c r="X200" s="388"/>
      <c r="Y200" s="388"/>
    </row>
    <row r="201" spans="1:25" x14ac:dyDescent="0.25">
      <c r="B201" s="388"/>
      <c r="C201" s="388"/>
      <c r="D201" s="388"/>
      <c r="E201" s="388"/>
      <c r="F201" s="388"/>
      <c r="G201" s="388"/>
      <c r="H201" s="388"/>
      <c r="I201" s="388"/>
      <c r="J201" s="388"/>
      <c r="K201" s="388"/>
      <c r="L201" s="388"/>
      <c r="M201" s="388"/>
      <c r="N201" s="388"/>
      <c r="O201" s="388"/>
      <c r="P201" s="388"/>
      <c r="Q201" s="388"/>
      <c r="R201" s="388"/>
      <c r="S201" s="388"/>
      <c r="T201" s="388"/>
      <c r="U201" s="388"/>
      <c r="V201" s="388"/>
      <c r="W201" s="388"/>
      <c r="X201" s="388"/>
      <c r="Y201" s="388"/>
    </row>
    <row r="202" spans="1:25" x14ac:dyDescent="0.25">
      <c r="B202" s="388"/>
      <c r="C202" s="388"/>
      <c r="D202" s="388"/>
      <c r="E202" s="388"/>
      <c r="F202" s="388"/>
      <c r="G202" s="388"/>
      <c r="H202" s="388"/>
      <c r="I202" s="388"/>
      <c r="J202" s="388"/>
      <c r="K202" s="388"/>
      <c r="L202" s="388"/>
      <c r="M202" s="388"/>
      <c r="N202" s="388"/>
      <c r="O202" s="388"/>
      <c r="P202" s="388"/>
      <c r="Q202" s="388"/>
      <c r="R202" s="388"/>
      <c r="S202" s="388"/>
      <c r="T202" s="388"/>
      <c r="U202" s="388"/>
      <c r="V202" s="388"/>
      <c r="W202" s="388"/>
      <c r="X202" s="388"/>
      <c r="Y202" s="388"/>
    </row>
    <row r="203" spans="1:25" x14ac:dyDescent="0.25">
      <c r="B203" s="388"/>
      <c r="C203" s="388"/>
      <c r="D203" s="388"/>
      <c r="E203" s="388"/>
      <c r="F203" s="388"/>
      <c r="G203" s="388"/>
      <c r="H203" s="388"/>
      <c r="I203" s="388"/>
      <c r="J203" s="388"/>
      <c r="K203" s="388"/>
      <c r="L203" s="388"/>
      <c r="M203" s="388"/>
      <c r="N203" s="388"/>
      <c r="O203" s="388"/>
      <c r="P203" s="388"/>
      <c r="Q203" s="388"/>
      <c r="R203" s="388"/>
      <c r="S203" s="388"/>
      <c r="T203" s="388"/>
      <c r="U203" s="388"/>
      <c r="V203" s="388"/>
      <c r="W203" s="388"/>
      <c r="X203" s="388"/>
      <c r="Y203" s="388"/>
    </row>
    <row r="204" spans="1:25" x14ac:dyDescent="0.25">
      <c r="B204" s="388"/>
      <c r="C204" s="388"/>
      <c r="D204" s="388"/>
      <c r="E204" s="388"/>
      <c r="F204" s="388"/>
      <c r="G204" s="388"/>
      <c r="H204" s="388"/>
      <c r="I204" s="388"/>
      <c r="J204" s="388"/>
      <c r="K204" s="388"/>
      <c r="L204" s="388"/>
      <c r="M204" s="388"/>
      <c r="N204" s="388"/>
      <c r="O204" s="388"/>
      <c r="P204" s="388"/>
      <c r="Q204" s="388"/>
      <c r="R204" s="388"/>
      <c r="S204" s="388"/>
      <c r="T204" s="388"/>
      <c r="U204" s="388"/>
      <c r="V204" s="388"/>
      <c r="W204" s="388"/>
      <c r="X204" s="388"/>
      <c r="Y204" s="388"/>
    </row>
    <row r="205" spans="1:25" x14ac:dyDescent="0.25">
      <c r="B205" s="388"/>
      <c r="C205" s="388"/>
      <c r="D205" s="388"/>
      <c r="E205" s="388"/>
      <c r="F205" s="388"/>
      <c r="G205" s="388"/>
      <c r="H205" s="388"/>
      <c r="I205" s="388"/>
      <c r="J205" s="388"/>
      <c r="K205" s="388"/>
      <c r="L205" s="388"/>
      <c r="M205" s="388"/>
      <c r="N205" s="388"/>
      <c r="O205" s="388"/>
      <c r="P205" s="388"/>
      <c r="Q205" s="388"/>
      <c r="R205" s="388"/>
      <c r="S205" s="388"/>
      <c r="T205" s="388"/>
      <c r="U205" s="388"/>
      <c r="V205" s="388"/>
      <c r="W205" s="388"/>
      <c r="X205" s="388"/>
      <c r="Y205" s="388"/>
    </row>
    <row r="206" spans="1:25" x14ac:dyDescent="0.25">
      <c r="B206" s="388"/>
      <c r="C206" s="388"/>
      <c r="D206" s="388"/>
      <c r="E206" s="388"/>
      <c r="F206" s="388"/>
      <c r="G206" s="388"/>
      <c r="H206" s="388"/>
      <c r="I206" s="388"/>
      <c r="J206" s="388"/>
      <c r="K206" s="388"/>
      <c r="L206" s="388"/>
      <c r="M206" s="388"/>
      <c r="N206" s="388"/>
      <c r="O206" s="388"/>
      <c r="P206" s="388"/>
      <c r="Q206" s="388"/>
      <c r="R206" s="388"/>
      <c r="S206" s="388"/>
      <c r="T206" s="388"/>
      <c r="U206" s="388"/>
      <c r="V206" s="388"/>
      <c r="W206" s="388"/>
      <c r="X206" s="388"/>
      <c r="Y206" s="388"/>
    </row>
    <row r="207" spans="1:25" x14ac:dyDescent="0.25">
      <c r="B207" s="388"/>
      <c r="C207" s="388"/>
      <c r="D207" s="388"/>
      <c r="E207" s="388"/>
      <c r="F207" s="388"/>
      <c r="G207" s="388"/>
      <c r="H207" s="388"/>
      <c r="I207" s="388"/>
      <c r="J207" s="388"/>
      <c r="K207" s="388"/>
      <c r="L207" s="388"/>
      <c r="M207" s="388"/>
      <c r="N207" s="388"/>
      <c r="O207" s="388"/>
      <c r="P207" s="388"/>
      <c r="Q207" s="388"/>
      <c r="R207" s="388"/>
      <c r="S207" s="388"/>
      <c r="T207" s="388"/>
      <c r="U207" s="388"/>
      <c r="V207" s="388"/>
      <c r="W207" s="388"/>
      <c r="X207" s="388"/>
      <c r="Y207" s="388"/>
    </row>
    <row r="208" spans="1:25" x14ac:dyDescent="0.25">
      <c r="B208" s="388"/>
      <c r="C208" s="388"/>
      <c r="D208" s="388"/>
      <c r="E208" s="388"/>
      <c r="F208" s="388"/>
      <c r="G208" s="388"/>
      <c r="H208" s="388"/>
      <c r="I208" s="388"/>
      <c r="J208" s="388"/>
      <c r="K208" s="388"/>
      <c r="L208" s="388"/>
      <c r="M208" s="388"/>
      <c r="N208" s="388"/>
      <c r="O208" s="388"/>
      <c r="P208" s="388"/>
      <c r="Q208" s="388"/>
      <c r="R208" s="388"/>
      <c r="S208" s="388"/>
      <c r="T208" s="388"/>
      <c r="U208" s="388"/>
      <c r="V208" s="388"/>
      <c r="W208" s="388"/>
      <c r="X208" s="388"/>
      <c r="Y208" s="388"/>
    </row>
    <row r="209" spans="2:25" x14ac:dyDescent="0.25">
      <c r="B209" s="388"/>
      <c r="C209" s="388"/>
      <c r="D209" s="388"/>
      <c r="E209" s="388"/>
      <c r="F209" s="388"/>
      <c r="G209" s="388"/>
      <c r="H209" s="388"/>
      <c r="I209" s="388"/>
      <c r="J209" s="388"/>
      <c r="K209" s="388"/>
      <c r="L209" s="388"/>
      <c r="M209" s="388"/>
      <c r="N209" s="388"/>
      <c r="O209" s="388"/>
      <c r="P209" s="388"/>
      <c r="Q209" s="388"/>
      <c r="R209" s="388"/>
      <c r="S209" s="388"/>
      <c r="T209" s="388"/>
      <c r="U209" s="388"/>
      <c r="V209" s="388"/>
      <c r="W209" s="388"/>
      <c r="X209" s="388"/>
      <c r="Y209" s="388"/>
    </row>
    <row r="210" spans="2:25" x14ac:dyDescent="0.25">
      <c r="B210" s="388"/>
      <c r="C210" s="388"/>
      <c r="D210" s="388"/>
      <c r="E210" s="388"/>
      <c r="F210" s="388"/>
      <c r="G210" s="388"/>
      <c r="H210" s="388"/>
      <c r="I210" s="388"/>
      <c r="J210" s="388"/>
      <c r="K210" s="388"/>
      <c r="L210" s="388"/>
      <c r="M210" s="388"/>
      <c r="N210" s="388"/>
      <c r="O210" s="388"/>
      <c r="P210" s="388"/>
      <c r="Q210" s="388"/>
      <c r="R210" s="388"/>
      <c r="S210" s="388"/>
      <c r="T210" s="388"/>
      <c r="U210" s="388"/>
      <c r="V210" s="388"/>
      <c r="W210" s="388"/>
      <c r="X210" s="388"/>
      <c r="Y210" s="388"/>
    </row>
    <row r="211" spans="2:25" x14ac:dyDescent="0.25">
      <c r="B211" s="388"/>
      <c r="C211" s="388"/>
      <c r="D211" s="388"/>
      <c r="E211" s="388"/>
      <c r="F211" s="388"/>
      <c r="G211" s="388"/>
      <c r="H211" s="388"/>
      <c r="I211" s="388"/>
      <c r="J211" s="388"/>
      <c r="K211" s="388"/>
      <c r="L211" s="388"/>
      <c r="M211" s="388"/>
      <c r="N211" s="388"/>
      <c r="O211" s="388"/>
      <c r="P211" s="388"/>
      <c r="Q211" s="388"/>
      <c r="R211" s="388"/>
      <c r="S211" s="388"/>
      <c r="T211" s="388"/>
      <c r="U211" s="388"/>
      <c r="V211" s="388"/>
      <c r="W211" s="388"/>
      <c r="X211" s="388"/>
      <c r="Y211" s="388"/>
    </row>
    <row r="212" spans="2:25" x14ac:dyDescent="0.25">
      <c r="B212" s="388"/>
      <c r="C212" s="388"/>
      <c r="D212" s="388"/>
      <c r="E212" s="388"/>
      <c r="F212" s="388"/>
      <c r="G212" s="388"/>
      <c r="H212" s="388"/>
      <c r="I212" s="388"/>
      <c r="J212" s="388"/>
      <c r="K212" s="388"/>
      <c r="L212" s="388"/>
      <c r="M212" s="388"/>
      <c r="N212" s="388"/>
      <c r="O212" s="388"/>
      <c r="P212" s="388"/>
      <c r="Q212" s="388"/>
      <c r="R212" s="388"/>
      <c r="S212" s="388"/>
      <c r="T212" s="388"/>
      <c r="U212" s="388"/>
      <c r="V212" s="388"/>
      <c r="W212" s="388"/>
      <c r="X212" s="388"/>
      <c r="Y212" s="388"/>
    </row>
  </sheetData>
  <mergeCells count="3">
    <mergeCell ref="C102:E102"/>
    <mergeCell ref="F102:H102"/>
    <mergeCell ref="I102:K102"/>
  </mergeCells>
  <pageMargins left="0.7" right="0.7" top="0.75" bottom="0.75" header="0.3" footer="0.3"/>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Z162"/>
  <sheetViews>
    <sheetView workbookViewId="0">
      <selection activeCell="C37" sqref="C37"/>
    </sheetView>
  </sheetViews>
  <sheetFormatPr defaultRowHeight="15" x14ac:dyDescent="0.25"/>
  <cols>
    <col min="3" max="3" width="10.28515625" style="1" customWidth="1"/>
    <col min="4" max="4" width="12.7109375" style="1" customWidth="1"/>
    <col min="5" max="5" width="10.28515625" customWidth="1"/>
    <col min="6" max="7" width="9.7109375" customWidth="1"/>
    <col min="8" max="8" width="10" customWidth="1"/>
    <col min="9" max="9" width="10.140625" customWidth="1"/>
    <col min="10" max="13" width="9.85546875" style="1" customWidth="1"/>
    <col min="14" max="14" width="10.28515625" style="4" customWidth="1"/>
    <col min="15" max="15" width="9.5703125" style="72" customWidth="1"/>
    <col min="16" max="16" width="9.85546875" customWidth="1"/>
    <col min="17" max="17" width="10.28515625" customWidth="1"/>
    <col min="18" max="18" width="9.7109375" customWidth="1"/>
    <col min="19" max="19" width="9.5703125" customWidth="1"/>
  </cols>
  <sheetData>
    <row r="1" spans="1:26" ht="18" x14ac:dyDescent="0.25">
      <c r="A1" s="425" t="s">
        <v>200</v>
      </c>
      <c r="B1" s="388"/>
      <c r="C1" s="389"/>
      <c r="D1" s="389"/>
      <c r="E1" s="388"/>
      <c r="F1" s="388"/>
      <c r="G1" s="388"/>
      <c r="H1" s="388"/>
      <c r="I1" s="388"/>
      <c r="J1" s="389"/>
      <c r="K1" s="389"/>
      <c r="L1" s="389"/>
      <c r="M1" s="389"/>
      <c r="N1" s="426"/>
      <c r="O1" s="427"/>
      <c r="P1" s="388"/>
      <c r="Q1" s="388"/>
      <c r="R1" s="388"/>
      <c r="S1" s="388"/>
      <c r="T1" s="388"/>
      <c r="U1" s="388"/>
      <c r="V1" s="388"/>
      <c r="W1" s="388"/>
      <c r="X1" s="388"/>
      <c r="Y1" s="388"/>
      <c r="Z1" s="388"/>
    </row>
    <row r="2" spans="1:26" ht="18" x14ac:dyDescent="0.25">
      <c r="A2" s="425"/>
      <c r="B2" s="388"/>
      <c r="C2" s="389"/>
      <c r="D2" s="389"/>
      <c r="E2" s="388"/>
      <c r="F2" s="388"/>
      <c r="G2" s="388"/>
      <c r="H2" s="388"/>
      <c r="I2" s="388"/>
      <c r="J2" s="389"/>
      <c r="K2" s="388"/>
      <c r="L2" s="388"/>
      <c r="M2" s="389"/>
      <c r="N2" s="426"/>
      <c r="O2" s="427"/>
      <c r="P2" s="388"/>
      <c r="Q2" s="388"/>
      <c r="R2" s="388"/>
      <c r="S2" s="388"/>
      <c r="T2" s="388"/>
      <c r="U2" s="388"/>
      <c r="V2" s="388"/>
      <c r="W2" s="388"/>
      <c r="X2" s="388"/>
      <c r="Y2" s="388"/>
      <c r="Z2" s="388"/>
    </row>
    <row r="3" spans="1:26" ht="18" x14ac:dyDescent="0.25">
      <c r="A3" s="425"/>
      <c r="B3" s="425" t="s">
        <v>201</v>
      </c>
      <c r="C3" s="388"/>
      <c r="D3" s="388"/>
      <c r="E3" s="388"/>
      <c r="F3" s="389"/>
      <c r="G3" s="389"/>
      <c r="H3" s="389"/>
      <c r="I3" s="388"/>
      <c r="J3" s="388"/>
      <c r="K3" s="388"/>
      <c r="L3" s="407"/>
      <c r="M3" s="388"/>
      <c r="N3" s="395"/>
      <c r="O3" s="428"/>
      <c r="P3" s="388"/>
      <c r="Q3" s="388"/>
      <c r="R3" s="388"/>
      <c r="S3" s="388"/>
      <c r="T3" s="388"/>
      <c r="U3" s="388"/>
      <c r="V3" s="388"/>
      <c r="W3" s="388"/>
      <c r="X3" s="388"/>
      <c r="Y3" s="388"/>
      <c r="Z3" s="388"/>
    </row>
    <row r="4" spans="1:26" ht="18" x14ac:dyDescent="0.25">
      <c r="A4" s="425"/>
      <c r="B4" s="8"/>
      <c r="C4" s="9" t="s">
        <v>136</v>
      </c>
      <c r="D4" s="10"/>
      <c r="E4" s="9" t="s">
        <v>137</v>
      </c>
      <c r="F4" s="9"/>
      <c r="G4" s="9"/>
      <c r="H4" s="9"/>
      <c r="I4" s="9" t="s">
        <v>1</v>
      </c>
      <c r="J4" s="9" t="s">
        <v>138</v>
      </c>
      <c r="K4" s="9" t="s">
        <v>139</v>
      </c>
      <c r="L4" s="69"/>
      <c r="M4" s="69"/>
      <c r="N4" s="10"/>
      <c r="O4" s="73"/>
      <c r="P4" s="388"/>
      <c r="Q4" s="388"/>
      <c r="R4" s="388"/>
      <c r="S4" s="388"/>
      <c r="T4" s="388"/>
      <c r="U4" s="388"/>
      <c r="V4" s="388"/>
      <c r="W4" s="388"/>
      <c r="X4" s="388"/>
      <c r="Y4" s="388"/>
      <c r="Z4" s="388"/>
    </row>
    <row r="5" spans="1:26" ht="18" x14ac:dyDescent="0.25">
      <c r="A5" s="425"/>
      <c r="B5" s="12" t="s">
        <v>202</v>
      </c>
      <c r="C5" s="13"/>
      <c r="D5" s="3"/>
      <c r="E5" s="13"/>
      <c r="F5" s="13"/>
      <c r="G5" s="13"/>
      <c r="H5" s="13"/>
      <c r="I5" s="13"/>
      <c r="J5" s="13"/>
      <c r="K5" s="13"/>
      <c r="L5" s="55"/>
      <c r="M5" s="55"/>
      <c r="N5" s="3"/>
      <c r="O5" s="74"/>
      <c r="P5" s="388"/>
      <c r="Q5" s="388"/>
      <c r="R5" s="388"/>
      <c r="S5" s="388"/>
      <c r="T5" s="388"/>
      <c r="U5" s="388"/>
      <c r="V5" s="388"/>
      <c r="W5" s="388"/>
      <c r="X5" s="388"/>
      <c r="Y5" s="388"/>
      <c r="Z5" s="388"/>
    </row>
    <row r="6" spans="1:26" ht="18" x14ac:dyDescent="0.25">
      <c r="A6" s="425"/>
      <c r="B6" s="15"/>
      <c r="C6" s="75" t="s">
        <v>2</v>
      </c>
      <c r="D6" s="3"/>
      <c r="E6" s="55">
        <v>1</v>
      </c>
      <c r="F6" s="76" t="s">
        <v>203</v>
      </c>
      <c r="G6" s="76"/>
      <c r="H6" s="76"/>
      <c r="I6" s="77">
        <f ca="1">K31</f>
        <v>34.482758620689658</v>
      </c>
      <c r="J6" s="18" t="s">
        <v>204</v>
      </c>
      <c r="K6" s="3" t="s">
        <v>143</v>
      </c>
      <c r="L6" s="55"/>
      <c r="M6" s="55"/>
      <c r="N6" s="33"/>
      <c r="O6" s="78"/>
      <c r="P6" s="388"/>
      <c r="Q6" s="388"/>
      <c r="R6" s="388"/>
      <c r="S6" s="388"/>
      <c r="T6" s="388"/>
      <c r="U6" s="388"/>
      <c r="V6" s="388"/>
      <c r="W6" s="388"/>
      <c r="X6" s="388"/>
      <c r="Y6" s="388"/>
      <c r="Z6" s="388"/>
    </row>
    <row r="7" spans="1:26" ht="18" x14ac:dyDescent="0.25">
      <c r="A7" s="425"/>
      <c r="B7" s="15"/>
      <c r="C7" s="75" t="s">
        <v>3</v>
      </c>
      <c r="D7" s="3"/>
      <c r="E7" s="76">
        <v>2</v>
      </c>
      <c r="F7" s="76" t="s">
        <v>205</v>
      </c>
      <c r="G7" s="76"/>
      <c r="H7" s="76"/>
      <c r="I7" s="77">
        <f ca="1">K34</f>
        <v>4.8255319148936167</v>
      </c>
      <c r="J7" s="18" t="s">
        <v>204</v>
      </c>
      <c r="K7" s="3"/>
      <c r="L7" s="55"/>
      <c r="M7" s="55"/>
      <c r="N7" s="33"/>
      <c r="O7" s="78"/>
      <c r="P7" s="388"/>
      <c r="Q7" s="388"/>
      <c r="R7" s="388"/>
      <c r="S7" s="388"/>
      <c r="T7" s="388"/>
      <c r="U7" s="388"/>
      <c r="V7" s="388"/>
      <c r="W7" s="388"/>
      <c r="X7" s="388"/>
      <c r="Y7" s="388"/>
      <c r="Z7" s="388"/>
    </row>
    <row r="8" spans="1:26" ht="18" x14ac:dyDescent="0.25">
      <c r="A8" s="425"/>
      <c r="B8" s="15"/>
      <c r="C8" s="75" t="s">
        <v>206</v>
      </c>
      <c r="D8" s="3"/>
      <c r="E8" s="76" t="s">
        <v>207</v>
      </c>
      <c r="F8" s="76" t="s">
        <v>208</v>
      </c>
      <c r="G8" s="76"/>
      <c r="H8" s="76"/>
      <c r="I8" s="77">
        <f ca="1">K32</f>
        <v>175.51724137931038</v>
      </c>
      <c r="J8" s="18" t="s">
        <v>204</v>
      </c>
      <c r="K8" s="3"/>
      <c r="L8" s="55"/>
      <c r="M8" s="55"/>
      <c r="N8" s="33"/>
      <c r="O8" s="78"/>
      <c r="P8" s="388"/>
      <c r="Q8" s="388"/>
      <c r="R8" s="388"/>
      <c r="S8" s="388"/>
      <c r="T8" s="388"/>
      <c r="U8" s="388"/>
      <c r="V8" s="388"/>
      <c r="W8" s="388"/>
      <c r="X8" s="388"/>
      <c r="Y8" s="388"/>
      <c r="Z8" s="388"/>
    </row>
    <row r="9" spans="1:26" ht="18" x14ac:dyDescent="0.25">
      <c r="A9" s="425"/>
      <c r="B9" s="15"/>
      <c r="C9" s="75" t="s">
        <v>209</v>
      </c>
      <c r="D9" s="3"/>
      <c r="E9" s="76" t="s">
        <v>210</v>
      </c>
      <c r="F9" s="76" t="s">
        <v>211</v>
      </c>
      <c r="G9" s="76"/>
      <c r="H9" s="76"/>
      <c r="I9" s="77">
        <f ca="1">K35</f>
        <v>184.17446808510638</v>
      </c>
      <c r="J9" s="18" t="s">
        <v>204</v>
      </c>
      <c r="K9" s="3"/>
      <c r="L9" s="55"/>
      <c r="M9" s="55"/>
      <c r="N9" s="33"/>
      <c r="O9" s="78"/>
      <c r="P9" s="388"/>
      <c r="Q9" s="388"/>
      <c r="R9" s="388"/>
      <c r="S9" s="388"/>
      <c r="T9" s="388"/>
      <c r="U9" s="388"/>
      <c r="V9" s="388"/>
      <c r="W9" s="388"/>
      <c r="X9" s="388"/>
      <c r="Y9" s="388"/>
      <c r="Z9" s="388"/>
    </row>
    <row r="10" spans="1:26" ht="18" x14ac:dyDescent="0.25">
      <c r="A10" s="425"/>
      <c r="B10" s="15"/>
      <c r="C10" s="75" t="s">
        <v>4</v>
      </c>
      <c r="D10" s="3"/>
      <c r="E10" s="76">
        <v>4</v>
      </c>
      <c r="F10" s="76" t="s">
        <v>212</v>
      </c>
      <c r="G10" s="76"/>
      <c r="H10" s="76"/>
      <c r="I10" s="77">
        <f ca="1">K42</f>
        <v>7.6569388429090548</v>
      </c>
      <c r="J10" s="18" t="s">
        <v>204</v>
      </c>
      <c r="K10" s="3"/>
      <c r="L10" s="55"/>
      <c r="M10" s="55"/>
      <c r="N10" s="79"/>
      <c r="O10" s="74"/>
      <c r="P10" s="388"/>
      <c r="Q10" s="388"/>
      <c r="R10" s="388"/>
      <c r="S10" s="388"/>
      <c r="T10" s="388"/>
      <c r="U10" s="388"/>
      <c r="V10" s="388"/>
      <c r="W10" s="388"/>
      <c r="X10" s="388"/>
      <c r="Y10" s="388"/>
      <c r="Z10" s="388"/>
    </row>
    <row r="11" spans="1:26" ht="18" x14ac:dyDescent="0.25">
      <c r="A11" s="425"/>
      <c r="B11" s="15"/>
      <c r="C11" s="75" t="s">
        <v>5</v>
      </c>
      <c r="D11" s="3"/>
      <c r="E11" s="76">
        <v>5</v>
      </c>
      <c r="F11" s="76" t="s">
        <v>213</v>
      </c>
      <c r="G11" s="76"/>
      <c r="H11" s="76"/>
      <c r="I11" s="77">
        <f ca="1">K29*K43</f>
        <v>44.234042553191493</v>
      </c>
      <c r="J11" s="18" t="s">
        <v>204</v>
      </c>
      <c r="K11" s="3"/>
      <c r="L11" s="55"/>
      <c r="M11" s="55"/>
      <c r="N11" s="3"/>
      <c r="O11" s="74"/>
      <c r="P11" s="388"/>
      <c r="Q11" s="388"/>
      <c r="R11" s="388"/>
      <c r="S11" s="388"/>
      <c r="T11" s="388"/>
      <c r="U11" s="388"/>
      <c r="V11" s="388"/>
      <c r="W11" s="388"/>
      <c r="X11" s="388"/>
      <c r="Y11" s="388"/>
      <c r="Z11" s="388"/>
    </row>
    <row r="12" spans="1:26" ht="18" x14ac:dyDescent="0.25">
      <c r="A12" s="425"/>
      <c r="B12" s="15"/>
      <c r="C12" s="75" t="s">
        <v>214</v>
      </c>
      <c r="D12" s="3"/>
      <c r="E12" s="76">
        <v>6</v>
      </c>
      <c r="F12" s="76" t="s">
        <v>215</v>
      </c>
      <c r="G12" s="76"/>
      <c r="H12" s="76"/>
      <c r="I12" s="77">
        <f ca="1">K36</f>
        <v>168.07999999999998</v>
      </c>
      <c r="J12" s="18" t="s">
        <v>204</v>
      </c>
      <c r="K12" s="3"/>
      <c r="L12" s="55"/>
      <c r="M12" s="55"/>
      <c r="N12" s="3"/>
      <c r="O12" s="74"/>
      <c r="P12" s="388"/>
      <c r="Q12" s="388"/>
      <c r="R12" s="388"/>
      <c r="S12" s="388"/>
      <c r="T12" s="388"/>
      <c r="U12" s="388"/>
      <c r="V12" s="388"/>
      <c r="W12" s="388"/>
      <c r="X12" s="388"/>
      <c r="Y12" s="388"/>
      <c r="Z12" s="388"/>
    </row>
    <row r="13" spans="1:26" ht="18" x14ac:dyDescent="0.25">
      <c r="A13" s="425"/>
      <c r="B13" s="15"/>
      <c r="C13" s="75" t="s">
        <v>6</v>
      </c>
      <c r="D13" s="3"/>
      <c r="E13" s="76">
        <v>7</v>
      </c>
      <c r="F13" s="76" t="s">
        <v>216</v>
      </c>
      <c r="G13" s="76"/>
      <c r="H13" s="76"/>
      <c r="I13" s="77">
        <f ca="1">K37</f>
        <v>200</v>
      </c>
      <c r="J13" s="18" t="s">
        <v>204</v>
      </c>
      <c r="K13" s="3"/>
      <c r="L13" s="55"/>
      <c r="M13" s="55"/>
      <c r="N13" s="3"/>
      <c r="O13" s="74"/>
      <c r="P13" s="388"/>
      <c r="Q13" s="388"/>
      <c r="R13" s="388"/>
      <c r="S13" s="388"/>
      <c r="T13" s="388"/>
      <c r="U13" s="388"/>
      <c r="V13" s="388"/>
      <c r="W13" s="388"/>
      <c r="X13" s="388"/>
      <c r="Y13" s="388"/>
      <c r="Z13" s="388"/>
    </row>
    <row r="14" spans="1:26" ht="18" x14ac:dyDescent="0.25">
      <c r="A14" s="425"/>
      <c r="B14" s="20"/>
      <c r="C14" s="80" t="s">
        <v>217</v>
      </c>
      <c r="D14" s="21"/>
      <c r="E14" s="81">
        <v>8</v>
      </c>
      <c r="F14" s="81" t="s">
        <v>218</v>
      </c>
      <c r="G14" s="81"/>
      <c r="H14" s="81"/>
      <c r="I14" s="82">
        <f ca="1">K38</f>
        <v>50.100000000000009</v>
      </c>
      <c r="J14" s="24" t="s">
        <v>204</v>
      </c>
      <c r="K14" s="83"/>
      <c r="L14" s="84"/>
      <c r="M14" s="84"/>
      <c r="N14" s="21"/>
      <c r="O14" s="85"/>
      <c r="P14" s="388"/>
      <c r="Q14" s="388"/>
      <c r="R14" s="388"/>
      <c r="S14" s="388"/>
      <c r="T14" s="388"/>
      <c r="U14" s="388"/>
      <c r="V14" s="388"/>
      <c r="W14" s="388"/>
      <c r="X14" s="388"/>
      <c r="Y14" s="388"/>
      <c r="Z14" s="388"/>
    </row>
    <row r="15" spans="1:26" ht="18" x14ac:dyDescent="0.25">
      <c r="A15" s="425"/>
      <c r="B15" s="388"/>
      <c r="C15" s="389"/>
      <c r="D15" s="389"/>
      <c r="E15" s="388"/>
      <c r="F15" s="388"/>
      <c r="G15" s="388"/>
      <c r="H15" s="388"/>
      <c r="I15" s="388"/>
      <c r="J15" s="389"/>
      <c r="K15" s="389"/>
      <c r="L15" s="389"/>
      <c r="M15" s="389"/>
      <c r="N15" s="426"/>
      <c r="O15" s="427"/>
      <c r="P15" s="388"/>
      <c r="Q15" s="388"/>
      <c r="R15" s="388"/>
      <c r="S15" s="388"/>
      <c r="T15" s="388"/>
      <c r="U15" s="388"/>
      <c r="V15" s="388"/>
      <c r="W15" s="388"/>
      <c r="X15" s="388"/>
      <c r="Y15" s="388"/>
      <c r="Z15" s="388"/>
    </row>
    <row r="16" spans="1:26" ht="18" x14ac:dyDescent="0.25">
      <c r="A16" s="425"/>
      <c r="B16" s="425" t="s">
        <v>219</v>
      </c>
      <c r="C16" s="389"/>
      <c r="D16" s="389"/>
      <c r="E16" s="388"/>
      <c r="F16" s="388"/>
      <c r="G16" s="388"/>
      <c r="H16" s="388"/>
      <c r="I16" s="388"/>
      <c r="J16" s="389"/>
      <c r="K16" s="389"/>
      <c r="L16" s="389"/>
      <c r="M16" s="389"/>
      <c r="N16" s="426"/>
      <c r="O16" s="427"/>
      <c r="P16" s="388"/>
      <c r="Q16" s="388"/>
      <c r="R16" s="388"/>
      <c r="S16" s="388"/>
      <c r="T16" s="388"/>
      <c r="U16" s="388"/>
      <c r="V16" s="388"/>
      <c r="W16" s="388"/>
      <c r="X16" s="388"/>
      <c r="Y16" s="388"/>
      <c r="Z16" s="388"/>
    </row>
    <row r="17" spans="1:26" x14ac:dyDescent="0.25">
      <c r="A17" s="388"/>
      <c r="B17" s="388"/>
      <c r="C17" s="389"/>
      <c r="D17" s="389"/>
      <c r="E17" s="388"/>
      <c r="F17" s="388"/>
      <c r="G17" s="388"/>
      <c r="H17" s="388"/>
      <c r="I17" s="388"/>
      <c r="J17" s="389"/>
      <c r="K17" s="389"/>
      <c r="L17" s="389"/>
      <c r="M17" s="389"/>
      <c r="N17" s="426"/>
      <c r="O17" s="427"/>
      <c r="P17" s="388"/>
      <c r="Q17" s="388"/>
      <c r="R17" s="388"/>
      <c r="S17" s="388"/>
      <c r="T17" s="388"/>
      <c r="U17" s="388"/>
      <c r="V17" s="388"/>
      <c r="W17" s="388"/>
      <c r="X17" s="388"/>
      <c r="Y17" s="388"/>
      <c r="Z17" s="388"/>
    </row>
    <row r="18" spans="1:26" x14ac:dyDescent="0.25">
      <c r="A18" s="428"/>
      <c r="B18" s="86" t="s">
        <v>220</v>
      </c>
      <c r="C18" s="87"/>
      <c r="D18" s="9" t="s">
        <v>221</v>
      </c>
      <c r="E18" s="88" t="s">
        <v>137</v>
      </c>
      <c r="F18" s="475" t="s">
        <v>222</v>
      </c>
      <c r="G18" s="475"/>
      <c r="H18" s="475"/>
      <c r="I18" s="475"/>
      <c r="J18" s="87"/>
      <c r="K18" s="88" t="s">
        <v>1</v>
      </c>
      <c r="L18" s="88" t="s">
        <v>138</v>
      </c>
      <c r="M18" s="89" t="s">
        <v>219</v>
      </c>
      <c r="N18" s="88" t="s">
        <v>139</v>
      </c>
      <c r="O18" s="90"/>
      <c r="P18" s="428"/>
      <c r="Q18" s="388"/>
      <c r="R18" s="388"/>
      <c r="S18" s="388"/>
      <c r="T18" s="388"/>
      <c r="U18" s="388"/>
      <c r="V18" s="388"/>
      <c r="W18" s="388"/>
      <c r="X18" s="388"/>
      <c r="Y18" s="388"/>
      <c r="Z18" s="388"/>
    </row>
    <row r="19" spans="1:26" x14ac:dyDescent="0.25">
      <c r="A19" s="428"/>
      <c r="B19" s="91"/>
      <c r="C19" s="92"/>
      <c r="D19" s="92"/>
      <c r="E19" s="93"/>
      <c r="F19" s="94" t="s">
        <v>197</v>
      </c>
      <c r="G19" s="94" t="s">
        <v>223</v>
      </c>
      <c r="H19" s="95" t="s">
        <v>224</v>
      </c>
      <c r="I19" s="95" t="s">
        <v>225</v>
      </c>
      <c r="J19" s="92"/>
      <c r="K19" s="92"/>
      <c r="L19" s="92"/>
      <c r="M19" s="92"/>
      <c r="N19" s="96"/>
      <c r="O19" s="85"/>
      <c r="P19" s="428"/>
      <c r="Q19" s="388"/>
      <c r="R19" s="388"/>
      <c r="S19" s="388"/>
      <c r="T19" s="388"/>
      <c r="U19" s="388"/>
      <c r="V19" s="388"/>
      <c r="W19" s="388"/>
      <c r="X19" s="388"/>
      <c r="Y19" s="388"/>
      <c r="Z19" s="388"/>
    </row>
    <row r="20" spans="1:26" x14ac:dyDescent="0.25">
      <c r="A20" s="428"/>
      <c r="B20" s="97"/>
      <c r="C20" s="87"/>
      <c r="D20" s="87"/>
      <c r="E20" s="98"/>
      <c r="F20" s="98"/>
      <c r="G20" s="98"/>
      <c r="H20" s="98"/>
      <c r="I20" s="98"/>
      <c r="J20" s="87"/>
      <c r="K20" s="87"/>
      <c r="L20" s="99"/>
      <c r="M20" s="100"/>
      <c r="N20" s="98"/>
      <c r="O20" s="73"/>
      <c r="P20" s="428"/>
      <c r="Q20" s="388"/>
      <c r="R20" s="388"/>
      <c r="S20" s="388"/>
      <c r="T20" s="388"/>
      <c r="U20" s="388"/>
      <c r="V20" s="388"/>
      <c r="W20" s="388"/>
      <c r="X20" s="388"/>
      <c r="Y20" s="388"/>
      <c r="Z20" s="388"/>
    </row>
    <row r="21" spans="1:26" x14ac:dyDescent="0.25">
      <c r="A21" s="407" t="s">
        <v>226</v>
      </c>
      <c r="B21" s="101" t="s">
        <v>227</v>
      </c>
      <c r="C21" s="102"/>
      <c r="D21" s="18" t="s">
        <v>228</v>
      </c>
      <c r="E21" s="16" t="s">
        <v>229</v>
      </c>
      <c r="F21" s="103"/>
      <c r="G21" s="102">
        <f ca="1">VLOOKUP(Age_slaughter,Abattoir!C52:D56,2)</f>
        <v>40</v>
      </c>
      <c r="H21" s="103"/>
      <c r="I21" s="102">
        <f ca="1">VLOOKUP(Age_slaughter,C52:E56,3)</f>
        <v>56</v>
      </c>
      <c r="J21" s="102"/>
      <c r="K21" s="147">
        <f ca="1">IF(Age_slaughter&gt;24,_xll.RiskUniform((G21),(I21),_xll.RiskCorrmat(ColonIntestcorr,1),_xll.RiskCollect()),_xll.RiskUniform(G21,I21,_xll.RiskCollect()))</f>
        <v>48</v>
      </c>
      <c r="L21" s="105" t="s">
        <v>230</v>
      </c>
      <c r="M21" s="106" t="s">
        <v>229</v>
      </c>
      <c r="N21" s="107" t="s">
        <v>231</v>
      </c>
      <c r="O21" s="74"/>
      <c r="P21" s="428"/>
      <c r="Q21" s="388"/>
      <c r="R21" s="388"/>
      <c r="S21" s="388"/>
      <c r="T21" s="388"/>
      <c r="U21" s="388"/>
      <c r="V21" s="388"/>
      <c r="W21" s="388"/>
      <c r="X21" s="388"/>
      <c r="Y21" s="388"/>
      <c r="Z21" s="388"/>
    </row>
    <row r="22" spans="1:26" x14ac:dyDescent="0.25">
      <c r="A22" s="428"/>
      <c r="B22" s="101" t="s">
        <v>232</v>
      </c>
      <c r="C22" s="102"/>
      <c r="D22" s="102">
        <v>1</v>
      </c>
      <c r="E22" s="16" t="s">
        <v>233</v>
      </c>
      <c r="F22" s="18">
        <f ca="1">VLOOKUP(Age_slaughter,C52:F56,4)</f>
        <v>1</v>
      </c>
      <c r="G22" s="108"/>
      <c r="H22" s="108"/>
      <c r="I22" s="109"/>
      <c r="J22" s="110"/>
      <c r="K22" s="111">
        <f ca="1">F22</f>
        <v>1</v>
      </c>
      <c r="L22" s="105" t="s">
        <v>230</v>
      </c>
      <c r="M22" s="106" t="s">
        <v>233</v>
      </c>
      <c r="N22" s="112" t="s">
        <v>234</v>
      </c>
      <c r="O22" s="74"/>
      <c r="P22" s="428"/>
      <c r="Q22" s="388"/>
      <c r="R22" s="388"/>
      <c r="S22" s="388"/>
      <c r="T22" s="388"/>
      <c r="U22" s="388"/>
      <c r="V22" s="388"/>
      <c r="W22" s="388"/>
      <c r="X22" s="388"/>
      <c r="Y22" s="388"/>
      <c r="Z22" s="388"/>
    </row>
    <row r="23" spans="1:26" x14ac:dyDescent="0.25">
      <c r="A23" s="428"/>
      <c r="B23" s="101" t="s">
        <v>235</v>
      </c>
      <c r="C23" s="102"/>
      <c r="D23" s="18">
        <v>2</v>
      </c>
      <c r="E23" s="16" t="s">
        <v>236</v>
      </c>
      <c r="F23" s="18">
        <f ca="1">VLOOKUP(Age_slaughter,C52:G56,5)</f>
        <v>1.2</v>
      </c>
      <c r="G23" s="108"/>
      <c r="H23" s="108"/>
      <c r="I23" s="109"/>
      <c r="J23" s="113"/>
      <c r="K23" s="111">
        <f ca="1">F23</f>
        <v>1.2</v>
      </c>
      <c r="L23" s="105" t="s">
        <v>230</v>
      </c>
      <c r="M23" s="106" t="s">
        <v>236</v>
      </c>
      <c r="N23" s="112" t="s">
        <v>237</v>
      </c>
      <c r="O23" s="74"/>
      <c r="P23" s="428"/>
      <c r="Q23" s="388"/>
      <c r="R23" s="388"/>
      <c r="S23" s="388"/>
      <c r="T23" s="388"/>
      <c r="U23" s="388"/>
      <c r="V23" s="388"/>
      <c r="W23" s="388"/>
      <c r="X23" s="388"/>
      <c r="Y23" s="388"/>
      <c r="Z23" s="388"/>
    </row>
    <row r="24" spans="1:26" x14ac:dyDescent="0.25">
      <c r="A24" s="428"/>
      <c r="B24" s="101" t="s">
        <v>238</v>
      </c>
      <c r="C24" s="102"/>
      <c r="D24" s="18">
        <v>3</v>
      </c>
      <c r="E24" s="16" t="s">
        <v>239</v>
      </c>
      <c r="F24" s="108"/>
      <c r="G24" s="108"/>
      <c r="H24" s="108"/>
      <c r="I24" s="109"/>
      <c r="J24" s="113"/>
      <c r="K24" s="111">
        <f ca="1">K21-K22-K23</f>
        <v>45.8</v>
      </c>
      <c r="L24" s="105" t="s">
        <v>230</v>
      </c>
      <c r="M24" s="106" t="s">
        <v>240</v>
      </c>
      <c r="N24" s="112" t="s">
        <v>241</v>
      </c>
      <c r="O24" s="74"/>
      <c r="P24" s="428"/>
      <c r="Q24" s="388"/>
      <c r="R24" s="388"/>
      <c r="S24" s="388"/>
      <c r="T24" s="388"/>
      <c r="U24" s="388"/>
      <c r="V24" s="388"/>
      <c r="W24" s="388"/>
      <c r="X24" s="388"/>
      <c r="Y24" s="388"/>
      <c r="Z24" s="388"/>
    </row>
    <row r="25" spans="1:26" x14ac:dyDescent="0.25">
      <c r="A25" s="428"/>
      <c r="B25" s="114" t="s">
        <v>242</v>
      </c>
      <c r="C25" s="102"/>
      <c r="D25" s="33" t="s">
        <v>15</v>
      </c>
      <c r="E25" s="115" t="s">
        <v>243</v>
      </c>
      <c r="F25" s="108"/>
      <c r="G25" s="108"/>
      <c r="H25" s="108"/>
      <c r="I25" s="109"/>
      <c r="J25" s="113"/>
      <c r="K25" s="111">
        <f ca="1">K23/(K23+K24)</f>
        <v>2.553191489361702E-2</v>
      </c>
      <c r="L25" s="105" t="s">
        <v>244</v>
      </c>
      <c r="M25" s="16" t="s">
        <v>245</v>
      </c>
      <c r="N25" s="112" t="s">
        <v>241</v>
      </c>
      <c r="O25" s="74"/>
      <c r="P25" s="428"/>
      <c r="Q25" s="388"/>
      <c r="R25" s="388"/>
      <c r="S25" s="388"/>
      <c r="T25" s="388"/>
      <c r="U25" s="388"/>
      <c r="V25" s="388"/>
      <c r="W25" s="388"/>
      <c r="X25" s="388"/>
      <c r="Y25" s="388"/>
      <c r="Z25" s="388"/>
    </row>
    <row r="26" spans="1:26" x14ac:dyDescent="0.25">
      <c r="A26" s="428"/>
      <c r="B26" s="116" t="s">
        <v>246</v>
      </c>
      <c r="C26" s="102"/>
      <c r="D26" s="33" t="s">
        <v>11</v>
      </c>
      <c r="E26" s="115" t="s">
        <v>247</v>
      </c>
      <c r="F26" s="108"/>
      <c r="G26" s="18">
        <f ca="1">VLOOKUP(Age_slaughter,C52:H56,6)</f>
        <v>0.35</v>
      </c>
      <c r="H26" s="108"/>
      <c r="I26" s="102">
        <f ca="1">VLOOKUP(Age_slaughter,C52:I56,7)</f>
        <v>2.56</v>
      </c>
      <c r="J26" s="117"/>
      <c r="K26" s="104">
        <f ca="1">_xll.RiskUniform(G26,I26,_xll.RiskCollect(),_xll.RiskCorrmat(Ileocorr,1))</f>
        <v>1.4550000000000001</v>
      </c>
      <c r="L26" s="118" t="s">
        <v>230</v>
      </c>
      <c r="M26" s="119" t="s">
        <v>247</v>
      </c>
      <c r="N26" s="112" t="s">
        <v>231</v>
      </c>
      <c r="O26" s="78" t="s">
        <v>248</v>
      </c>
      <c r="P26" s="428"/>
      <c r="Q26" s="388"/>
      <c r="R26" s="388"/>
      <c r="S26" s="388"/>
      <c r="T26" s="388"/>
      <c r="U26" s="388"/>
      <c r="V26" s="388"/>
      <c r="W26" s="388"/>
      <c r="X26" s="388"/>
      <c r="Y26" s="388"/>
      <c r="Z26" s="388"/>
    </row>
    <row r="27" spans="1:26" x14ac:dyDescent="0.25">
      <c r="A27" s="428"/>
      <c r="B27" s="114" t="s">
        <v>249</v>
      </c>
      <c r="C27" s="102"/>
      <c r="D27" s="33" t="s">
        <v>12</v>
      </c>
      <c r="E27" s="115" t="s">
        <v>250</v>
      </c>
      <c r="F27" s="103"/>
      <c r="G27" s="103"/>
      <c r="H27" s="103"/>
      <c r="I27" s="103"/>
      <c r="J27" s="102"/>
      <c r="K27" s="104">
        <f ca="1">IF(Age_slaughter=6,(F52/K26),(F52/_xll.RiskUniform(H52,I52,_xll.RiskCollect())))</f>
        <v>0.16420361247947454</v>
      </c>
      <c r="L27" s="118" t="s">
        <v>244</v>
      </c>
      <c r="M27" s="115" t="s">
        <v>251</v>
      </c>
      <c r="N27" s="112" t="s">
        <v>241</v>
      </c>
      <c r="O27" s="78"/>
      <c r="P27" s="428"/>
      <c r="Q27" s="388"/>
      <c r="R27" s="388"/>
      <c r="S27" s="388"/>
      <c r="T27" s="388"/>
      <c r="U27" s="388"/>
      <c r="V27" s="388"/>
      <c r="W27" s="388"/>
      <c r="X27" s="388"/>
      <c r="Y27" s="388"/>
      <c r="Z27" s="388"/>
    </row>
    <row r="28" spans="1:26" x14ac:dyDescent="0.25">
      <c r="A28" s="428"/>
      <c r="B28" s="120" t="s">
        <v>252</v>
      </c>
      <c r="C28" s="121"/>
      <c r="D28" s="102">
        <v>4</v>
      </c>
      <c r="E28" s="16" t="s">
        <v>253</v>
      </c>
      <c r="F28" s="121">
        <f ca="1">VLOOKUP(Age_slaughter,C52:J56,8)</f>
        <v>0.75</v>
      </c>
      <c r="G28" s="103"/>
      <c r="H28" s="103"/>
      <c r="I28" s="103"/>
      <c r="J28" s="102"/>
      <c r="K28" s="104">
        <f ca="1">F28</f>
        <v>0.75</v>
      </c>
      <c r="L28" s="112" t="s">
        <v>230</v>
      </c>
      <c r="M28" s="115" t="s">
        <v>253</v>
      </c>
      <c r="N28" s="31" t="s">
        <v>254</v>
      </c>
      <c r="O28" s="78"/>
      <c r="P28" s="428"/>
      <c r="Q28" s="388"/>
      <c r="R28" s="388"/>
      <c r="S28" s="388"/>
      <c r="T28" s="388"/>
      <c r="U28" s="388"/>
      <c r="V28" s="388"/>
      <c r="W28" s="388"/>
      <c r="X28" s="388"/>
      <c r="Y28" s="388"/>
      <c r="Z28" s="388"/>
    </row>
    <row r="29" spans="1:26" x14ac:dyDescent="0.25">
      <c r="A29" s="428"/>
      <c r="B29" s="122" t="s">
        <v>255</v>
      </c>
      <c r="C29" s="92"/>
      <c r="D29" s="123">
        <v>5</v>
      </c>
      <c r="E29" s="22" t="s">
        <v>256</v>
      </c>
      <c r="F29" s="124">
        <f ca="1">VLOOKUP(Age_slaughter,C52:K55,9)</f>
        <v>9</v>
      </c>
      <c r="G29" s="125"/>
      <c r="H29" s="125"/>
      <c r="I29" s="126"/>
      <c r="J29" s="124"/>
      <c r="K29" s="147">
        <f ca="1">IF(Age_slaughter&lt;25,F29,_xll.RiskUniform(K56,L56,_xll.RiskCorrmat(ColonIntestcorr,2),_xll.RiskCollect()))</f>
        <v>11</v>
      </c>
      <c r="L29" s="128" t="s">
        <v>230</v>
      </c>
      <c r="M29" s="129" t="s">
        <v>256</v>
      </c>
      <c r="N29" s="130" t="s">
        <v>254</v>
      </c>
      <c r="O29" s="131" t="s">
        <v>257</v>
      </c>
      <c r="P29" s="428"/>
      <c r="Q29" s="388"/>
      <c r="R29" s="388"/>
      <c r="S29" s="388"/>
      <c r="T29" s="388"/>
      <c r="U29" s="388"/>
      <c r="V29" s="388"/>
      <c r="W29" s="388"/>
      <c r="X29" s="388"/>
      <c r="Y29" s="388"/>
      <c r="Z29" s="388"/>
    </row>
    <row r="30" spans="1:26" x14ac:dyDescent="0.25">
      <c r="A30" s="407" t="s">
        <v>258</v>
      </c>
      <c r="B30" s="86" t="s">
        <v>259</v>
      </c>
      <c r="C30" s="87"/>
      <c r="D30" s="50" t="s">
        <v>11</v>
      </c>
      <c r="E30" s="132" t="s">
        <v>260</v>
      </c>
      <c r="F30" s="133"/>
      <c r="G30" s="134">
        <f ca="1">VLOOKUP(Age_slaughter,C68:E74,3,TRUE)</f>
        <v>30.199999999999989</v>
      </c>
      <c r="H30" s="134">
        <f ca="1">VLOOKUP(Age_slaughter,C68:F74,4,TRUE)</f>
        <v>189.375</v>
      </c>
      <c r="I30" s="134">
        <f ca="1">VLOOKUP(Age_slaughter,C68:G74,5,TRUE)</f>
        <v>472.29999999999995</v>
      </c>
      <c r="J30" s="87"/>
      <c r="K30" s="134">
        <f ca="1">_xll.RiskPert(G30,H30,I30,_xll.RiskCollect(),_xll.RiskCorrmat(Ileocorr,2))</f>
        <v>210.00000000000003</v>
      </c>
      <c r="L30" s="135" t="s">
        <v>204</v>
      </c>
      <c r="M30" s="136" t="s">
        <v>260</v>
      </c>
      <c r="N30" s="135" t="s">
        <v>261</v>
      </c>
      <c r="O30" s="137" t="s">
        <v>262</v>
      </c>
      <c r="P30" s="428"/>
      <c r="Q30" s="388"/>
      <c r="R30" s="388"/>
      <c r="S30" s="388"/>
      <c r="T30" s="388"/>
      <c r="U30" s="388"/>
      <c r="V30" s="388"/>
      <c r="W30" s="388"/>
      <c r="X30" s="388"/>
      <c r="Y30" s="388"/>
      <c r="Z30" s="388"/>
    </row>
    <row r="31" spans="1:26" x14ac:dyDescent="0.25">
      <c r="A31" s="428"/>
      <c r="B31" s="101" t="s">
        <v>263</v>
      </c>
      <c r="C31" s="102"/>
      <c r="D31" s="18" t="s">
        <v>12</v>
      </c>
      <c r="E31" s="16" t="s">
        <v>264</v>
      </c>
      <c r="F31" s="103"/>
      <c r="G31" s="103"/>
      <c r="H31" s="103"/>
      <c r="I31" s="103"/>
      <c r="J31" s="102"/>
      <c r="K31" s="104">
        <f ca="1">K27*K30</f>
        <v>34.482758620689658</v>
      </c>
      <c r="L31" s="112" t="s">
        <v>204</v>
      </c>
      <c r="M31" s="115" t="s">
        <v>265</v>
      </c>
      <c r="N31" s="112" t="s">
        <v>241</v>
      </c>
      <c r="O31" s="78"/>
      <c r="P31" s="428"/>
      <c r="Q31" s="388"/>
      <c r="R31" s="388"/>
      <c r="S31" s="388"/>
      <c r="T31" s="388"/>
      <c r="U31" s="388"/>
      <c r="V31" s="388"/>
      <c r="W31" s="388"/>
      <c r="X31" s="388"/>
      <c r="Y31" s="388"/>
      <c r="Z31" s="388"/>
    </row>
    <row r="32" spans="1:26" x14ac:dyDescent="0.25">
      <c r="A32" s="428"/>
      <c r="B32" s="101" t="s">
        <v>266</v>
      </c>
      <c r="C32" s="102"/>
      <c r="D32" s="18" t="s">
        <v>13</v>
      </c>
      <c r="E32" s="16" t="s">
        <v>267</v>
      </c>
      <c r="F32" s="103"/>
      <c r="G32" s="103"/>
      <c r="H32" s="103"/>
      <c r="I32" s="103"/>
      <c r="J32" s="102"/>
      <c r="K32" s="104">
        <f ca="1">K30-K31</f>
        <v>175.51724137931038</v>
      </c>
      <c r="L32" s="112" t="s">
        <v>204</v>
      </c>
      <c r="M32" s="115" t="s">
        <v>268</v>
      </c>
      <c r="N32" s="112" t="s">
        <v>241</v>
      </c>
      <c r="O32" s="78"/>
      <c r="P32" s="428"/>
      <c r="Q32" s="388"/>
      <c r="R32" s="388"/>
      <c r="S32" s="388"/>
      <c r="T32" s="388"/>
      <c r="U32" s="388"/>
      <c r="V32" s="388"/>
      <c r="W32" s="388"/>
      <c r="X32" s="388"/>
      <c r="Y32" s="388"/>
      <c r="Z32" s="388"/>
    </row>
    <row r="33" spans="1:26" x14ac:dyDescent="0.25">
      <c r="A33" s="428"/>
      <c r="B33" s="101" t="s">
        <v>269</v>
      </c>
      <c r="C33" s="102"/>
      <c r="D33" s="18" t="s">
        <v>14</v>
      </c>
      <c r="E33" s="16" t="s">
        <v>270</v>
      </c>
      <c r="F33" s="103"/>
      <c r="G33" s="104">
        <f ca="1">VLOOKUP(Age_slaughter,C68:I74,7)</f>
        <v>155</v>
      </c>
      <c r="H33" s="121">
        <f ca="1">VLOOKUP(Age_slaughter,C68:J74,8)</f>
        <v>184.25</v>
      </c>
      <c r="I33" s="104">
        <f ca="1">VLOOKUP(Age_slaughter,C68:K74,9)</f>
        <v>242</v>
      </c>
      <c r="J33" s="102"/>
      <c r="K33" s="104">
        <f ca="1">_xll.RiskPert(G33,H33,I33,_xll.RiskCollect(),_xll.RiskCorrmat(Ileocorr,3))</f>
        <v>189</v>
      </c>
      <c r="L33" s="112" t="s">
        <v>204</v>
      </c>
      <c r="M33" s="115" t="s">
        <v>270</v>
      </c>
      <c r="N33" s="112" t="s">
        <v>261</v>
      </c>
      <c r="O33" s="138" t="s">
        <v>271</v>
      </c>
      <c r="P33" s="428"/>
      <c r="Q33" s="388"/>
      <c r="R33" s="388"/>
      <c r="S33" s="388"/>
      <c r="T33" s="388"/>
      <c r="U33" s="388"/>
      <c r="V33" s="388"/>
      <c r="W33" s="388"/>
      <c r="X33" s="388"/>
      <c r="Y33" s="388"/>
      <c r="Z33" s="388"/>
    </row>
    <row r="34" spans="1:26" x14ac:dyDescent="0.25">
      <c r="A34" s="428"/>
      <c r="B34" s="101" t="s">
        <v>272</v>
      </c>
      <c r="C34" s="102"/>
      <c r="D34" s="18" t="s">
        <v>15</v>
      </c>
      <c r="E34" s="16" t="s">
        <v>273</v>
      </c>
      <c r="F34" s="103"/>
      <c r="G34" s="109"/>
      <c r="H34" s="139"/>
      <c r="I34" s="109"/>
      <c r="J34" s="102"/>
      <c r="K34" s="111">
        <f ca="1">K33*K25</f>
        <v>4.8255319148936167</v>
      </c>
      <c r="L34" s="107" t="s">
        <v>204</v>
      </c>
      <c r="M34" s="16" t="s">
        <v>274</v>
      </c>
      <c r="N34" s="112" t="s">
        <v>241</v>
      </c>
      <c r="O34" s="138"/>
      <c r="P34" s="388"/>
      <c r="Q34" s="388"/>
      <c r="R34" s="388"/>
      <c r="S34" s="388"/>
      <c r="T34" s="388"/>
      <c r="U34" s="388"/>
      <c r="V34" s="388"/>
      <c r="W34" s="388"/>
      <c r="X34" s="388"/>
      <c r="Y34" s="388"/>
      <c r="Z34" s="388"/>
    </row>
    <row r="35" spans="1:26" x14ac:dyDescent="0.25">
      <c r="A35" s="428"/>
      <c r="B35" s="101" t="s">
        <v>275</v>
      </c>
      <c r="C35" s="102"/>
      <c r="D35" s="18" t="s">
        <v>16</v>
      </c>
      <c r="E35" s="16" t="s">
        <v>276</v>
      </c>
      <c r="F35" s="103"/>
      <c r="G35" s="103"/>
      <c r="H35" s="103"/>
      <c r="I35" s="103"/>
      <c r="J35" s="102"/>
      <c r="K35" s="111">
        <f ca="1">K33-K34</f>
        <v>184.17446808510638</v>
      </c>
      <c r="L35" s="107" t="s">
        <v>204</v>
      </c>
      <c r="M35" s="16" t="s">
        <v>277</v>
      </c>
      <c r="N35" s="112" t="s">
        <v>241</v>
      </c>
      <c r="O35" s="74"/>
      <c r="P35" s="388"/>
      <c r="Q35" s="388"/>
      <c r="R35" s="388"/>
      <c r="S35" s="388"/>
      <c r="T35" s="388"/>
      <c r="U35" s="388"/>
      <c r="V35" s="388"/>
      <c r="W35" s="388"/>
      <c r="X35" s="388"/>
      <c r="Y35" s="388"/>
      <c r="Z35" s="388"/>
    </row>
    <row r="36" spans="1:26" x14ac:dyDescent="0.25">
      <c r="A36" s="428"/>
      <c r="B36" s="101" t="s">
        <v>278</v>
      </c>
      <c r="C36" s="102"/>
      <c r="D36" s="102">
        <v>6</v>
      </c>
      <c r="E36" s="16" t="s">
        <v>279</v>
      </c>
      <c r="F36" s="103"/>
      <c r="G36" s="104">
        <f ca="1">VLOOKUP(Age_slaughter,C86:E87,3)</f>
        <v>69.8</v>
      </c>
      <c r="H36" s="121">
        <f ca="1">VLOOKUP(Age_slaughter,C86:F87,4)</f>
        <v>163.92</v>
      </c>
      <c r="I36" s="121">
        <f ca="1">VLOOKUP(Age_slaughter,C86:G87,5)</f>
        <v>283</v>
      </c>
      <c r="J36" s="102"/>
      <c r="K36" s="111">
        <f ca="1">_xll.RiskPert(G36,H36,I36,_xll.RiskCollect())</f>
        <v>168.07999999999998</v>
      </c>
      <c r="L36" s="107" t="s">
        <v>204</v>
      </c>
      <c r="M36" s="16" t="s">
        <v>279</v>
      </c>
      <c r="N36" s="107" t="s">
        <v>280</v>
      </c>
      <c r="O36" s="74"/>
      <c r="P36" s="388"/>
      <c r="Q36" s="388"/>
      <c r="R36" s="388"/>
      <c r="S36" s="388"/>
      <c r="T36" s="388"/>
      <c r="U36" s="388"/>
      <c r="V36" s="388"/>
      <c r="W36" s="388"/>
      <c r="X36" s="388"/>
      <c r="Y36" s="388"/>
      <c r="Z36" s="388"/>
    </row>
    <row r="37" spans="1:26" x14ac:dyDescent="0.25">
      <c r="A37" s="428"/>
      <c r="B37" s="140" t="s">
        <v>281</v>
      </c>
      <c r="C37" s="102"/>
      <c r="D37" s="102">
        <v>7</v>
      </c>
      <c r="E37" s="16" t="s">
        <v>282</v>
      </c>
      <c r="F37" s="103"/>
      <c r="G37" s="111">
        <f ca="1">VLOOKUP(Age_slaughter,C88:I92,7)</f>
        <v>100</v>
      </c>
      <c r="H37" s="111">
        <f ca="1">VLOOKUP(Age_slaughter,C88:J92,8)</f>
        <v>150</v>
      </c>
      <c r="I37" s="111">
        <f ca="1">VLOOKUP(Age_slaughter,C88:K92,9)</f>
        <v>500</v>
      </c>
      <c r="J37" s="102"/>
      <c r="K37" s="104">
        <f ca="1">_xll.RiskPert(G37,H37,I37,_xll.RiskCollect(),_xll.RiskCorrmat(Mesentericwts,1))</f>
        <v>200</v>
      </c>
      <c r="L37" s="112" t="s">
        <v>204</v>
      </c>
      <c r="M37" s="115" t="s">
        <v>282</v>
      </c>
      <c r="N37" s="31" t="s">
        <v>283</v>
      </c>
      <c r="O37" s="78" t="s">
        <v>284</v>
      </c>
      <c r="P37" s="388"/>
      <c r="Q37" s="388"/>
      <c r="R37" s="388"/>
      <c r="S37" s="388"/>
      <c r="T37" s="388"/>
      <c r="U37" s="388"/>
      <c r="V37" s="388"/>
      <c r="W37" s="388"/>
      <c r="X37" s="388"/>
      <c r="Y37" s="388"/>
      <c r="Z37" s="388"/>
    </row>
    <row r="38" spans="1:26" x14ac:dyDescent="0.25">
      <c r="A38" s="428"/>
      <c r="B38" s="141" t="s">
        <v>285</v>
      </c>
      <c r="C38" s="142"/>
      <c r="D38" s="142">
        <v>8</v>
      </c>
      <c r="E38" s="129" t="s">
        <v>286</v>
      </c>
      <c r="F38" s="125"/>
      <c r="G38" s="127">
        <f ca="1">VLOOKUP(Age_slaughter,C88:M92,11)</f>
        <v>25</v>
      </c>
      <c r="H38" s="124">
        <f ca="1">VLOOKUP(Age_slaughter,C88:N92,12)</f>
        <v>43.9</v>
      </c>
      <c r="I38" s="143">
        <f ca="1">VLOOKUP(Age_slaughter,C88:O92,13)</f>
        <v>100</v>
      </c>
      <c r="J38" s="144"/>
      <c r="K38" s="143">
        <f ca="1">_xll.RiskPert(G38,H38,I38,_xll.RiskCollect(),_xll.RiskCorrmat(Mesentericwts,2))</f>
        <v>50.100000000000009</v>
      </c>
      <c r="L38" s="128" t="s">
        <v>204</v>
      </c>
      <c r="M38" s="129" t="s">
        <v>286</v>
      </c>
      <c r="N38" s="128" t="s">
        <v>287</v>
      </c>
      <c r="O38" s="145" t="s">
        <v>288</v>
      </c>
      <c r="P38" s="388"/>
      <c r="Q38" s="388"/>
      <c r="R38" s="388"/>
      <c r="S38" s="388"/>
      <c r="T38" s="388"/>
      <c r="U38" s="388"/>
      <c r="V38" s="388"/>
      <c r="W38" s="388"/>
      <c r="X38" s="388"/>
      <c r="Y38" s="388"/>
      <c r="Z38" s="388"/>
    </row>
    <row r="39" spans="1:26" x14ac:dyDescent="0.25">
      <c r="A39" s="428" t="s">
        <v>289</v>
      </c>
      <c r="B39" s="86" t="s">
        <v>290</v>
      </c>
      <c r="C39" s="87"/>
      <c r="D39" s="87" t="s">
        <v>12</v>
      </c>
      <c r="E39" s="132" t="s">
        <v>291</v>
      </c>
      <c r="F39" s="133"/>
      <c r="G39" s="133"/>
      <c r="H39" s="133"/>
      <c r="I39" s="133"/>
      <c r="J39" s="87"/>
      <c r="K39" s="146">
        <f ca="1">K26*K27</f>
        <v>0.23891625615763548</v>
      </c>
      <c r="L39" s="99" t="s">
        <v>230</v>
      </c>
      <c r="M39" s="100" t="s">
        <v>292</v>
      </c>
      <c r="N39" s="135" t="s">
        <v>241</v>
      </c>
      <c r="O39" s="73"/>
      <c r="P39" s="430"/>
      <c r="Q39" s="395"/>
      <c r="R39" s="407"/>
      <c r="S39" s="388"/>
      <c r="T39" s="388"/>
      <c r="U39" s="388"/>
      <c r="V39" s="388"/>
      <c r="W39" s="388"/>
      <c r="X39" s="388"/>
      <c r="Y39" s="388"/>
      <c r="Z39" s="388"/>
    </row>
    <row r="40" spans="1:26" x14ac:dyDescent="0.25">
      <c r="A40" s="428"/>
      <c r="B40" s="101" t="s">
        <v>293</v>
      </c>
      <c r="C40" s="102"/>
      <c r="D40" s="18" t="s">
        <v>17</v>
      </c>
      <c r="E40" s="16" t="s">
        <v>294</v>
      </c>
      <c r="F40" s="108"/>
      <c r="G40" s="108"/>
      <c r="H40" s="108"/>
      <c r="I40" s="109"/>
      <c r="J40" s="102"/>
      <c r="K40" s="111">
        <f ca="1">_xll.RiskUniform($G$112,$H$112,_xll.RiskCollect())</f>
        <v>7.0000000000000001E-3</v>
      </c>
      <c r="L40" s="112" t="s">
        <v>295</v>
      </c>
      <c r="M40" s="16" t="s">
        <v>294</v>
      </c>
      <c r="N40" s="112" t="s">
        <v>231</v>
      </c>
      <c r="O40" s="74"/>
      <c r="P40" s="431"/>
      <c r="Q40" s="431"/>
      <c r="R40" s="388"/>
      <c r="S40" s="388"/>
      <c r="T40" s="388"/>
      <c r="U40" s="388"/>
      <c r="V40" s="388"/>
      <c r="W40" s="388"/>
      <c r="X40" s="388"/>
      <c r="Y40" s="388"/>
      <c r="Z40" s="388"/>
    </row>
    <row r="41" spans="1:26" x14ac:dyDescent="0.25">
      <c r="A41" s="428"/>
      <c r="B41" s="101" t="s">
        <v>296</v>
      </c>
      <c r="C41" s="102"/>
      <c r="D41" s="18" t="s">
        <v>12</v>
      </c>
      <c r="E41" s="16" t="s">
        <v>297</v>
      </c>
      <c r="F41" s="108"/>
      <c r="G41" s="108"/>
      <c r="H41" s="108"/>
      <c r="I41" s="103"/>
      <c r="J41" s="18"/>
      <c r="K41" s="111">
        <f ca="1">2*PI()*_xll.RiskUniform($E$111,$F$111,_xll.RiskCollect())*K39</f>
        <v>3.1524257317056201E-2</v>
      </c>
      <c r="L41" s="112" t="s">
        <v>295</v>
      </c>
      <c r="M41" s="106" t="s">
        <v>298</v>
      </c>
      <c r="N41" s="112" t="s">
        <v>241</v>
      </c>
      <c r="O41" s="74"/>
      <c r="P41" s="431"/>
      <c r="Q41" s="431"/>
      <c r="R41" s="388"/>
      <c r="S41" s="388"/>
      <c r="T41" s="388"/>
      <c r="U41" s="388"/>
      <c r="V41" s="388"/>
      <c r="W41" s="388"/>
      <c r="X41" s="388"/>
      <c r="Y41" s="388"/>
      <c r="Z41" s="388"/>
    </row>
    <row r="42" spans="1:26" x14ac:dyDescent="0.25">
      <c r="A42" s="428"/>
      <c r="B42" s="101" t="s">
        <v>299</v>
      </c>
      <c r="C42" s="102"/>
      <c r="D42" s="102" t="s">
        <v>17</v>
      </c>
      <c r="E42" s="16" t="s">
        <v>300</v>
      </c>
      <c r="F42" s="108"/>
      <c r="G42" s="108"/>
      <c r="H42" s="108"/>
      <c r="I42" s="109"/>
      <c r="J42" s="102"/>
      <c r="K42" s="111">
        <f ca="1">K40*(K31/K41)</f>
        <v>7.6569388429090548</v>
      </c>
      <c r="L42" s="107" t="s">
        <v>204</v>
      </c>
      <c r="M42" s="106" t="s">
        <v>301</v>
      </c>
      <c r="N42" s="112" t="s">
        <v>241</v>
      </c>
      <c r="O42" s="74"/>
      <c r="P42" s="431"/>
      <c r="Q42" s="431"/>
      <c r="R42" s="388"/>
      <c r="S42" s="388"/>
      <c r="T42" s="388"/>
      <c r="U42" s="388"/>
      <c r="V42" s="388"/>
      <c r="W42" s="388"/>
      <c r="X42" s="388"/>
      <c r="Y42" s="388"/>
      <c r="Z42" s="388"/>
    </row>
    <row r="43" spans="1:26" x14ac:dyDescent="0.25">
      <c r="A43" s="428"/>
      <c r="B43" s="148" t="s">
        <v>302</v>
      </c>
      <c r="C43" s="92"/>
      <c r="D43" s="24" t="s">
        <v>16</v>
      </c>
      <c r="E43" s="22" t="s">
        <v>303</v>
      </c>
      <c r="F43" s="149"/>
      <c r="G43" s="149"/>
      <c r="H43" s="149"/>
      <c r="I43" s="149"/>
      <c r="J43" s="92"/>
      <c r="K43" s="150">
        <f ca="1">K35/K24</f>
        <v>4.0212765957446814</v>
      </c>
      <c r="L43" s="83" t="s">
        <v>304</v>
      </c>
      <c r="M43" s="151" t="s">
        <v>305</v>
      </c>
      <c r="N43" s="128" t="s">
        <v>241</v>
      </c>
      <c r="O43" s="85"/>
      <c r="P43" s="388"/>
      <c r="Q43" s="388"/>
      <c r="R43" s="388"/>
      <c r="S43" s="388"/>
      <c r="T43" s="388"/>
      <c r="U43" s="388"/>
      <c r="V43" s="388"/>
      <c r="W43" s="388"/>
      <c r="X43" s="388"/>
      <c r="Y43" s="388"/>
      <c r="Z43" s="388"/>
    </row>
    <row r="44" spans="1:26" x14ac:dyDescent="0.25">
      <c r="A44" s="388"/>
      <c r="B44" s="452"/>
      <c r="C44" s="438"/>
      <c r="D44" s="389"/>
      <c r="E44" s="388"/>
      <c r="F44" s="388"/>
      <c r="G44" s="388"/>
      <c r="H44" s="388"/>
      <c r="I44" s="388"/>
      <c r="J44" s="389"/>
      <c r="K44" s="389"/>
      <c r="L44" s="389"/>
      <c r="M44" s="389"/>
      <c r="N44" s="426"/>
      <c r="O44" s="427"/>
      <c r="P44" s="388"/>
      <c r="Q44" s="388"/>
      <c r="R44" s="388"/>
      <c r="S44" s="388"/>
      <c r="T44" s="388"/>
      <c r="U44" s="388"/>
      <c r="V44" s="388"/>
      <c r="W44" s="388"/>
      <c r="X44" s="388"/>
      <c r="Y44" s="388"/>
      <c r="Z44" s="388"/>
    </row>
    <row r="45" spans="1:26" ht="18" x14ac:dyDescent="0.25">
      <c r="A45" s="388"/>
      <c r="B45" s="425" t="s">
        <v>306</v>
      </c>
      <c r="C45" s="438"/>
      <c r="D45" s="389"/>
      <c r="E45" s="388"/>
      <c r="F45" s="388"/>
      <c r="G45" s="388"/>
      <c r="H45" s="388"/>
      <c r="I45" s="388"/>
      <c r="J45" s="389"/>
      <c r="K45" s="389"/>
      <c r="L45" s="389"/>
      <c r="M45" s="389"/>
      <c r="N45" s="426"/>
      <c r="O45" s="427"/>
      <c r="P45" s="388"/>
      <c r="Q45" s="388"/>
      <c r="R45" s="388"/>
      <c r="S45" s="388"/>
      <c r="T45" s="388"/>
      <c r="U45" s="388"/>
      <c r="V45" s="388"/>
      <c r="W45" s="388"/>
      <c r="X45" s="388"/>
      <c r="Y45" s="388"/>
      <c r="Z45" s="388"/>
    </row>
    <row r="46" spans="1:26" x14ac:dyDescent="0.25">
      <c r="A46" s="388"/>
      <c r="B46" s="388"/>
      <c r="C46" s="389"/>
      <c r="D46" s="389"/>
      <c r="E46" s="388"/>
      <c r="F46" s="388"/>
      <c r="G46" s="388"/>
      <c r="H46" s="388"/>
      <c r="I46" s="388"/>
      <c r="J46" s="389"/>
      <c r="K46" s="389"/>
      <c r="L46" s="389"/>
      <c r="M46" s="389"/>
      <c r="N46" s="426"/>
      <c r="O46" s="427"/>
      <c r="P46" s="388"/>
      <c r="Q46" s="388"/>
      <c r="R46" s="388"/>
      <c r="S46" s="388"/>
      <c r="T46" s="388"/>
      <c r="U46" s="388"/>
      <c r="V46" s="388"/>
      <c r="W46" s="388"/>
      <c r="X46" s="388"/>
      <c r="Y46" s="388"/>
      <c r="Z46" s="388"/>
    </row>
    <row r="47" spans="1:26" x14ac:dyDescent="0.25">
      <c r="A47" s="403" t="s">
        <v>147</v>
      </c>
      <c r="B47" s="403" t="s">
        <v>307</v>
      </c>
      <c r="C47" s="389"/>
      <c r="D47" s="389"/>
      <c r="E47" s="388"/>
      <c r="F47" s="388"/>
      <c r="G47" s="388"/>
      <c r="H47" s="388"/>
      <c r="I47" s="388"/>
      <c r="J47" s="389"/>
      <c r="K47" s="389"/>
      <c r="L47" s="389"/>
      <c r="M47" s="389"/>
      <c r="N47" s="426"/>
      <c r="O47" s="427"/>
      <c r="P47" s="388"/>
      <c r="Q47" s="388"/>
      <c r="R47" s="388"/>
      <c r="S47" s="388"/>
      <c r="T47" s="388"/>
      <c r="U47" s="388"/>
      <c r="V47" s="388"/>
      <c r="W47" s="388"/>
      <c r="X47" s="388"/>
      <c r="Y47" s="388"/>
      <c r="Z47" s="388"/>
    </row>
    <row r="48" spans="1:26" ht="26.25" x14ac:dyDescent="0.25">
      <c r="A48" s="403"/>
      <c r="B48" s="152"/>
      <c r="C48" s="69"/>
      <c r="D48" s="153" t="s">
        <v>308</v>
      </c>
      <c r="E48" s="153" t="s">
        <v>308</v>
      </c>
      <c r="F48" s="153" t="s">
        <v>2</v>
      </c>
      <c r="G48" s="154" t="s">
        <v>3</v>
      </c>
      <c r="H48" s="153" t="s">
        <v>309</v>
      </c>
      <c r="I48" s="153" t="s">
        <v>309</v>
      </c>
      <c r="J48" s="155" t="s">
        <v>4</v>
      </c>
      <c r="K48" s="155" t="s">
        <v>5</v>
      </c>
      <c r="L48" s="156" t="s">
        <v>5</v>
      </c>
      <c r="M48" s="426"/>
      <c r="N48" s="427"/>
      <c r="O48" s="388"/>
      <c r="P48" s="432"/>
      <c r="Q48" s="432"/>
      <c r="R48" s="388"/>
      <c r="S48" s="388"/>
      <c r="T48" s="388"/>
      <c r="U48" s="388"/>
      <c r="V48" s="388"/>
      <c r="W48" s="388"/>
      <c r="X48" s="388"/>
      <c r="Y48" s="388"/>
      <c r="Z48" s="388"/>
    </row>
    <row r="49" spans="1:26" x14ac:dyDescent="0.25">
      <c r="A49" s="388"/>
      <c r="B49" s="38"/>
      <c r="C49" s="55"/>
      <c r="D49" s="18" t="s">
        <v>228</v>
      </c>
      <c r="E49" s="18" t="s">
        <v>228</v>
      </c>
      <c r="F49" s="55">
        <v>1</v>
      </c>
      <c r="G49" s="55">
        <v>2</v>
      </c>
      <c r="H49" s="18" t="s">
        <v>11</v>
      </c>
      <c r="I49" s="18" t="s">
        <v>11</v>
      </c>
      <c r="J49" s="117">
        <v>4</v>
      </c>
      <c r="K49" s="117">
        <v>5</v>
      </c>
      <c r="L49" s="158">
        <v>6</v>
      </c>
      <c r="M49" s="426"/>
      <c r="N49" s="427"/>
      <c r="O49" s="388"/>
      <c r="P49" s="395"/>
      <c r="Q49" s="395"/>
      <c r="R49" s="388"/>
      <c r="S49" s="388"/>
      <c r="T49" s="388"/>
      <c r="U49" s="388"/>
      <c r="V49" s="388"/>
      <c r="W49" s="388"/>
      <c r="X49" s="388"/>
      <c r="Y49" s="388"/>
      <c r="Z49" s="388"/>
    </row>
    <row r="50" spans="1:26" ht="38.25" x14ac:dyDescent="0.25">
      <c r="A50" s="403"/>
      <c r="B50" s="159" t="s">
        <v>18</v>
      </c>
      <c r="C50" s="113" t="s">
        <v>18</v>
      </c>
      <c r="D50" s="113" t="s">
        <v>310</v>
      </c>
      <c r="E50" s="113" t="s">
        <v>311</v>
      </c>
      <c r="F50" s="117" t="s">
        <v>312</v>
      </c>
      <c r="G50" s="160" t="s">
        <v>313</v>
      </c>
      <c r="H50" s="117" t="s">
        <v>310</v>
      </c>
      <c r="I50" s="117" t="s">
        <v>311</v>
      </c>
      <c r="J50" s="113" t="s">
        <v>314</v>
      </c>
      <c r="K50" s="113" t="s">
        <v>314</v>
      </c>
      <c r="L50" s="158" t="s">
        <v>315</v>
      </c>
      <c r="M50" s="426"/>
      <c r="N50" s="427"/>
      <c r="O50" s="388"/>
      <c r="P50" s="433"/>
      <c r="Q50" s="433"/>
      <c r="R50" s="388"/>
      <c r="S50" s="388"/>
      <c r="T50" s="388"/>
      <c r="U50" s="388"/>
      <c r="V50" s="388"/>
      <c r="W50" s="388"/>
      <c r="X50" s="388"/>
      <c r="Y50" s="388"/>
      <c r="Z50" s="388"/>
    </row>
    <row r="51" spans="1:26" ht="38.25" x14ac:dyDescent="0.25">
      <c r="A51" s="403"/>
      <c r="B51" s="159"/>
      <c r="C51" s="113"/>
      <c r="D51" s="161" t="s">
        <v>316</v>
      </c>
      <c r="E51" s="161" t="s">
        <v>317</v>
      </c>
      <c r="F51" s="161" t="s">
        <v>318</v>
      </c>
      <c r="G51" s="161" t="s">
        <v>319</v>
      </c>
      <c r="H51" s="161" t="s">
        <v>320</v>
      </c>
      <c r="I51" s="161" t="s">
        <v>321</v>
      </c>
      <c r="J51" s="161" t="s">
        <v>322</v>
      </c>
      <c r="K51" s="161" t="s">
        <v>323</v>
      </c>
      <c r="L51" s="162" t="s">
        <v>324</v>
      </c>
      <c r="M51" s="426"/>
      <c r="N51" s="427"/>
      <c r="O51" s="388"/>
      <c r="P51" s="434"/>
      <c r="Q51" s="434"/>
      <c r="R51" s="388"/>
      <c r="S51" s="388"/>
      <c r="T51" s="388"/>
      <c r="U51" s="388"/>
      <c r="V51" s="388"/>
      <c r="W51" s="388"/>
      <c r="X51" s="388"/>
      <c r="Y51" s="388"/>
      <c r="Z51" s="388"/>
    </row>
    <row r="52" spans="1:26" x14ac:dyDescent="0.25">
      <c r="A52" s="403"/>
      <c r="B52" s="163" t="s">
        <v>325</v>
      </c>
      <c r="C52" s="110">
        <v>6</v>
      </c>
      <c r="D52" s="117">
        <v>28</v>
      </c>
      <c r="E52" s="117">
        <v>35</v>
      </c>
      <c r="F52" s="164">
        <v>0.5</v>
      </c>
      <c r="G52" s="165">
        <v>0.9</v>
      </c>
      <c r="H52" s="19">
        <v>2.2400000000000002</v>
      </c>
      <c r="I52" s="19">
        <v>3.85</v>
      </c>
      <c r="J52" s="166">
        <v>0.5</v>
      </c>
      <c r="K52" s="166">
        <v>6</v>
      </c>
      <c r="L52" s="167"/>
      <c r="M52" s="426"/>
      <c r="N52" s="427"/>
      <c r="O52" s="388"/>
      <c r="P52" s="394"/>
      <c r="Q52" s="394"/>
      <c r="R52" s="388"/>
      <c r="S52" s="388"/>
      <c r="T52" s="388"/>
      <c r="U52" s="388"/>
      <c r="V52" s="388"/>
      <c r="W52" s="388"/>
      <c r="X52" s="388"/>
      <c r="Y52" s="388"/>
      <c r="Z52" s="388"/>
    </row>
    <row r="53" spans="1:26" x14ac:dyDescent="0.25">
      <c r="A53" s="403"/>
      <c r="B53" s="159" t="s">
        <v>326</v>
      </c>
      <c r="C53" s="113">
        <v>12</v>
      </c>
      <c r="D53" s="117">
        <v>32</v>
      </c>
      <c r="E53" s="117">
        <v>36</v>
      </c>
      <c r="F53" s="164">
        <v>0.625</v>
      </c>
      <c r="G53" s="164">
        <v>0.97499999999999998</v>
      </c>
      <c r="H53" s="19">
        <v>2.0699999999999998</v>
      </c>
      <c r="I53" s="19">
        <v>3.9</v>
      </c>
      <c r="J53" s="164">
        <v>0.5625</v>
      </c>
      <c r="K53" s="168">
        <v>7</v>
      </c>
      <c r="L53" s="167"/>
      <c r="M53" s="426"/>
      <c r="N53" s="427"/>
      <c r="O53" s="388"/>
      <c r="P53" s="394"/>
      <c r="Q53" s="394"/>
      <c r="R53" s="388"/>
      <c r="S53" s="388"/>
      <c r="T53" s="388"/>
      <c r="U53" s="388"/>
      <c r="V53" s="388"/>
      <c r="W53" s="388"/>
      <c r="X53" s="388"/>
      <c r="Y53" s="388"/>
      <c r="Z53" s="388"/>
    </row>
    <row r="54" spans="1:26" x14ac:dyDescent="0.25">
      <c r="A54" s="403"/>
      <c r="B54" s="159" t="s">
        <v>327</v>
      </c>
      <c r="C54" s="113">
        <v>18</v>
      </c>
      <c r="D54" s="117">
        <v>34</v>
      </c>
      <c r="E54" s="117">
        <v>39</v>
      </c>
      <c r="F54" s="164">
        <v>0.75</v>
      </c>
      <c r="G54" s="164">
        <v>1.05</v>
      </c>
      <c r="H54" s="19">
        <v>2.35</v>
      </c>
      <c r="I54" s="19">
        <v>4.0599999999999996</v>
      </c>
      <c r="J54" s="164">
        <v>0.625</v>
      </c>
      <c r="K54" s="168">
        <v>8</v>
      </c>
      <c r="L54" s="167"/>
      <c r="M54" s="426"/>
      <c r="N54" s="427"/>
      <c r="O54" s="388"/>
      <c r="P54" s="394"/>
      <c r="Q54" s="394"/>
      <c r="R54" s="388"/>
      <c r="S54" s="388"/>
      <c r="T54" s="388"/>
      <c r="U54" s="388"/>
      <c r="V54" s="388"/>
      <c r="W54" s="388"/>
      <c r="X54" s="388"/>
      <c r="Y54" s="388"/>
      <c r="Z54" s="388"/>
    </row>
    <row r="55" spans="1:26" x14ac:dyDescent="0.25">
      <c r="A55" s="403"/>
      <c r="B55" s="159" t="s">
        <v>328</v>
      </c>
      <c r="C55" s="113">
        <v>24</v>
      </c>
      <c r="D55" s="117">
        <v>38</v>
      </c>
      <c r="E55" s="117">
        <v>44</v>
      </c>
      <c r="F55" s="164">
        <v>0.875</v>
      </c>
      <c r="G55" s="164">
        <v>1.125</v>
      </c>
      <c r="H55" s="19">
        <v>0.35</v>
      </c>
      <c r="I55" s="19">
        <v>2.56</v>
      </c>
      <c r="J55" s="164">
        <v>0.6875</v>
      </c>
      <c r="K55" s="168">
        <v>9</v>
      </c>
      <c r="L55" s="167"/>
      <c r="M55" s="426"/>
      <c r="N55" s="427"/>
      <c r="O55" s="388"/>
      <c r="P55" s="394"/>
      <c r="Q55" s="394"/>
      <c r="R55" s="388"/>
      <c r="S55" s="388"/>
      <c r="T55" s="388"/>
      <c r="U55" s="388"/>
      <c r="V55" s="388"/>
      <c r="W55" s="388"/>
      <c r="X55" s="388"/>
      <c r="Y55" s="388"/>
      <c r="Z55" s="388"/>
    </row>
    <row r="56" spans="1:26" x14ac:dyDescent="0.25">
      <c r="A56" s="403"/>
      <c r="B56" s="169" t="s">
        <v>19</v>
      </c>
      <c r="C56" s="142">
        <v>25</v>
      </c>
      <c r="D56" s="142">
        <v>40</v>
      </c>
      <c r="E56" s="142">
        <v>56</v>
      </c>
      <c r="F56" s="170">
        <v>1</v>
      </c>
      <c r="G56" s="171">
        <v>1.2</v>
      </c>
      <c r="H56" s="66">
        <v>0.35</v>
      </c>
      <c r="I56" s="66">
        <v>2.56</v>
      </c>
      <c r="J56" s="66">
        <v>0.75</v>
      </c>
      <c r="K56" s="66">
        <v>10</v>
      </c>
      <c r="L56" s="172">
        <v>12</v>
      </c>
      <c r="M56" s="426"/>
      <c r="N56" s="427"/>
      <c r="O56" s="388"/>
      <c r="P56" s="394"/>
      <c r="Q56" s="394"/>
      <c r="R56" s="388"/>
      <c r="S56" s="388"/>
      <c r="T56" s="388"/>
      <c r="U56" s="388"/>
      <c r="V56" s="388"/>
      <c r="W56" s="388"/>
      <c r="X56" s="388"/>
      <c r="Y56" s="388"/>
      <c r="Z56" s="388"/>
    </row>
    <row r="57" spans="1:26" x14ac:dyDescent="0.25">
      <c r="A57" s="403"/>
      <c r="B57" s="407" t="s">
        <v>329</v>
      </c>
      <c r="C57" s="438"/>
      <c r="D57" s="438"/>
      <c r="E57" s="438"/>
      <c r="F57" s="392"/>
      <c r="G57" s="392"/>
      <c r="H57" s="392"/>
      <c r="I57" s="392"/>
      <c r="J57" s="388"/>
      <c r="K57" s="389"/>
      <c r="L57" s="389"/>
      <c r="M57" s="389"/>
      <c r="N57" s="426"/>
      <c r="O57" s="427"/>
      <c r="P57" s="388"/>
      <c r="Q57" s="388"/>
      <c r="R57" s="388"/>
      <c r="S57" s="388"/>
      <c r="T57" s="388"/>
      <c r="U57" s="388"/>
      <c r="V57" s="388"/>
      <c r="W57" s="388"/>
      <c r="X57" s="388"/>
      <c r="Y57" s="388"/>
      <c r="Z57" s="388"/>
    </row>
    <row r="58" spans="1:26" x14ac:dyDescent="0.25">
      <c r="A58" s="403"/>
      <c r="B58" s="448" t="s">
        <v>330</v>
      </c>
      <c r="C58" s="438"/>
      <c r="D58" s="438"/>
      <c r="E58" s="438"/>
      <c r="F58" s="392"/>
      <c r="G58" s="392"/>
      <c r="H58" s="392"/>
      <c r="I58" s="392"/>
      <c r="J58" s="388"/>
      <c r="K58" s="389"/>
      <c r="L58" s="389"/>
      <c r="M58" s="389"/>
      <c r="N58" s="426"/>
      <c r="O58" s="427"/>
      <c r="P58" s="388"/>
      <c r="Q58" s="388"/>
      <c r="R58" s="388"/>
      <c r="S58" s="388"/>
      <c r="T58" s="388"/>
      <c r="U58" s="388"/>
      <c r="V58" s="388"/>
      <c r="W58" s="388"/>
      <c r="X58" s="388"/>
      <c r="Y58" s="388"/>
      <c r="Z58" s="388"/>
    </row>
    <row r="59" spans="1:26" x14ac:dyDescent="0.25">
      <c r="A59" s="403"/>
      <c r="B59" s="448" t="s">
        <v>331</v>
      </c>
      <c r="C59" s="438"/>
      <c r="D59" s="438"/>
      <c r="E59" s="438"/>
      <c r="F59" s="392"/>
      <c r="G59" s="392"/>
      <c r="H59" s="392"/>
      <c r="I59" s="392"/>
      <c r="J59" s="388"/>
      <c r="K59" s="389"/>
      <c r="L59" s="389"/>
      <c r="M59" s="389"/>
      <c r="N59" s="426"/>
      <c r="O59" s="427"/>
      <c r="P59" s="388"/>
      <c r="Q59" s="388"/>
      <c r="R59" s="388"/>
      <c r="S59" s="388"/>
      <c r="T59" s="388"/>
      <c r="U59" s="388"/>
      <c r="V59" s="388"/>
      <c r="W59" s="388"/>
      <c r="X59" s="388"/>
      <c r="Y59" s="388"/>
      <c r="Z59" s="388"/>
    </row>
    <row r="60" spans="1:26" x14ac:dyDescent="0.25">
      <c r="A60" s="403"/>
      <c r="B60" s="448" t="s">
        <v>332</v>
      </c>
      <c r="C60" s="438"/>
      <c r="D60" s="438"/>
      <c r="E60" s="438"/>
      <c r="F60" s="392"/>
      <c r="G60" s="392"/>
      <c r="H60" s="392"/>
      <c r="I60" s="392"/>
      <c r="J60" s="388"/>
      <c r="K60" s="389"/>
      <c r="L60" s="389"/>
      <c r="M60" s="389"/>
      <c r="N60" s="426"/>
      <c r="O60" s="427"/>
      <c r="P60" s="388"/>
      <c r="Q60" s="388"/>
      <c r="R60" s="388"/>
      <c r="S60" s="388"/>
      <c r="T60" s="388"/>
      <c r="U60" s="388"/>
      <c r="V60" s="388"/>
      <c r="W60" s="388"/>
      <c r="X60" s="388"/>
      <c r="Y60" s="388"/>
      <c r="Z60" s="388"/>
    </row>
    <row r="61" spans="1:26" x14ac:dyDescent="0.25">
      <c r="A61" s="403"/>
      <c r="B61" s="390" t="s">
        <v>333</v>
      </c>
      <c r="C61" s="438"/>
      <c r="D61" s="438"/>
      <c r="E61" s="438"/>
      <c r="F61" s="392"/>
      <c r="G61" s="392"/>
      <c r="H61" s="392"/>
      <c r="I61" s="392"/>
      <c r="J61" s="388"/>
      <c r="K61" s="389"/>
      <c r="L61" s="389"/>
      <c r="M61" s="389"/>
      <c r="N61" s="426"/>
      <c r="O61" s="427"/>
      <c r="P61" s="388"/>
      <c r="Q61" s="388"/>
      <c r="R61" s="388"/>
      <c r="S61" s="388"/>
      <c r="T61" s="388"/>
      <c r="U61" s="388"/>
      <c r="V61" s="388"/>
      <c r="W61" s="388"/>
      <c r="X61" s="388"/>
      <c r="Y61" s="388"/>
      <c r="Z61" s="388"/>
    </row>
    <row r="62" spans="1:26" s="48" customFormat="1" x14ac:dyDescent="0.25">
      <c r="A62" s="429"/>
      <c r="B62" s="452"/>
      <c r="C62" s="438"/>
      <c r="D62" s="438"/>
      <c r="E62" s="438"/>
      <c r="F62" s="392"/>
      <c r="G62" s="392"/>
      <c r="H62" s="392"/>
      <c r="I62" s="392"/>
      <c r="J62" s="391"/>
      <c r="K62" s="392"/>
      <c r="L62" s="392"/>
      <c r="M62" s="392"/>
      <c r="N62" s="435"/>
      <c r="O62" s="436"/>
      <c r="P62" s="391"/>
      <c r="Q62" s="391"/>
      <c r="R62" s="391"/>
      <c r="S62" s="391"/>
      <c r="T62" s="391"/>
      <c r="U62" s="391"/>
      <c r="V62" s="391"/>
      <c r="W62" s="391"/>
      <c r="X62" s="391"/>
      <c r="Y62" s="391"/>
      <c r="Z62" s="391"/>
    </row>
    <row r="63" spans="1:26" s="48" customFormat="1" x14ac:dyDescent="0.25">
      <c r="A63" s="403" t="s">
        <v>159</v>
      </c>
      <c r="B63" s="403" t="s">
        <v>334</v>
      </c>
      <c r="C63" s="438"/>
      <c r="D63" s="438"/>
      <c r="E63" s="438"/>
      <c r="F63" s="392"/>
      <c r="G63" s="392"/>
      <c r="H63" s="392"/>
      <c r="I63" s="392"/>
      <c r="J63" s="391"/>
      <c r="K63" s="392"/>
      <c r="L63" s="392"/>
      <c r="M63" s="392"/>
      <c r="N63" s="435"/>
      <c r="O63" s="436"/>
      <c r="P63" s="391"/>
      <c r="Q63" s="391"/>
      <c r="R63" s="391"/>
      <c r="S63" s="391"/>
      <c r="T63" s="391"/>
      <c r="U63" s="391"/>
      <c r="V63" s="391"/>
      <c r="W63" s="391"/>
      <c r="X63" s="391"/>
      <c r="Y63" s="391"/>
      <c r="Z63" s="391"/>
    </row>
    <row r="64" spans="1:26" s="48" customFormat="1" ht="26.25" x14ac:dyDescent="0.25">
      <c r="A64" s="429"/>
      <c r="B64" s="68"/>
      <c r="C64" s="68"/>
      <c r="D64" s="153" t="s">
        <v>309</v>
      </c>
      <c r="E64" s="153" t="s">
        <v>309</v>
      </c>
      <c r="F64" s="153" t="s">
        <v>309</v>
      </c>
      <c r="G64" s="153" t="s">
        <v>309</v>
      </c>
      <c r="H64" s="173" t="s">
        <v>335</v>
      </c>
      <c r="I64" s="173" t="s">
        <v>335</v>
      </c>
      <c r="J64" s="173" t="s">
        <v>335</v>
      </c>
      <c r="K64" s="174" t="s">
        <v>335</v>
      </c>
      <c r="L64" s="391"/>
      <c r="M64" s="432"/>
      <c r="N64" s="391"/>
      <c r="O64" s="437"/>
      <c r="P64" s="432"/>
      <c r="Q64" s="432"/>
      <c r="R64" s="432"/>
      <c r="S64" s="391"/>
      <c r="T64" s="391"/>
      <c r="U64" s="391"/>
      <c r="V64" s="391"/>
      <c r="W64" s="391"/>
      <c r="X64" s="391"/>
      <c r="Y64" s="391"/>
      <c r="Z64" s="391"/>
    </row>
    <row r="65" spans="1:26" s="48" customFormat="1" x14ac:dyDescent="0.25">
      <c r="A65" s="429"/>
      <c r="B65" s="36"/>
      <c r="C65" s="36"/>
      <c r="D65" s="33" t="s">
        <v>11</v>
      </c>
      <c r="E65" s="33" t="s">
        <v>11</v>
      </c>
      <c r="F65" s="33" t="s">
        <v>11</v>
      </c>
      <c r="G65" s="33" t="s">
        <v>11</v>
      </c>
      <c r="H65" s="33" t="s">
        <v>14</v>
      </c>
      <c r="I65" s="33" t="s">
        <v>14</v>
      </c>
      <c r="J65" s="33" t="s">
        <v>14</v>
      </c>
      <c r="K65" s="175" t="s">
        <v>14</v>
      </c>
      <c r="L65" s="391"/>
      <c r="M65" s="395"/>
      <c r="N65" s="391"/>
      <c r="O65" s="437"/>
      <c r="P65" s="395"/>
      <c r="Q65" s="395"/>
      <c r="R65" s="395"/>
      <c r="S65" s="391"/>
      <c r="T65" s="391"/>
      <c r="U65" s="391"/>
      <c r="V65" s="391"/>
      <c r="W65" s="391"/>
      <c r="X65" s="391"/>
      <c r="Y65" s="391"/>
      <c r="Z65" s="391"/>
    </row>
    <row r="66" spans="1:26" s="48" customFormat="1" ht="38.25" x14ac:dyDescent="0.25">
      <c r="A66" s="429"/>
      <c r="B66" s="176" t="s">
        <v>18</v>
      </c>
      <c r="C66" s="176" t="s">
        <v>18</v>
      </c>
      <c r="D66" s="117" t="s">
        <v>336</v>
      </c>
      <c r="E66" s="117" t="s">
        <v>337</v>
      </c>
      <c r="F66" s="117" t="s">
        <v>338</v>
      </c>
      <c r="G66" s="117" t="s">
        <v>339</v>
      </c>
      <c r="H66" s="117" t="s">
        <v>336</v>
      </c>
      <c r="I66" s="117" t="s">
        <v>337</v>
      </c>
      <c r="J66" s="117" t="s">
        <v>338</v>
      </c>
      <c r="K66" s="158" t="s">
        <v>339</v>
      </c>
      <c r="L66" s="391"/>
      <c r="M66" s="438"/>
      <c r="N66" s="391"/>
      <c r="O66" s="437"/>
      <c r="P66" s="438"/>
      <c r="Q66" s="438"/>
      <c r="R66" s="438"/>
      <c r="S66" s="391"/>
      <c r="T66" s="391"/>
      <c r="U66" s="391"/>
      <c r="V66" s="391"/>
      <c r="W66" s="391"/>
      <c r="X66" s="391"/>
      <c r="Y66" s="391"/>
      <c r="Z66" s="391"/>
    </row>
    <row r="67" spans="1:26" s="48" customFormat="1" ht="38.25" x14ac:dyDescent="0.25">
      <c r="A67" s="429"/>
      <c r="B67" s="176"/>
      <c r="C67" s="176"/>
      <c r="D67" s="177" t="s">
        <v>340</v>
      </c>
      <c r="E67" s="177" t="s">
        <v>341</v>
      </c>
      <c r="F67" s="177" t="s">
        <v>342</v>
      </c>
      <c r="G67" s="177" t="s">
        <v>343</v>
      </c>
      <c r="H67" s="177" t="s">
        <v>344</v>
      </c>
      <c r="I67" s="177" t="s">
        <v>345</v>
      </c>
      <c r="J67" s="177" t="s">
        <v>346</v>
      </c>
      <c r="K67" s="178" t="s">
        <v>347</v>
      </c>
      <c r="L67" s="391"/>
      <c r="M67" s="434"/>
      <c r="N67" s="391"/>
      <c r="O67" s="437"/>
      <c r="P67" s="434"/>
      <c r="Q67" s="434"/>
      <c r="R67" s="434"/>
      <c r="S67" s="391"/>
      <c r="T67" s="391"/>
      <c r="U67" s="391"/>
      <c r="V67" s="391"/>
      <c r="W67" s="391"/>
      <c r="X67" s="391"/>
      <c r="Y67" s="391"/>
      <c r="Z67" s="391"/>
    </row>
    <row r="68" spans="1:26" s="48" customFormat="1" x14ac:dyDescent="0.25">
      <c r="A68" s="429"/>
      <c r="B68" s="179" t="s">
        <v>325</v>
      </c>
      <c r="C68" s="179">
        <v>6</v>
      </c>
      <c r="D68" s="165">
        <v>369.00000000000006</v>
      </c>
      <c r="E68" s="164">
        <v>274.89999999999998</v>
      </c>
      <c r="F68" s="164">
        <v>374.82499999999999</v>
      </c>
      <c r="G68" s="164">
        <v>439.79999999999995</v>
      </c>
      <c r="H68" s="165">
        <v>105</v>
      </c>
      <c r="I68" s="165">
        <v>69</v>
      </c>
      <c r="J68" s="180">
        <v>104.75</v>
      </c>
      <c r="K68" s="181">
        <v>142</v>
      </c>
      <c r="L68" s="391"/>
      <c r="M68" s="439"/>
      <c r="N68" s="391"/>
      <c r="O68" s="437"/>
      <c r="P68" s="438"/>
      <c r="Q68" s="392"/>
      <c r="R68" s="392"/>
      <c r="S68" s="391"/>
      <c r="T68" s="391"/>
      <c r="U68" s="391"/>
      <c r="V68" s="391"/>
      <c r="W68" s="391"/>
      <c r="X68" s="391"/>
      <c r="Y68" s="391"/>
      <c r="Z68" s="391"/>
    </row>
    <row r="69" spans="1:26" s="48" customFormat="1" x14ac:dyDescent="0.25">
      <c r="A69" s="429"/>
      <c r="B69" s="176" t="s">
        <v>326</v>
      </c>
      <c r="C69" s="176">
        <v>12</v>
      </c>
      <c r="D69" s="165">
        <v>386</v>
      </c>
      <c r="E69" s="164">
        <v>276</v>
      </c>
      <c r="F69" s="164">
        <v>385.75</v>
      </c>
      <c r="G69" s="164">
        <v>497</v>
      </c>
      <c r="H69" s="165">
        <v>134</v>
      </c>
      <c r="I69" s="165">
        <v>102</v>
      </c>
      <c r="J69" s="180">
        <v>124</v>
      </c>
      <c r="K69" s="181">
        <v>206</v>
      </c>
      <c r="L69" s="391"/>
      <c r="M69" s="439"/>
      <c r="N69" s="391"/>
      <c r="O69" s="437"/>
      <c r="P69" s="438"/>
      <c r="Q69" s="392"/>
      <c r="R69" s="392"/>
      <c r="S69" s="391"/>
      <c r="T69" s="391"/>
      <c r="U69" s="391"/>
      <c r="V69" s="391"/>
      <c r="W69" s="391"/>
      <c r="X69" s="391"/>
      <c r="Y69" s="391"/>
      <c r="Z69" s="391"/>
    </row>
    <row r="70" spans="1:26" s="48" customFormat="1" x14ac:dyDescent="0.25">
      <c r="A70" s="429"/>
      <c r="B70" s="176" t="s">
        <v>327</v>
      </c>
      <c r="C70" s="176">
        <v>18</v>
      </c>
      <c r="D70" s="165">
        <v>350</v>
      </c>
      <c r="E70" s="164">
        <v>252</v>
      </c>
      <c r="F70" s="164">
        <v>346.75</v>
      </c>
      <c r="G70" s="164">
        <v>461</v>
      </c>
      <c r="H70" s="165">
        <v>196</v>
      </c>
      <c r="I70" s="165">
        <v>160</v>
      </c>
      <c r="J70" s="180">
        <v>191</v>
      </c>
      <c r="K70" s="181">
        <v>252</v>
      </c>
      <c r="L70" s="391"/>
      <c r="M70" s="439"/>
      <c r="N70" s="391"/>
      <c r="O70" s="437"/>
      <c r="P70" s="438"/>
      <c r="Q70" s="440"/>
      <c r="R70" s="392"/>
      <c r="S70" s="391"/>
      <c r="T70" s="391"/>
      <c r="U70" s="391"/>
      <c r="V70" s="391"/>
      <c r="W70" s="391"/>
      <c r="X70" s="391"/>
      <c r="Y70" s="391"/>
      <c r="Z70" s="391"/>
    </row>
    <row r="71" spans="1:26" s="48" customFormat="1" x14ac:dyDescent="0.25">
      <c r="A71" s="429"/>
      <c r="B71" s="176" t="s">
        <v>328</v>
      </c>
      <c r="C71" s="176">
        <v>24</v>
      </c>
      <c r="D71" s="165">
        <v>210</v>
      </c>
      <c r="E71" s="164">
        <v>30.199999999999989</v>
      </c>
      <c r="F71" s="164">
        <v>189.375</v>
      </c>
      <c r="G71" s="164">
        <v>472.29999999999995</v>
      </c>
      <c r="H71" s="165">
        <v>189</v>
      </c>
      <c r="I71" s="165">
        <v>155</v>
      </c>
      <c r="J71" s="180">
        <v>184.25</v>
      </c>
      <c r="K71" s="181">
        <v>242</v>
      </c>
      <c r="L71" s="391"/>
      <c r="M71" s="439"/>
      <c r="N71" s="391"/>
      <c r="O71" s="437"/>
      <c r="P71" s="438"/>
      <c r="Q71" s="440"/>
      <c r="R71" s="392"/>
      <c r="S71" s="391"/>
      <c r="T71" s="391"/>
      <c r="U71" s="391"/>
      <c r="V71" s="391"/>
      <c r="W71" s="391"/>
      <c r="X71" s="391"/>
      <c r="Y71" s="391"/>
      <c r="Z71" s="391"/>
    </row>
    <row r="72" spans="1:26" s="48" customFormat="1" x14ac:dyDescent="0.25">
      <c r="A72" s="429"/>
      <c r="B72" s="176" t="s">
        <v>348</v>
      </c>
      <c r="C72" s="176">
        <v>60</v>
      </c>
      <c r="D72" s="164">
        <v>1.25</v>
      </c>
      <c r="E72" s="164">
        <v>0</v>
      </c>
      <c r="F72" s="164">
        <v>0.875</v>
      </c>
      <c r="G72" s="164">
        <v>4</v>
      </c>
      <c r="H72" s="165">
        <v>158.75</v>
      </c>
      <c r="I72" s="165">
        <v>111</v>
      </c>
      <c r="J72" s="180">
        <v>159</v>
      </c>
      <c r="K72" s="181">
        <v>207</v>
      </c>
      <c r="L72" s="391"/>
      <c r="M72" s="439"/>
      <c r="N72" s="391"/>
      <c r="O72" s="437"/>
      <c r="P72" s="438"/>
      <c r="Q72" s="440"/>
      <c r="R72" s="392"/>
      <c r="S72" s="391"/>
      <c r="T72" s="391"/>
      <c r="U72" s="391"/>
      <c r="V72" s="391"/>
      <c r="W72" s="391"/>
      <c r="X72" s="391"/>
      <c r="Y72" s="391"/>
      <c r="Z72" s="391"/>
    </row>
    <row r="73" spans="1:26" s="48" customFormat="1" ht="16.5" customHeight="1" x14ac:dyDescent="0.25">
      <c r="A73" s="429"/>
      <c r="B73" s="176" t="s">
        <v>349</v>
      </c>
      <c r="C73" s="176">
        <v>120</v>
      </c>
      <c r="D73" s="164">
        <v>1.25</v>
      </c>
      <c r="E73" s="164">
        <v>0</v>
      </c>
      <c r="F73" s="164">
        <v>1.125</v>
      </c>
      <c r="G73" s="164">
        <v>3</v>
      </c>
      <c r="H73" s="165">
        <v>110.73</v>
      </c>
      <c r="I73" s="165">
        <v>66</v>
      </c>
      <c r="J73" s="180">
        <v>111.25</v>
      </c>
      <c r="K73" s="181">
        <v>149</v>
      </c>
      <c r="L73" s="391"/>
      <c r="M73" s="439"/>
      <c r="N73" s="391"/>
      <c r="O73" s="437"/>
      <c r="P73" s="440"/>
      <c r="Q73" s="441"/>
      <c r="R73" s="392"/>
      <c r="S73" s="391"/>
      <c r="T73" s="391"/>
      <c r="U73" s="391"/>
      <c r="V73" s="391"/>
      <c r="W73" s="391"/>
      <c r="X73" s="391"/>
      <c r="Y73" s="391"/>
      <c r="Z73" s="391"/>
    </row>
    <row r="74" spans="1:26" s="48" customFormat="1" x14ac:dyDescent="0.25">
      <c r="A74" s="429"/>
      <c r="B74" s="182" t="s">
        <v>350</v>
      </c>
      <c r="C74" s="182">
        <v>121</v>
      </c>
      <c r="D74" s="170">
        <v>0.2857142857142857</v>
      </c>
      <c r="E74" s="170">
        <v>0</v>
      </c>
      <c r="F74" s="170">
        <v>0.17849999999999999</v>
      </c>
      <c r="G74" s="170">
        <v>1</v>
      </c>
      <c r="H74" s="171">
        <v>66.709999999999994</v>
      </c>
      <c r="I74" s="171">
        <v>40</v>
      </c>
      <c r="J74" s="127">
        <v>66.064999999999998</v>
      </c>
      <c r="K74" s="183">
        <v>96</v>
      </c>
      <c r="L74" s="391"/>
      <c r="M74" s="439"/>
      <c r="N74" s="391"/>
      <c r="O74" s="437"/>
      <c r="P74" s="440"/>
      <c r="Q74" s="441"/>
      <c r="R74" s="392"/>
      <c r="S74" s="391"/>
      <c r="T74" s="391"/>
      <c r="U74" s="391"/>
      <c r="V74" s="391"/>
      <c r="W74" s="391"/>
      <c r="X74" s="391"/>
      <c r="Y74" s="391"/>
      <c r="Z74" s="391"/>
    </row>
    <row r="75" spans="1:26" s="48" customFormat="1" x14ac:dyDescent="0.25">
      <c r="A75" s="429"/>
      <c r="B75" s="407" t="s">
        <v>351</v>
      </c>
      <c r="C75" s="391"/>
      <c r="D75" s="438"/>
      <c r="E75" s="438"/>
      <c r="F75" s="392"/>
      <c r="G75" s="392"/>
      <c r="H75" s="392"/>
      <c r="I75" s="392"/>
      <c r="J75" s="391"/>
      <c r="K75" s="392"/>
      <c r="L75" s="392"/>
      <c r="M75" s="392"/>
      <c r="N75" s="435"/>
      <c r="O75" s="436"/>
      <c r="P75" s="391"/>
      <c r="Q75" s="391"/>
      <c r="R75" s="391"/>
      <c r="S75" s="391"/>
      <c r="T75" s="391"/>
      <c r="U75" s="391"/>
      <c r="V75" s="391"/>
      <c r="W75" s="391"/>
      <c r="X75" s="391"/>
      <c r="Y75" s="391"/>
      <c r="Z75" s="391"/>
    </row>
    <row r="76" spans="1:26" s="48" customFormat="1" x14ac:dyDescent="0.25">
      <c r="A76" s="429"/>
      <c r="B76" s="407" t="s">
        <v>352</v>
      </c>
      <c r="C76" s="391"/>
      <c r="D76" s="438"/>
      <c r="E76" s="438"/>
      <c r="F76" s="392"/>
      <c r="G76" s="392"/>
      <c r="H76" s="392"/>
      <c r="I76" s="392"/>
      <c r="J76" s="391"/>
      <c r="K76" s="392"/>
      <c r="L76" s="392"/>
      <c r="M76" s="392"/>
      <c r="N76" s="435"/>
      <c r="O76" s="436"/>
      <c r="P76" s="391"/>
      <c r="Q76" s="391"/>
      <c r="R76" s="391"/>
      <c r="S76" s="391"/>
      <c r="T76" s="391"/>
      <c r="U76" s="391"/>
      <c r="V76" s="391"/>
      <c r="W76" s="391"/>
      <c r="X76" s="391"/>
      <c r="Y76" s="391"/>
      <c r="Z76" s="391"/>
    </row>
    <row r="77" spans="1:26" s="48" customFormat="1" x14ac:dyDescent="0.25">
      <c r="A77" s="429"/>
      <c r="B77" s="451" t="s">
        <v>353</v>
      </c>
      <c r="C77" s="391"/>
      <c r="D77" s="438"/>
      <c r="E77" s="438"/>
      <c r="F77" s="392"/>
      <c r="G77" s="392"/>
      <c r="H77" s="392"/>
      <c r="I77" s="392"/>
      <c r="J77" s="391"/>
      <c r="K77" s="392"/>
      <c r="L77" s="392"/>
      <c r="M77" s="392"/>
      <c r="N77" s="435"/>
      <c r="O77" s="436"/>
      <c r="P77" s="391"/>
      <c r="Q77" s="391"/>
      <c r="R77" s="391"/>
      <c r="S77" s="391"/>
      <c r="T77" s="391"/>
      <c r="U77" s="391"/>
      <c r="V77" s="391"/>
      <c r="W77" s="391"/>
      <c r="X77" s="391"/>
      <c r="Y77" s="391"/>
      <c r="Z77" s="391"/>
    </row>
    <row r="78" spans="1:26" s="48" customFormat="1" x14ac:dyDescent="0.25">
      <c r="A78" s="429"/>
      <c r="B78" s="390" t="s">
        <v>333</v>
      </c>
      <c r="C78" s="391"/>
      <c r="D78" s="438"/>
      <c r="E78" s="438"/>
      <c r="F78" s="392"/>
      <c r="G78" s="392"/>
      <c r="H78" s="392"/>
      <c r="I78" s="392"/>
      <c r="J78" s="391"/>
      <c r="K78" s="392"/>
      <c r="L78" s="392"/>
      <c r="M78" s="392"/>
      <c r="N78" s="435"/>
      <c r="O78" s="436"/>
      <c r="P78" s="391"/>
      <c r="Q78" s="391"/>
      <c r="R78" s="391"/>
      <c r="S78" s="391"/>
      <c r="T78" s="391"/>
      <c r="U78" s="391"/>
      <c r="V78" s="391"/>
      <c r="W78" s="391"/>
      <c r="X78" s="391"/>
      <c r="Y78" s="391"/>
      <c r="Z78" s="391"/>
    </row>
    <row r="79" spans="1:26" s="48" customFormat="1" x14ac:dyDescent="0.25">
      <c r="A79" s="429"/>
      <c r="B79" s="390" t="s">
        <v>354</v>
      </c>
      <c r="C79" s="438"/>
      <c r="D79" s="438"/>
      <c r="E79" s="438"/>
      <c r="F79" s="392"/>
      <c r="G79" s="392"/>
      <c r="H79" s="392"/>
      <c r="I79" s="392"/>
      <c r="J79" s="391"/>
      <c r="K79" s="392"/>
      <c r="L79" s="392"/>
      <c r="M79" s="392"/>
      <c r="N79" s="435"/>
      <c r="O79" s="436"/>
      <c r="P79" s="391"/>
      <c r="Q79" s="391"/>
      <c r="R79" s="391"/>
      <c r="S79" s="391"/>
      <c r="T79" s="391"/>
      <c r="U79" s="391"/>
      <c r="V79" s="391"/>
      <c r="W79" s="391"/>
      <c r="X79" s="391"/>
      <c r="Y79" s="391"/>
      <c r="Z79" s="391"/>
    </row>
    <row r="80" spans="1:26" s="48" customFormat="1" x14ac:dyDescent="0.25">
      <c r="A80" s="429"/>
      <c r="B80" s="390"/>
      <c r="C80" s="438"/>
      <c r="D80" s="438"/>
      <c r="E80" s="438"/>
      <c r="F80" s="392"/>
      <c r="G80" s="392"/>
      <c r="H80" s="392"/>
      <c r="I80" s="392"/>
      <c r="J80" s="391"/>
      <c r="K80" s="392"/>
      <c r="L80" s="392"/>
      <c r="M80" s="392"/>
      <c r="N80" s="435"/>
      <c r="O80" s="436"/>
      <c r="P80" s="391"/>
      <c r="Q80" s="391"/>
      <c r="R80" s="391"/>
      <c r="S80" s="391"/>
      <c r="T80" s="391"/>
      <c r="U80" s="391"/>
      <c r="V80" s="391"/>
      <c r="W80" s="391"/>
      <c r="X80" s="391"/>
      <c r="Y80" s="391"/>
      <c r="Z80" s="391"/>
    </row>
    <row r="81" spans="1:26" x14ac:dyDescent="0.25">
      <c r="A81" s="403" t="s">
        <v>179</v>
      </c>
      <c r="B81" s="403" t="s">
        <v>355</v>
      </c>
      <c r="C81" s="389"/>
      <c r="D81" s="389"/>
      <c r="E81" s="388"/>
      <c r="F81" s="388"/>
      <c r="G81" s="388"/>
      <c r="H81" s="388"/>
      <c r="I81" s="388"/>
      <c r="J81" s="389"/>
      <c r="K81" s="389"/>
      <c r="L81" s="389"/>
      <c r="M81" s="389"/>
      <c r="N81" s="426"/>
      <c r="O81" s="427"/>
      <c r="P81" s="388"/>
      <c r="Q81" s="388"/>
      <c r="R81" s="388"/>
      <c r="S81" s="388"/>
      <c r="T81" s="388"/>
      <c r="U81" s="388"/>
      <c r="V81" s="388"/>
      <c r="W81" s="388"/>
      <c r="X81" s="388"/>
      <c r="Y81" s="388"/>
      <c r="Z81" s="388"/>
    </row>
    <row r="82" spans="1:26" ht="26.25" x14ac:dyDescent="0.25">
      <c r="A82" s="403"/>
      <c r="B82" s="86"/>
      <c r="C82" s="86"/>
      <c r="D82" s="173" t="s">
        <v>356</v>
      </c>
      <c r="E82" s="173" t="s">
        <v>356</v>
      </c>
      <c r="F82" s="173" t="s">
        <v>356</v>
      </c>
      <c r="G82" s="173" t="s">
        <v>356</v>
      </c>
      <c r="H82" s="153" t="s">
        <v>357</v>
      </c>
      <c r="I82" s="153" t="s">
        <v>357</v>
      </c>
      <c r="J82" s="153" t="s">
        <v>357</v>
      </c>
      <c r="K82" s="153" t="s">
        <v>357</v>
      </c>
      <c r="L82" s="173" t="s">
        <v>217</v>
      </c>
      <c r="M82" s="173" t="s">
        <v>217</v>
      </c>
      <c r="N82" s="173" t="s">
        <v>217</v>
      </c>
      <c r="O82" s="174" t="s">
        <v>217</v>
      </c>
      <c r="P82" s="388"/>
      <c r="Q82" s="388"/>
      <c r="R82" s="388"/>
      <c r="S82" s="388"/>
      <c r="T82" s="388"/>
      <c r="U82" s="388"/>
      <c r="V82" s="388"/>
      <c r="W82" s="388"/>
      <c r="X82" s="388"/>
      <c r="Y82" s="388"/>
      <c r="Z82" s="388"/>
    </row>
    <row r="83" spans="1:26" x14ac:dyDescent="0.25">
      <c r="A83" s="403"/>
      <c r="B83" s="101"/>
      <c r="C83" s="101"/>
      <c r="D83" s="19">
        <v>6</v>
      </c>
      <c r="E83" s="19">
        <v>6</v>
      </c>
      <c r="F83" s="19">
        <v>6</v>
      </c>
      <c r="G83" s="19">
        <v>6</v>
      </c>
      <c r="H83" s="55">
        <v>7</v>
      </c>
      <c r="I83" s="55">
        <v>7</v>
      </c>
      <c r="J83" s="19">
        <v>7</v>
      </c>
      <c r="K83" s="55">
        <v>7</v>
      </c>
      <c r="L83" s="18">
        <v>8</v>
      </c>
      <c r="M83" s="18">
        <v>8</v>
      </c>
      <c r="N83" s="33">
        <v>8</v>
      </c>
      <c r="O83" s="175">
        <v>8</v>
      </c>
      <c r="P83" s="388"/>
      <c r="Q83" s="388"/>
      <c r="R83" s="388"/>
      <c r="S83" s="388"/>
      <c r="T83" s="388"/>
      <c r="U83" s="388"/>
      <c r="V83" s="388"/>
      <c r="W83" s="388"/>
      <c r="X83" s="388"/>
      <c r="Y83" s="388"/>
      <c r="Z83" s="388"/>
    </row>
    <row r="84" spans="1:26" ht="38.25" x14ac:dyDescent="0.25">
      <c r="A84" s="388"/>
      <c r="B84" s="176" t="s">
        <v>18</v>
      </c>
      <c r="C84" s="176" t="s">
        <v>18</v>
      </c>
      <c r="D84" s="184" t="s">
        <v>336</v>
      </c>
      <c r="E84" s="184" t="s">
        <v>358</v>
      </c>
      <c r="F84" s="184" t="s">
        <v>359</v>
      </c>
      <c r="G84" s="184" t="s">
        <v>360</v>
      </c>
      <c r="H84" s="160" t="s">
        <v>361</v>
      </c>
      <c r="I84" s="160" t="s">
        <v>362</v>
      </c>
      <c r="J84" s="117" t="s">
        <v>363</v>
      </c>
      <c r="K84" s="160" t="s">
        <v>364</v>
      </c>
      <c r="L84" s="160" t="s">
        <v>361</v>
      </c>
      <c r="M84" s="160" t="s">
        <v>362</v>
      </c>
      <c r="N84" s="160" t="s">
        <v>338</v>
      </c>
      <c r="O84" s="185" t="s">
        <v>365</v>
      </c>
      <c r="P84" s="388"/>
      <c r="Q84" s="388"/>
      <c r="R84" s="388"/>
      <c r="S84" s="388"/>
      <c r="T84" s="388"/>
      <c r="U84" s="388"/>
      <c r="V84" s="388"/>
      <c r="W84" s="388"/>
      <c r="X84" s="388"/>
      <c r="Y84" s="388"/>
      <c r="Z84" s="388"/>
    </row>
    <row r="85" spans="1:26" ht="27" customHeight="1" x14ac:dyDescent="0.25">
      <c r="A85" s="388"/>
      <c r="B85" s="176"/>
      <c r="C85" s="176"/>
      <c r="D85" s="177" t="s">
        <v>366</v>
      </c>
      <c r="E85" s="177" t="s">
        <v>367</v>
      </c>
      <c r="F85" s="177" t="s">
        <v>368</v>
      </c>
      <c r="G85" s="177" t="s">
        <v>369</v>
      </c>
      <c r="H85" s="161" t="s">
        <v>370</v>
      </c>
      <c r="I85" s="161" t="s">
        <v>371</v>
      </c>
      <c r="J85" s="177" t="s">
        <v>372</v>
      </c>
      <c r="K85" s="161" t="s">
        <v>373</v>
      </c>
      <c r="L85" s="161" t="s">
        <v>374</v>
      </c>
      <c r="M85" s="161" t="s">
        <v>375</v>
      </c>
      <c r="N85" s="161" t="s">
        <v>376</v>
      </c>
      <c r="O85" s="162" t="s">
        <v>377</v>
      </c>
      <c r="P85" s="388"/>
      <c r="Q85" s="388"/>
      <c r="R85" s="388"/>
      <c r="S85" s="388"/>
      <c r="T85" s="388"/>
      <c r="U85" s="388"/>
      <c r="V85" s="388"/>
      <c r="W85" s="388"/>
      <c r="X85" s="388"/>
      <c r="Y85" s="388"/>
      <c r="Z85" s="388"/>
    </row>
    <row r="86" spans="1:26" x14ac:dyDescent="0.25">
      <c r="A86" s="388"/>
      <c r="B86" s="179" t="s">
        <v>378</v>
      </c>
      <c r="C86" s="186">
        <v>6</v>
      </c>
      <c r="D86" s="147">
        <v>73.466800000000006</v>
      </c>
      <c r="E86" s="147">
        <v>55.5</v>
      </c>
      <c r="F86" s="165">
        <v>70.95</v>
      </c>
      <c r="G86" s="147">
        <v>101.5</v>
      </c>
      <c r="H86" s="187"/>
      <c r="I86" s="187"/>
      <c r="J86" s="188"/>
      <c r="K86" s="188"/>
      <c r="L86" s="188"/>
      <c r="M86" s="188"/>
      <c r="N86" s="189"/>
      <c r="O86" s="190"/>
      <c r="P86" s="388"/>
      <c r="Q86" s="388"/>
      <c r="R86" s="388"/>
      <c r="S86" s="388"/>
      <c r="T86" s="394"/>
      <c r="U86" s="394"/>
      <c r="V86" s="388"/>
      <c r="W86" s="388"/>
      <c r="X86" s="388"/>
      <c r="Y86" s="388"/>
      <c r="Z86" s="388"/>
    </row>
    <row r="87" spans="1:26" x14ac:dyDescent="0.25">
      <c r="A87" s="388"/>
      <c r="B87" s="191" t="s">
        <v>379</v>
      </c>
      <c r="C87" s="191">
        <v>7</v>
      </c>
      <c r="D87" s="147">
        <v>168.07575757575799</v>
      </c>
      <c r="E87" s="147">
        <v>69.8</v>
      </c>
      <c r="F87" s="164">
        <v>163.92</v>
      </c>
      <c r="G87" s="147">
        <v>283</v>
      </c>
      <c r="H87" s="192"/>
      <c r="I87" s="192"/>
      <c r="J87" s="192"/>
      <c r="K87" s="192"/>
      <c r="L87" s="193"/>
      <c r="M87" s="193"/>
      <c r="N87" s="192"/>
      <c r="O87" s="194"/>
      <c r="P87" s="388"/>
      <c r="Q87" s="388"/>
      <c r="R87" s="388"/>
      <c r="S87" s="388"/>
      <c r="T87" s="388"/>
      <c r="U87" s="388"/>
      <c r="V87" s="388"/>
      <c r="W87" s="388"/>
      <c r="X87" s="388"/>
      <c r="Y87" s="388"/>
      <c r="Z87" s="388"/>
    </row>
    <row r="88" spans="1:26" x14ac:dyDescent="0.25">
      <c r="A88" s="388"/>
      <c r="B88" s="191" t="s">
        <v>181</v>
      </c>
      <c r="C88" s="191">
        <v>6</v>
      </c>
      <c r="D88" s="195"/>
      <c r="E88" s="195"/>
      <c r="F88" s="192"/>
      <c r="G88" s="195"/>
      <c r="H88" s="164">
        <v>100</v>
      </c>
      <c r="I88" s="164">
        <v>50</v>
      </c>
      <c r="J88" s="164">
        <v>87.5</v>
      </c>
      <c r="K88" s="164">
        <v>200</v>
      </c>
      <c r="L88" s="196">
        <f>L92/2</f>
        <v>25.248096583967346</v>
      </c>
      <c r="M88" s="196">
        <f>M92/2</f>
        <v>12.5</v>
      </c>
      <c r="N88" s="165">
        <v>21.95</v>
      </c>
      <c r="O88" s="181">
        <f>O92/2</f>
        <v>50</v>
      </c>
      <c r="P88" s="388"/>
      <c r="Q88" s="388"/>
      <c r="R88" s="388"/>
      <c r="S88" s="388"/>
      <c r="T88" s="388"/>
      <c r="U88" s="388"/>
      <c r="V88" s="388"/>
      <c r="W88" s="388"/>
      <c r="X88" s="388"/>
      <c r="Y88" s="388"/>
      <c r="Z88" s="388"/>
    </row>
    <row r="89" spans="1:26" x14ac:dyDescent="0.25">
      <c r="A89" s="388"/>
      <c r="B89" s="176" t="s">
        <v>326</v>
      </c>
      <c r="C89" s="176">
        <v>12</v>
      </c>
      <c r="D89" s="197"/>
      <c r="E89" s="197"/>
      <c r="F89" s="197"/>
      <c r="G89" s="197"/>
      <c r="H89" s="164">
        <f t="shared" ref="H89:M91" si="0">H88+((H$92-H$88)/4)</f>
        <v>125</v>
      </c>
      <c r="I89" s="164">
        <f t="shared" si="0"/>
        <v>62.5</v>
      </c>
      <c r="J89" s="164">
        <f t="shared" si="0"/>
        <v>103.125</v>
      </c>
      <c r="K89" s="164">
        <f t="shared" si="0"/>
        <v>275</v>
      </c>
      <c r="L89" s="164">
        <f t="shared" si="0"/>
        <v>31.560120729959181</v>
      </c>
      <c r="M89" s="164">
        <f t="shared" si="0"/>
        <v>15.625</v>
      </c>
      <c r="N89" s="164">
        <v>27.44</v>
      </c>
      <c r="O89" s="198">
        <f>O88+((O$92-O$88)/4)</f>
        <v>62.5</v>
      </c>
      <c r="P89" s="388"/>
      <c r="Q89" s="388"/>
      <c r="R89" s="388"/>
      <c r="S89" s="388"/>
      <c r="T89" s="394"/>
      <c r="U89" s="388"/>
      <c r="V89" s="388"/>
      <c r="W89" s="388"/>
      <c r="X89" s="388"/>
      <c r="Y89" s="388"/>
      <c r="Z89" s="388"/>
    </row>
    <row r="90" spans="1:26" x14ac:dyDescent="0.25">
      <c r="A90" s="388"/>
      <c r="B90" s="176" t="s">
        <v>327</v>
      </c>
      <c r="C90" s="176">
        <v>18</v>
      </c>
      <c r="D90" s="197"/>
      <c r="E90" s="197"/>
      <c r="F90" s="197"/>
      <c r="G90" s="197"/>
      <c r="H90" s="164">
        <f t="shared" si="0"/>
        <v>150</v>
      </c>
      <c r="I90" s="164">
        <f t="shared" si="0"/>
        <v>75</v>
      </c>
      <c r="J90" s="164">
        <f t="shared" si="0"/>
        <v>118.75</v>
      </c>
      <c r="K90" s="164">
        <f t="shared" si="0"/>
        <v>350</v>
      </c>
      <c r="L90" s="164">
        <f t="shared" si="0"/>
        <v>37.872144875951015</v>
      </c>
      <c r="M90" s="164">
        <f t="shared" si="0"/>
        <v>18.75</v>
      </c>
      <c r="N90" s="164">
        <v>32.92</v>
      </c>
      <c r="O90" s="198">
        <f>O89+((O$92-O$88)/4)</f>
        <v>75</v>
      </c>
      <c r="P90" s="388"/>
      <c r="Q90" s="388"/>
      <c r="R90" s="388"/>
      <c r="S90" s="388"/>
      <c r="T90" s="394"/>
      <c r="U90" s="388"/>
      <c r="V90" s="388"/>
      <c r="W90" s="388"/>
      <c r="X90" s="388"/>
      <c r="Y90" s="388"/>
      <c r="Z90" s="388"/>
    </row>
    <row r="91" spans="1:26" x14ac:dyDescent="0.25">
      <c r="A91" s="388"/>
      <c r="B91" s="176" t="s">
        <v>328</v>
      </c>
      <c r="C91" s="176">
        <v>24</v>
      </c>
      <c r="D91" s="197"/>
      <c r="E91" s="197"/>
      <c r="F91" s="197"/>
      <c r="G91" s="197"/>
      <c r="H91" s="164">
        <f t="shared" si="0"/>
        <v>175</v>
      </c>
      <c r="I91" s="164">
        <f t="shared" si="0"/>
        <v>87.5</v>
      </c>
      <c r="J91" s="164">
        <f t="shared" si="0"/>
        <v>134.375</v>
      </c>
      <c r="K91" s="164">
        <f t="shared" si="0"/>
        <v>425</v>
      </c>
      <c r="L91" s="164">
        <f t="shared" si="0"/>
        <v>44.18416902194285</v>
      </c>
      <c r="M91" s="164">
        <f t="shared" si="0"/>
        <v>21.875</v>
      </c>
      <c r="N91" s="164">
        <v>38.42</v>
      </c>
      <c r="O91" s="198">
        <f>O90+((O$92-O$88)/4)</f>
        <v>87.5</v>
      </c>
      <c r="P91" s="388"/>
      <c r="Q91" s="388"/>
      <c r="R91" s="388"/>
      <c r="S91" s="388"/>
      <c r="T91" s="394"/>
      <c r="U91" s="388"/>
      <c r="V91" s="388"/>
      <c r="W91" s="388"/>
      <c r="X91" s="388"/>
      <c r="Y91" s="388"/>
      <c r="Z91" s="388"/>
    </row>
    <row r="92" spans="1:26" x14ac:dyDescent="0.25">
      <c r="A92" s="388"/>
      <c r="B92" s="199" t="s">
        <v>19</v>
      </c>
      <c r="C92" s="199">
        <v>25</v>
      </c>
      <c r="D92" s="200"/>
      <c r="E92" s="200"/>
      <c r="F92" s="200"/>
      <c r="G92" s="200"/>
      <c r="H92" s="170">
        <v>200</v>
      </c>
      <c r="I92" s="170">
        <v>100</v>
      </c>
      <c r="J92" s="170">
        <v>150</v>
      </c>
      <c r="K92" s="170">
        <v>500</v>
      </c>
      <c r="L92" s="127">
        <f>G103</f>
        <v>50.496193167934692</v>
      </c>
      <c r="M92" s="127">
        <v>25</v>
      </c>
      <c r="N92" s="170">
        <v>43.9</v>
      </c>
      <c r="O92" s="201">
        <v>100</v>
      </c>
      <c r="P92" s="388"/>
      <c r="Q92" s="388"/>
      <c r="R92" s="388"/>
      <c r="S92" s="388"/>
      <c r="T92" s="394"/>
      <c r="U92" s="388"/>
      <c r="V92" s="388"/>
      <c r="W92" s="388"/>
      <c r="X92" s="388"/>
      <c r="Y92" s="388"/>
      <c r="Z92" s="388"/>
    </row>
    <row r="93" spans="1:26" x14ac:dyDescent="0.25">
      <c r="A93" s="388"/>
      <c r="B93" s="407" t="s">
        <v>380</v>
      </c>
      <c r="C93" s="392"/>
      <c r="D93" s="395"/>
      <c r="E93" s="388"/>
      <c r="F93" s="388"/>
      <c r="G93" s="388"/>
      <c r="H93" s="388"/>
      <c r="I93" s="388"/>
      <c r="J93" s="389"/>
      <c r="K93" s="389"/>
      <c r="L93" s="389"/>
      <c r="M93" s="389"/>
      <c r="N93" s="426"/>
      <c r="O93" s="427"/>
      <c r="P93" s="388"/>
      <c r="Q93" s="388"/>
      <c r="R93" s="388"/>
      <c r="S93" s="388"/>
      <c r="T93" s="388"/>
      <c r="U93" s="388"/>
      <c r="V93" s="388"/>
      <c r="W93" s="388"/>
      <c r="X93" s="388"/>
      <c r="Y93" s="388"/>
    </row>
    <row r="94" spans="1:26" x14ac:dyDescent="0.25">
      <c r="A94" s="388"/>
      <c r="B94" s="445" t="s">
        <v>381</v>
      </c>
      <c r="C94" s="392"/>
      <c r="D94" s="395"/>
      <c r="E94" s="388"/>
      <c r="F94" s="388"/>
      <c r="G94" s="388"/>
      <c r="H94" s="388" t="s">
        <v>182</v>
      </c>
      <c r="I94" s="388"/>
      <c r="J94" s="389"/>
      <c r="K94" s="389"/>
      <c r="L94" s="389"/>
      <c r="M94" s="389"/>
      <c r="N94" s="426"/>
      <c r="O94" s="427"/>
      <c r="P94" s="388"/>
      <c r="Q94" s="388"/>
      <c r="R94" s="388"/>
      <c r="S94" s="388"/>
      <c r="T94" s="388"/>
      <c r="U94" s="388"/>
      <c r="V94" s="388"/>
      <c r="W94" s="388"/>
      <c r="X94" s="388"/>
      <c r="Y94" s="388"/>
    </row>
    <row r="95" spans="1:26" x14ac:dyDescent="0.25">
      <c r="A95" s="388"/>
      <c r="B95" s="445" t="s">
        <v>382</v>
      </c>
      <c r="C95" s="392"/>
      <c r="D95" s="395"/>
      <c r="E95" s="388"/>
      <c r="F95" s="388"/>
      <c r="G95" s="388"/>
      <c r="H95" s="388"/>
      <c r="I95" s="388"/>
      <c r="J95" s="389"/>
      <c r="K95" s="389"/>
      <c r="L95" s="389"/>
      <c r="M95" s="389"/>
      <c r="N95" s="426"/>
      <c r="O95" s="427"/>
      <c r="P95" s="388"/>
      <c r="Q95" s="388"/>
      <c r="R95" s="388"/>
      <c r="S95" s="388"/>
      <c r="T95" s="388"/>
      <c r="U95" s="388"/>
      <c r="V95" s="388"/>
      <c r="W95" s="388"/>
      <c r="X95" s="388"/>
      <c r="Y95" s="388"/>
    </row>
    <row r="96" spans="1:26" x14ac:dyDescent="0.25">
      <c r="A96" s="388"/>
      <c r="B96" s="390" t="s">
        <v>354</v>
      </c>
      <c r="C96" s="389"/>
      <c r="D96" s="389"/>
      <c r="E96" s="388"/>
      <c r="F96" s="388"/>
      <c r="G96" s="388"/>
      <c r="H96" s="388"/>
      <c r="I96" s="388"/>
      <c r="J96" s="389"/>
      <c r="K96" s="389"/>
      <c r="L96" s="389"/>
      <c r="M96" s="389"/>
      <c r="N96" s="426"/>
      <c r="O96" s="427"/>
      <c r="P96" s="388"/>
      <c r="Q96" s="388"/>
      <c r="R96" s="388"/>
      <c r="S96" s="388"/>
      <c r="T96" s="388"/>
      <c r="U96" s="388"/>
      <c r="V96" s="388"/>
      <c r="W96" s="388"/>
      <c r="X96" s="388"/>
      <c r="Y96" s="388"/>
    </row>
    <row r="97" spans="1:25" x14ac:dyDescent="0.25">
      <c r="A97" s="388"/>
      <c r="B97" s="390"/>
      <c r="C97" s="389"/>
      <c r="D97" s="389"/>
      <c r="E97" s="388"/>
      <c r="F97" s="388"/>
      <c r="G97" s="388"/>
      <c r="H97" s="388"/>
      <c r="I97" s="388"/>
      <c r="J97" s="389"/>
      <c r="K97" s="389"/>
      <c r="L97" s="389"/>
      <c r="M97" s="389"/>
      <c r="N97" s="426"/>
      <c r="O97" s="427"/>
      <c r="P97" s="388"/>
      <c r="Q97" s="388"/>
      <c r="R97" s="388"/>
      <c r="S97" s="388"/>
      <c r="T97" s="388"/>
      <c r="U97" s="388"/>
      <c r="V97" s="388"/>
      <c r="W97" s="388"/>
      <c r="X97" s="388"/>
      <c r="Y97" s="388"/>
    </row>
    <row r="98" spans="1:25" x14ac:dyDescent="0.25">
      <c r="A98" s="403" t="s">
        <v>185</v>
      </c>
      <c r="B98" s="403" t="s">
        <v>383</v>
      </c>
      <c r="C98" s="389"/>
      <c r="D98" s="389"/>
      <c r="E98" s="388"/>
      <c r="F98" s="388"/>
      <c r="G98" s="388"/>
      <c r="H98" s="391"/>
      <c r="I98" s="388"/>
      <c r="J98" s="389"/>
      <c r="K98" s="389"/>
      <c r="L98" s="389"/>
      <c r="M98" s="389"/>
      <c r="N98" s="426"/>
      <c r="O98" s="427"/>
      <c r="P98" s="388"/>
      <c r="Q98" s="388"/>
      <c r="R98" s="388"/>
      <c r="S98" s="388"/>
      <c r="T98" s="388"/>
      <c r="U98" s="388"/>
      <c r="V98" s="388"/>
      <c r="W98" s="388"/>
      <c r="X98" s="388"/>
      <c r="Y98" s="388"/>
    </row>
    <row r="99" spans="1:25" ht="26.25" x14ac:dyDescent="0.25">
      <c r="A99" s="388"/>
      <c r="B99" s="26"/>
      <c r="C99" s="153" t="s">
        <v>384</v>
      </c>
      <c r="D99" s="153" t="s">
        <v>385</v>
      </c>
      <c r="E99" s="153" t="s">
        <v>386</v>
      </c>
      <c r="F99" s="153" t="s">
        <v>387</v>
      </c>
      <c r="G99" s="70" t="s">
        <v>388</v>
      </c>
      <c r="H99" s="432"/>
      <c r="I99" s="388"/>
      <c r="J99" s="389"/>
      <c r="K99" s="389"/>
      <c r="L99" s="389"/>
      <c r="M99" s="389"/>
      <c r="N99" s="426"/>
      <c r="O99" s="442"/>
      <c r="P99" s="395"/>
      <c r="Q99" s="388"/>
      <c r="R99" s="388"/>
      <c r="S99" s="388"/>
      <c r="T99" s="388"/>
      <c r="U99" s="388"/>
      <c r="V99" s="388"/>
      <c r="W99" s="388"/>
      <c r="X99" s="388"/>
      <c r="Y99" s="388"/>
    </row>
    <row r="100" spans="1:25" x14ac:dyDescent="0.25">
      <c r="A100" s="388"/>
      <c r="B100" s="15"/>
      <c r="C100" s="18">
        <v>8</v>
      </c>
      <c r="D100" s="55">
        <v>8</v>
      </c>
      <c r="E100" s="55">
        <v>8</v>
      </c>
      <c r="F100" s="55">
        <v>8</v>
      </c>
      <c r="G100" s="202">
        <v>8</v>
      </c>
      <c r="H100" s="392"/>
      <c r="I100" s="388"/>
      <c r="J100" s="388"/>
      <c r="K100" s="388"/>
      <c r="L100" s="388"/>
      <c r="M100" s="388"/>
      <c r="N100" s="388"/>
      <c r="O100" s="442"/>
      <c r="P100" s="388"/>
      <c r="Q100" s="388"/>
      <c r="R100" s="388"/>
      <c r="S100" s="388"/>
      <c r="T100" s="388"/>
      <c r="U100" s="388"/>
      <c r="V100" s="388"/>
      <c r="W100" s="388"/>
      <c r="X100" s="388"/>
      <c r="Y100" s="388"/>
    </row>
    <row r="101" spans="1:25" x14ac:dyDescent="0.25">
      <c r="A101" s="388"/>
      <c r="B101" s="203" t="s">
        <v>389</v>
      </c>
      <c r="C101" s="55">
        <f>((3.5+4)/2)/100</f>
        <v>3.7499999999999999E-2</v>
      </c>
      <c r="D101" s="55">
        <f>C101/2</f>
        <v>1.8749999999999999E-2</v>
      </c>
      <c r="E101" s="55">
        <f>1.5/100</f>
        <v>1.4999999999999999E-2</v>
      </c>
      <c r="F101" s="37">
        <f>PI()*(D101)^2*E101</f>
        <v>1.6566992509164926E-5</v>
      </c>
      <c r="G101" s="181">
        <f>F101*1000000</f>
        <v>16.566992509164926</v>
      </c>
      <c r="H101" s="449"/>
      <c r="I101" s="388"/>
      <c r="J101" s="389"/>
      <c r="K101" s="389"/>
      <c r="L101" s="389"/>
      <c r="M101" s="389"/>
      <c r="N101" s="426"/>
      <c r="O101" s="439"/>
      <c r="P101" s="388"/>
      <c r="Q101" s="388"/>
      <c r="R101" s="388"/>
      <c r="S101" s="388"/>
      <c r="T101" s="388"/>
      <c r="U101" s="388"/>
      <c r="V101" s="388"/>
      <c r="W101" s="388"/>
      <c r="X101" s="388"/>
      <c r="Y101" s="388"/>
    </row>
    <row r="102" spans="1:25" x14ac:dyDescent="0.25">
      <c r="A102" s="388"/>
      <c r="B102" s="204" t="s">
        <v>390</v>
      </c>
      <c r="C102" s="84">
        <f>6/100</f>
        <v>0.06</v>
      </c>
      <c r="D102" s="84">
        <f>C102/2</f>
        <v>0.03</v>
      </c>
      <c r="E102" s="84">
        <f>1.2/100</f>
        <v>1.2E-2</v>
      </c>
      <c r="F102" s="205">
        <f>PI()*(D102)^2*E102</f>
        <v>3.3929200658769765E-5</v>
      </c>
      <c r="G102" s="171">
        <f>F102*1000000</f>
        <v>33.929200658769766</v>
      </c>
      <c r="H102" s="450"/>
      <c r="I102" s="388"/>
      <c r="J102" s="389"/>
      <c r="K102" s="389"/>
      <c r="L102" s="389"/>
      <c r="M102" s="389"/>
      <c r="N102" s="426"/>
      <c r="O102" s="397"/>
      <c r="P102" s="388"/>
      <c r="Q102" s="388"/>
      <c r="R102" s="388"/>
      <c r="S102" s="388"/>
      <c r="T102" s="388"/>
      <c r="U102" s="388"/>
      <c r="V102" s="388"/>
      <c r="W102" s="388"/>
      <c r="X102" s="388"/>
      <c r="Y102" s="388"/>
    </row>
    <row r="103" spans="1:25" s="2" customFormat="1" x14ac:dyDescent="0.25">
      <c r="A103" s="388"/>
      <c r="B103" s="407" t="s">
        <v>391</v>
      </c>
      <c r="C103" s="389"/>
      <c r="D103" s="389"/>
      <c r="E103" s="389"/>
      <c r="F103" s="430"/>
      <c r="G103" s="207">
        <f>G101+G102</f>
        <v>50.496193167934692</v>
      </c>
      <c r="H103" s="430"/>
      <c r="I103" s="388"/>
      <c r="J103" s="388"/>
      <c r="K103" s="388"/>
      <c r="L103" s="388"/>
      <c r="M103" s="388"/>
      <c r="N103" s="388"/>
      <c r="O103" s="439"/>
      <c r="P103" s="388"/>
      <c r="Q103" s="388"/>
      <c r="R103" s="388"/>
      <c r="S103" s="388"/>
      <c r="T103" s="388"/>
      <c r="U103" s="388"/>
      <c r="V103" s="388"/>
      <c r="W103" s="388"/>
      <c r="X103" s="388"/>
      <c r="Y103" s="388"/>
    </row>
    <row r="104" spans="1:25" x14ac:dyDescent="0.25">
      <c r="A104" s="388"/>
      <c r="B104" s="448" t="s">
        <v>392</v>
      </c>
      <c r="C104" s="389"/>
      <c r="D104" s="389"/>
      <c r="E104" s="388"/>
      <c r="F104" s="388"/>
      <c r="G104" s="388"/>
      <c r="H104" s="388"/>
      <c r="I104" s="388"/>
      <c r="J104" s="389"/>
      <c r="K104" s="389"/>
      <c r="L104" s="389"/>
      <c r="M104" s="389"/>
      <c r="N104" s="426"/>
      <c r="O104" s="427"/>
      <c r="P104" s="388"/>
      <c r="Q104" s="388"/>
      <c r="R104" s="388"/>
      <c r="S104" s="388"/>
      <c r="T104" s="388"/>
      <c r="U104" s="388"/>
      <c r="V104" s="388"/>
      <c r="W104" s="388"/>
      <c r="X104" s="388"/>
      <c r="Y104" s="388"/>
    </row>
    <row r="105" spans="1:25" x14ac:dyDescent="0.25">
      <c r="A105" s="388"/>
      <c r="B105" s="407" t="s">
        <v>393</v>
      </c>
      <c r="C105" s="389"/>
      <c r="D105" s="389"/>
      <c r="E105" s="388"/>
      <c r="F105" s="388"/>
      <c r="G105" s="388"/>
      <c r="H105" s="388"/>
      <c r="I105" s="388"/>
      <c r="J105" s="389"/>
      <c r="K105" s="389"/>
      <c r="L105" s="389"/>
      <c r="M105" s="389"/>
      <c r="N105" s="426"/>
      <c r="O105" s="427"/>
      <c r="P105" s="388"/>
      <c r="Q105" s="388"/>
      <c r="R105" s="388"/>
      <c r="S105" s="388"/>
      <c r="T105" s="388"/>
      <c r="U105" s="388"/>
      <c r="V105" s="388"/>
      <c r="W105" s="388"/>
      <c r="X105" s="388"/>
      <c r="Y105" s="388"/>
    </row>
    <row r="106" spans="1:25" x14ac:dyDescent="0.25">
      <c r="A106" s="388"/>
      <c r="B106" s="407"/>
      <c r="C106" s="389"/>
      <c r="D106" s="389"/>
      <c r="E106" s="388"/>
      <c r="F106" s="388"/>
      <c r="G106" s="388"/>
      <c r="H106" s="388"/>
      <c r="I106" s="388"/>
      <c r="J106" s="389"/>
      <c r="K106" s="389"/>
      <c r="L106" s="389"/>
      <c r="M106" s="389"/>
      <c r="N106" s="426"/>
      <c r="O106" s="427"/>
      <c r="P106" s="388"/>
      <c r="Q106" s="388"/>
      <c r="R106" s="388"/>
      <c r="S106" s="388"/>
      <c r="T106" s="388"/>
      <c r="U106" s="388"/>
      <c r="V106" s="388"/>
      <c r="W106" s="388"/>
      <c r="X106" s="388"/>
      <c r="Y106" s="388"/>
    </row>
    <row r="107" spans="1:25" x14ac:dyDescent="0.25">
      <c r="A107" s="403" t="s">
        <v>195</v>
      </c>
      <c r="B107" s="429" t="s">
        <v>394</v>
      </c>
      <c r="C107" s="389"/>
      <c r="D107" s="389"/>
      <c r="E107" s="388"/>
      <c r="F107" s="388"/>
      <c r="G107" s="388"/>
      <c r="H107" s="388"/>
      <c r="I107" s="388"/>
      <c r="J107" s="389"/>
      <c r="K107" s="389"/>
      <c r="L107" s="389"/>
      <c r="M107" s="389"/>
      <c r="N107" s="426"/>
      <c r="O107" s="427"/>
      <c r="P107" s="388"/>
      <c r="Q107" s="388"/>
      <c r="R107" s="388"/>
      <c r="S107" s="388"/>
      <c r="T107" s="388"/>
      <c r="U107" s="388"/>
      <c r="V107" s="388"/>
      <c r="W107" s="388"/>
      <c r="X107" s="388"/>
      <c r="Y107" s="388"/>
    </row>
    <row r="108" spans="1:25" x14ac:dyDescent="0.25">
      <c r="A108" s="388"/>
      <c r="B108" s="26"/>
      <c r="C108" s="476" t="s">
        <v>384</v>
      </c>
      <c r="D108" s="477"/>
      <c r="E108" s="476" t="s">
        <v>385</v>
      </c>
      <c r="F108" s="477"/>
      <c r="G108" s="478" t="s">
        <v>395</v>
      </c>
      <c r="H108" s="479"/>
      <c r="I108" s="388"/>
      <c r="J108" s="389"/>
      <c r="K108" s="426"/>
      <c r="L108" s="426"/>
      <c r="M108" s="426"/>
      <c r="N108" s="427"/>
      <c r="O108" s="428"/>
      <c r="P108" s="388"/>
      <c r="Q108" s="388"/>
      <c r="R108" s="388"/>
      <c r="S108" s="388"/>
      <c r="T108" s="388"/>
      <c r="U108" s="388"/>
      <c r="V108" s="388"/>
      <c r="W108" s="388"/>
      <c r="X108" s="388"/>
      <c r="Y108" s="388"/>
    </row>
    <row r="109" spans="1:25" x14ac:dyDescent="0.25">
      <c r="A109" s="388"/>
      <c r="B109" s="15"/>
      <c r="C109" s="18" t="s">
        <v>223</v>
      </c>
      <c r="D109" s="55" t="s">
        <v>225</v>
      </c>
      <c r="E109" s="55" t="s">
        <v>223</v>
      </c>
      <c r="F109" s="55" t="s">
        <v>225</v>
      </c>
      <c r="G109" s="19" t="s">
        <v>223</v>
      </c>
      <c r="H109" s="208" t="s">
        <v>225</v>
      </c>
      <c r="I109" s="388"/>
      <c r="J109" s="389"/>
      <c r="K109" s="426"/>
      <c r="L109" s="426"/>
      <c r="M109" s="426"/>
      <c r="N109" s="427"/>
      <c r="O109" s="428"/>
      <c r="P109" s="388"/>
      <c r="Q109" s="388"/>
      <c r="R109" s="388"/>
      <c r="S109" s="388"/>
      <c r="T109" s="388"/>
      <c r="U109" s="388"/>
      <c r="V109" s="388"/>
      <c r="W109" s="388"/>
      <c r="X109" s="388"/>
      <c r="Y109" s="388"/>
    </row>
    <row r="110" spans="1:25" x14ac:dyDescent="0.25">
      <c r="A110" s="388"/>
      <c r="B110" s="15"/>
      <c r="C110" s="18"/>
      <c r="D110" s="55"/>
      <c r="E110" s="76" t="s">
        <v>396</v>
      </c>
      <c r="F110" s="76" t="s">
        <v>396</v>
      </c>
      <c r="G110" s="206" t="s">
        <v>397</v>
      </c>
      <c r="H110" s="209" t="s">
        <v>398</v>
      </c>
      <c r="I110" s="388"/>
      <c r="J110" s="389"/>
      <c r="K110" s="426"/>
      <c r="L110" s="426"/>
      <c r="M110" s="426"/>
      <c r="N110" s="427"/>
      <c r="O110" s="428"/>
      <c r="P110" s="388"/>
      <c r="Q110" s="388"/>
      <c r="R110" s="388"/>
      <c r="S110" s="388"/>
      <c r="T110" s="388"/>
      <c r="U110" s="388"/>
      <c r="V110" s="388"/>
      <c r="W110" s="388"/>
      <c r="X110" s="388"/>
      <c r="Y110" s="388"/>
    </row>
    <row r="111" spans="1:25" x14ac:dyDescent="0.25">
      <c r="A111" s="388"/>
      <c r="B111" s="203" t="s">
        <v>2</v>
      </c>
      <c r="C111" s="55">
        <f>3.2/100</f>
        <v>3.2000000000000001E-2</v>
      </c>
      <c r="D111" s="55">
        <f>5.2/100</f>
        <v>5.2000000000000005E-2</v>
      </c>
      <c r="E111" s="55">
        <f>C111/2</f>
        <v>1.6E-2</v>
      </c>
      <c r="F111" s="55">
        <f>D111/2</f>
        <v>2.6000000000000002E-2</v>
      </c>
      <c r="G111" s="192"/>
      <c r="H111" s="194"/>
      <c r="I111" s="388"/>
      <c r="J111" s="389"/>
      <c r="K111" s="426"/>
      <c r="L111" s="426"/>
      <c r="M111" s="426"/>
      <c r="N111" s="427"/>
      <c r="O111" s="428"/>
      <c r="P111" s="388"/>
      <c r="Q111" s="388"/>
      <c r="R111" s="388"/>
      <c r="S111" s="388"/>
      <c r="T111" s="388"/>
      <c r="U111" s="388"/>
      <c r="V111" s="388"/>
      <c r="W111" s="388"/>
      <c r="X111" s="388"/>
      <c r="Y111" s="388"/>
    </row>
    <row r="112" spans="1:25" s="2" customFormat="1" x14ac:dyDescent="0.25">
      <c r="A112" s="388"/>
      <c r="B112" s="204" t="s">
        <v>4</v>
      </c>
      <c r="C112" s="200"/>
      <c r="D112" s="200"/>
      <c r="E112" s="200"/>
      <c r="F112" s="200"/>
      <c r="G112" s="210">
        <f>60/10000</f>
        <v>6.0000000000000001E-3</v>
      </c>
      <c r="H112" s="211">
        <f>80/10000</f>
        <v>8.0000000000000002E-3</v>
      </c>
      <c r="I112" s="388"/>
      <c r="J112" s="388"/>
      <c r="K112" s="426"/>
      <c r="L112" s="426"/>
      <c r="M112" s="426"/>
      <c r="N112" s="427"/>
      <c r="O112" s="428"/>
      <c r="P112" s="388"/>
      <c r="Q112" s="388"/>
      <c r="R112" s="388"/>
      <c r="S112" s="388"/>
      <c r="T112" s="388"/>
      <c r="U112" s="388"/>
      <c r="V112" s="388"/>
      <c r="W112" s="388"/>
      <c r="X112" s="388"/>
      <c r="Y112" s="388"/>
    </row>
    <row r="113" spans="1:26" s="2" customFormat="1" x14ac:dyDescent="0.25">
      <c r="A113" s="388"/>
      <c r="B113" s="388" t="s">
        <v>399</v>
      </c>
      <c r="C113" s="392"/>
      <c r="D113" s="392"/>
      <c r="E113" s="392"/>
      <c r="F113" s="392"/>
      <c r="G113" s="392"/>
      <c r="H113" s="392"/>
      <c r="I113" s="392"/>
      <c r="J113" s="394"/>
      <c r="K113" s="394"/>
      <c r="L113" s="394"/>
      <c r="M113" s="394"/>
      <c r="N113" s="426"/>
      <c r="O113" s="427"/>
      <c r="P113" s="388"/>
      <c r="Q113" s="388"/>
      <c r="R113" s="388"/>
      <c r="S113" s="388"/>
      <c r="T113" s="388"/>
      <c r="U113" s="388"/>
      <c r="V113" s="388"/>
      <c r="W113" s="388"/>
      <c r="X113" s="388"/>
      <c r="Y113" s="388"/>
    </row>
    <row r="114" spans="1:26" s="2" customFormat="1" x14ac:dyDescent="0.25">
      <c r="A114" s="388"/>
      <c r="B114" s="407" t="s">
        <v>400</v>
      </c>
      <c r="C114" s="392"/>
      <c r="D114" s="392"/>
      <c r="E114" s="392"/>
      <c r="F114" s="392"/>
      <c r="G114" s="392"/>
      <c r="H114" s="392"/>
      <c r="I114" s="392"/>
      <c r="J114" s="394"/>
      <c r="K114" s="394"/>
      <c r="L114" s="394"/>
      <c r="M114" s="394"/>
      <c r="N114" s="426"/>
      <c r="O114" s="427"/>
      <c r="P114" s="388"/>
      <c r="Q114" s="388"/>
      <c r="R114" s="388"/>
      <c r="S114" s="388"/>
      <c r="T114" s="388"/>
      <c r="U114" s="388"/>
      <c r="V114" s="388"/>
      <c r="W114" s="388"/>
      <c r="X114" s="388"/>
      <c r="Y114" s="388"/>
    </row>
    <row r="115" spans="1:26" x14ac:dyDescent="0.25">
      <c r="A115" s="388"/>
      <c r="B115" s="388"/>
      <c r="C115" s="389"/>
      <c r="D115" s="389"/>
      <c r="E115" s="388"/>
      <c r="F115" s="388"/>
      <c r="G115" s="388"/>
      <c r="H115" s="388"/>
      <c r="I115" s="388"/>
      <c r="J115" s="389"/>
      <c r="K115" s="389"/>
      <c r="L115" s="389"/>
      <c r="M115" s="389"/>
      <c r="N115" s="426"/>
      <c r="O115" s="427"/>
      <c r="P115" s="388"/>
      <c r="Q115" s="388"/>
      <c r="R115" s="388"/>
      <c r="S115" s="388"/>
      <c r="T115" s="388"/>
      <c r="U115" s="388"/>
      <c r="V115" s="388"/>
      <c r="W115" s="388"/>
      <c r="X115" s="388"/>
      <c r="Y115" s="388"/>
    </row>
    <row r="116" spans="1:26" s="2" customFormat="1" x14ac:dyDescent="0.25">
      <c r="A116" s="403" t="s">
        <v>401</v>
      </c>
      <c r="B116" s="403" t="s">
        <v>402</v>
      </c>
      <c r="C116" s="426"/>
      <c r="D116" s="389"/>
      <c r="E116" s="388"/>
      <c r="F116" s="407"/>
      <c r="G116" s="407"/>
      <c r="H116" s="407"/>
      <c r="I116" s="392"/>
      <c r="J116" s="389"/>
      <c r="K116" s="389"/>
      <c r="L116" s="389"/>
      <c r="M116" s="389"/>
      <c r="N116" s="426"/>
      <c r="O116" s="443"/>
      <c r="P116" s="388"/>
      <c r="Q116" s="388"/>
      <c r="R116" s="388"/>
      <c r="S116" s="388"/>
      <c r="T116" s="388"/>
      <c r="U116" s="388"/>
      <c r="V116" s="388"/>
      <c r="W116" s="388"/>
      <c r="X116" s="388"/>
      <c r="Y116" s="388"/>
    </row>
    <row r="117" spans="1:26" s="2" customFormat="1" x14ac:dyDescent="0.25">
      <c r="A117" s="403"/>
      <c r="B117" s="403"/>
      <c r="C117" s="426"/>
      <c r="D117" s="389"/>
      <c r="E117" s="388"/>
      <c r="F117" s="407"/>
      <c r="G117" s="407"/>
      <c r="H117" s="407"/>
      <c r="I117" s="388"/>
      <c r="J117" s="389"/>
      <c r="K117" s="389"/>
      <c r="L117" s="389"/>
      <c r="M117" s="389"/>
      <c r="N117" s="426"/>
      <c r="O117" s="427"/>
      <c r="P117" s="388"/>
      <c r="Q117" s="388"/>
      <c r="R117" s="388"/>
      <c r="S117" s="388"/>
      <c r="T117" s="388"/>
      <c r="U117" s="388"/>
      <c r="V117" s="388"/>
      <c r="W117" s="388"/>
      <c r="X117" s="388"/>
      <c r="Y117" s="388"/>
    </row>
    <row r="118" spans="1:26" s="2" customFormat="1" x14ac:dyDescent="0.25">
      <c r="A118" s="403"/>
      <c r="B118" s="407" t="s">
        <v>403</v>
      </c>
      <c r="C118" s="426"/>
      <c r="D118" s="389"/>
      <c r="E118" s="388"/>
      <c r="F118" s="407"/>
      <c r="G118" s="407"/>
      <c r="H118" s="407"/>
      <c r="I118" s="407"/>
      <c r="J118" s="388"/>
      <c r="K118" s="389"/>
      <c r="L118" s="389"/>
      <c r="M118" s="389"/>
      <c r="N118" s="444"/>
      <c r="O118" s="445"/>
      <c r="P118" s="389"/>
      <c r="Q118" s="388"/>
      <c r="R118" s="407"/>
      <c r="S118" s="407"/>
      <c r="T118" s="388"/>
      <c r="U118" s="388"/>
      <c r="V118" s="388"/>
      <c r="W118" s="388"/>
      <c r="X118" s="388"/>
      <c r="Y118" s="388"/>
    </row>
    <row r="119" spans="1:26" s="2" customFormat="1" x14ac:dyDescent="0.25">
      <c r="A119" s="403"/>
      <c r="B119" s="407"/>
      <c r="C119" s="473" t="s">
        <v>404</v>
      </c>
      <c r="D119" s="474"/>
      <c r="E119" s="474"/>
      <c r="F119" s="474"/>
      <c r="G119" s="474"/>
      <c r="H119" s="474"/>
      <c r="I119" s="474"/>
      <c r="J119" s="388"/>
      <c r="K119" s="388"/>
      <c r="L119" s="388"/>
      <c r="M119" s="388"/>
      <c r="N119" s="388"/>
      <c r="O119" s="388"/>
      <c r="P119" s="388"/>
      <c r="Q119" s="388"/>
      <c r="R119" s="388"/>
      <c r="S119" s="407"/>
      <c r="T119" s="388"/>
      <c r="U119" s="388"/>
      <c r="V119" s="388"/>
      <c r="W119" s="388"/>
      <c r="X119" s="388"/>
      <c r="Y119" s="388"/>
    </row>
    <row r="120" spans="1:26" x14ac:dyDescent="0.25">
      <c r="A120" s="388"/>
      <c r="B120" s="407"/>
      <c r="C120" s="391"/>
      <c r="D120" s="392"/>
      <c r="E120" s="391"/>
      <c r="F120" s="391"/>
      <c r="G120" s="391"/>
      <c r="H120" s="391"/>
      <c r="I120" s="391"/>
      <c r="J120" s="391"/>
      <c r="K120" s="392"/>
      <c r="L120" s="392"/>
      <c r="M120" s="392"/>
      <c r="N120" s="435"/>
      <c r="O120" s="437"/>
      <c r="P120" s="391"/>
      <c r="Q120" s="388"/>
      <c r="R120" s="388"/>
      <c r="S120" s="388"/>
      <c r="T120" s="388"/>
      <c r="U120" s="388"/>
      <c r="V120" s="388"/>
      <c r="W120" s="388"/>
      <c r="X120" s="388"/>
      <c r="Y120" s="388"/>
    </row>
    <row r="121" spans="1:26" x14ac:dyDescent="0.25">
      <c r="A121" s="407"/>
      <c r="B121" s="407" t="s">
        <v>405</v>
      </c>
      <c r="C121" s="212" t="s">
        <v>406</v>
      </c>
      <c r="D121" s="213" t="str">
        <f ca="1">"Formula / see Tables below in "&amp;CELL("address",$K$21)</f>
        <v>Formula / see Tables below in $K$21</v>
      </c>
      <c r="E121" s="213" t="str">
        <f ca="1">"Formula in "&amp;CELL("address",$K$29)</f>
        <v>Formula in $K$29</v>
      </c>
      <c r="F121" s="391"/>
      <c r="G121" s="391"/>
      <c r="H121" s="391"/>
      <c r="I121" s="391"/>
      <c r="J121" s="391"/>
      <c r="K121" s="392"/>
      <c r="L121" s="392"/>
      <c r="M121" s="392"/>
      <c r="N121" s="435"/>
      <c r="O121" s="437"/>
      <c r="P121" s="391"/>
      <c r="Q121" s="388"/>
      <c r="R121" s="388"/>
      <c r="S121" s="388"/>
      <c r="T121" s="388"/>
      <c r="U121" s="388"/>
      <c r="V121" s="388"/>
      <c r="W121" s="388"/>
      <c r="X121" s="388"/>
      <c r="Y121" s="388"/>
    </row>
    <row r="122" spans="1:26" x14ac:dyDescent="0.25">
      <c r="A122" s="407"/>
      <c r="B122" s="407"/>
      <c r="C122" s="213" t="str">
        <f ca="1">"Formula / see Tables below in "&amp;CELL("address",$K$21)</f>
        <v>Formula / see Tables below in $K$21</v>
      </c>
      <c r="D122" s="214">
        <v>1</v>
      </c>
      <c r="E122" s="215"/>
      <c r="F122" s="391"/>
      <c r="G122" s="391"/>
      <c r="H122" s="391"/>
      <c r="I122" s="391"/>
      <c r="J122" s="391"/>
      <c r="K122" s="392"/>
      <c r="L122" s="392"/>
      <c r="M122" s="392"/>
      <c r="N122" s="435"/>
      <c r="O122" s="437"/>
      <c r="P122" s="391"/>
      <c r="Q122" s="388"/>
      <c r="R122" s="388"/>
      <c r="S122" s="388"/>
      <c r="T122" s="388"/>
      <c r="U122" s="388"/>
      <c r="V122" s="388"/>
      <c r="W122" s="388"/>
      <c r="X122" s="388"/>
      <c r="Y122" s="388"/>
    </row>
    <row r="123" spans="1:26" s="2" customFormat="1" x14ac:dyDescent="0.25">
      <c r="A123" s="403"/>
      <c r="B123" s="388"/>
      <c r="C123" s="213" t="str">
        <f ca="1">"Formula in "&amp;CELL("address",$K$29)</f>
        <v>Formula in $K$29</v>
      </c>
      <c r="D123" s="216">
        <v>0.9</v>
      </c>
      <c r="E123" s="217">
        <v>1</v>
      </c>
      <c r="F123" s="388"/>
      <c r="G123" s="388"/>
      <c r="H123" s="388"/>
      <c r="I123" s="428"/>
      <c r="J123" s="388"/>
      <c r="K123" s="388"/>
      <c r="L123" s="388"/>
      <c r="M123" s="388"/>
      <c r="N123" s="388"/>
      <c r="O123" s="388"/>
      <c r="P123" s="388"/>
      <c r="Q123" s="388"/>
      <c r="R123" s="388"/>
      <c r="S123" s="388"/>
      <c r="T123" s="388"/>
      <c r="U123" s="388"/>
      <c r="V123" s="388"/>
      <c r="W123" s="388"/>
      <c r="X123" s="388"/>
      <c r="Y123" s="388"/>
    </row>
    <row r="124" spans="1:26" s="2" customFormat="1" x14ac:dyDescent="0.25">
      <c r="A124" s="403"/>
      <c r="B124" s="388"/>
      <c r="C124" s="447"/>
      <c r="D124" s="446"/>
      <c r="E124" s="446"/>
      <c r="F124" s="388"/>
      <c r="G124" s="388"/>
      <c r="H124" s="388"/>
      <c r="I124" s="428"/>
      <c r="J124" s="388"/>
      <c r="K124" s="388"/>
      <c r="L124" s="388"/>
      <c r="M124" s="388"/>
      <c r="N124" s="388"/>
      <c r="O124" s="388"/>
      <c r="P124" s="388"/>
      <c r="Q124" s="388"/>
      <c r="R124" s="388"/>
      <c r="S124" s="388"/>
      <c r="T124" s="388"/>
      <c r="U124" s="388"/>
      <c r="V124" s="388"/>
      <c r="W124" s="388"/>
      <c r="X124" s="388"/>
      <c r="Y124" s="388"/>
    </row>
    <row r="125" spans="1:26" s="2" customFormat="1" x14ac:dyDescent="0.25">
      <c r="A125" s="403"/>
      <c r="B125" s="388"/>
      <c r="C125" s="473" t="s">
        <v>407</v>
      </c>
      <c r="D125" s="474"/>
      <c r="E125" s="474"/>
      <c r="F125" s="474"/>
      <c r="G125" s="474"/>
      <c r="H125" s="474"/>
      <c r="I125" s="474"/>
      <c r="J125" s="388"/>
      <c r="K125" s="388"/>
      <c r="L125" s="388"/>
      <c r="M125" s="388"/>
      <c r="N125" s="388"/>
      <c r="O125" s="388"/>
      <c r="P125" s="388"/>
      <c r="Q125" s="388"/>
      <c r="R125" s="388"/>
      <c r="S125" s="388"/>
      <c r="T125" s="388"/>
      <c r="U125" s="388"/>
      <c r="V125" s="388"/>
      <c r="W125" s="388"/>
      <c r="X125" s="388"/>
      <c r="Y125" s="388"/>
    </row>
    <row r="126" spans="1:26" s="2" customFormat="1" x14ac:dyDescent="0.25">
      <c r="A126" s="388"/>
      <c r="B126" s="388"/>
      <c r="C126" s="388"/>
      <c r="D126" s="388"/>
      <c r="E126" s="388"/>
      <c r="F126" s="388"/>
      <c r="G126" s="388"/>
      <c r="H126" s="388"/>
      <c r="I126" s="428"/>
      <c r="J126" s="388"/>
      <c r="K126" s="388"/>
      <c r="L126" s="388"/>
      <c r="M126" s="388"/>
      <c r="N126" s="388"/>
      <c r="O126" s="388"/>
      <c r="P126" s="388"/>
      <c r="Q126" s="388"/>
      <c r="R126" s="388"/>
      <c r="S126" s="388"/>
      <c r="T126" s="388"/>
      <c r="U126" s="388"/>
      <c r="V126" s="388"/>
      <c r="W126" s="388"/>
      <c r="X126" s="388"/>
      <c r="Y126" s="388"/>
    </row>
    <row r="127" spans="1:26" s="2" customFormat="1" x14ac:dyDescent="0.25">
      <c r="A127" s="388"/>
      <c r="B127" s="388" t="s">
        <v>408</v>
      </c>
      <c r="C127" s="212" t="s">
        <v>406</v>
      </c>
      <c r="D127" s="213" t="str">
        <f ca="1">"Length(PP1+PP3i,a) / Value in "&amp;CELL("address",$K$26)</f>
        <v>Length(PP1+PP3i,a) / Value in $K$26</v>
      </c>
      <c r="E127" s="213" t="str">
        <f ca="1">"Weight(PP1+PP3i,a) / Value in "&amp;CELL("address",$K$30)</f>
        <v>Weight(PP1+PP3i,a) / Value in $K$30</v>
      </c>
      <c r="F127" s="213" t="str">
        <f ca="1">"Weight(PP2+PP3ii,a) / Value in "&amp;CELL("address",$K$33)</f>
        <v>Weight(PP2+PP3ii,a) / Value in $K$33</v>
      </c>
      <c r="G127" s="388"/>
      <c r="H127" s="388"/>
      <c r="I127" s="428"/>
      <c r="J127" s="388"/>
      <c r="K127" s="388"/>
      <c r="L127" s="388"/>
      <c r="M127" s="388"/>
      <c r="N127" s="388"/>
      <c r="O127" s="388"/>
      <c r="P127" s="388"/>
      <c r="Q127" s="388"/>
      <c r="R127" s="388"/>
      <c r="S127" s="388"/>
      <c r="T127" s="388"/>
      <c r="U127" s="388"/>
      <c r="V127" s="388"/>
      <c r="W127" s="388"/>
      <c r="X127" s="388"/>
      <c r="Y127" s="388"/>
    </row>
    <row r="128" spans="1:26" s="2" customFormat="1" x14ac:dyDescent="0.25">
      <c r="A128" s="388"/>
      <c r="B128" s="388"/>
      <c r="C128" s="213" t="str">
        <f ca="1">"Length(PP1+PP3i,a) / Value in "&amp;CELL("address",$K$26)</f>
        <v>Length(PP1+PP3i,a) / Value in $K$26</v>
      </c>
      <c r="D128" s="214">
        <v>1</v>
      </c>
      <c r="E128" s="215"/>
      <c r="F128" s="215"/>
      <c r="G128" s="388"/>
      <c r="H128" s="388"/>
      <c r="I128" s="428"/>
      <c r="J128" s="388"/>
      <c r="K128" s="388"/>
      <c r="L128" s="388"/>
      <c r="M128" s="388"/>
      <c r="N128" s="388"/>
      <c r="O128" s="388"/>
      <c r="P128" s="388"/>
      <c r="Q128" s="388"/>
      <c r="R128" s="388"/>
      <c r="S128" s="388"/>
      <c r="T128" s="388"/>
      <c r="U128" s="388"/>
      <c r="V128" s="388"/>
      <c r="W128" s="388"/>
      <c r="X128" s="388"/>
      <c r="Y128" s="388"/>
      <c r="Z128" s="388"/>
    </row>
    <row r="129" spans="1:26" s="2" customFormat="1" x14ac:dyDescent="0.25">
      <c r="A129" s="388"/>
      <c r="B129" s="388"/>
      <c r="C129" s="213" t="str">
        <f ca="1">"Weight(PP1+PP3i,a) / Value in "&amp;CELL("address",$K$30)</f>
        <v>Weight(PP1+PP3i,a) / Value in $K$30</v>
      </c>
      <c r="D129" s="216">
        <v>0.9</v>
      </c>
      <c r="E129" s="217">
        <v>1</v>
      </c>
      <c r="F129" s="217"/>
      <c r="G129" s="388"/>
      <c r="H129" s="388"/>
      <c r="I129" s="428"/>
      <c r="J129" s="388"/>
      <c r="K129" s="388"/>
      <c r="L129" s="388"/>
      <c r="M129" s="388"/>
      <c r="N129" s="388"/>
      <c r="O129" s="388"/>
      <c r="P129" s="388"/>
      <c r="Q129" s="388"/>
      <c r="R129" s="388"/>
      <c r="S129" s="388"/>
      <c r="T129" s="388"/>
      <c r="U129" s="388"/>
      <c r="V129" s="388"/>
      <c r="W129" s="388"/>
      <c r="X129" s="388"/>
      <c r="Y129" s="388"/>
      <c r="Z129" s="388"/>
    </row>
    <row r="130" spans="1:26" s="2" customFormat="1" x14ac:dyDescent="0.25">
      <c r="A130" s="388"/>
      <c r="B130" s="388"/>
      <c r="C130" s="213" t="str">
        <f ca="1">"Weight(PP2+PP3ii,a) / Value in "&amp;CELL("address",$K$33)</f>
        <v>Weight(PP2+PP3ii,a) / Value in $K$33</v>
      </c>
      <c r="D130" s="216">
        <v>0.9</v>
      </c>
      <c r="E130" s="217">
        <v>0.9</v>
      </c>
      <c r="F130" s="217">
        <v>1</v>
      </c>
      <c r="G130" s="388"/>
      <c r="H130" s="388"/>
      <c r="I130" s="427"/>
      <c r="J130" s="388"/>
      <c r="K130" s="388"/>
      <c r="L130" s="388"/>
      <c r="M130" s="388"/>
      <c r="N130" s="388"/>
      <c r="O130" s="388"/>
      <c r="P130" s="388"/>
      <c r="Q130" s="388"/>
      <c r="R130" s="388"/>
      <c r="S130" s="388"/>
      <c r="T130" s="388"/>
      <c r="U130" s="388"/>
      <c r="V130" s="388"/>
      <c r="W130" s="388"/>
      <c r="X130" s="388"/>
      <c r="Y130" s="388"/>
      <c r="Z130" s="388"/>
    </row>
    <row r="131" spans="1:26" s="2" customFormat="1" x14ac:dyDescent="0.25">
      <c r="A131" s="388"/>
      <c r="B131" s="388"/>
      <c r="C131" s="447"/>
      <c r="D131" s="446"/>
      <c r="E131" s="446"/>
      <c r="F131" s="446"/>
      <c r="G131" s="388"/>
      <c r="H131" s="388"/>
      <c r="I131" s="427"/>
      <c r="J131" s="388"/>
      <c r="K131" s="388"/>
      <c r="L131" s="388"/>
      <c r="M131" s="388"/>
      <c r="N131" s="388"/>
      <c r="O131" s="388"/>
      <c r="P131" s="388"/>
      <c r="Q131" s="388"/>
      <c r="R131" s="388"/>
      <c r="S131" s="388"/>
      <c r="T131" s="388"/>
      <c r="U131" s="388"/>
      <c r="V131" s="388"/>
      <c r="W131" s="388"/>
      <c r="X131" s="388"/>
      <c r="Y131" s="388"/>
      <c r="Z131" s="388"/>
    </row>
    <row r="132" spans="1:26" x14ac:dyDescent="0.25">
      <c r="A132" s="388"/>
      <c r="B132" s="388"/>
      <c r="C132" s="445" t="s">
        <v>409</v>
      </c>
      <c r="D132" s="389"/>
      <c r="E132" s="388"/>
      <c r="F132" s="388"/>
      <c r="G132" s="388"/>
      <c r="H132" s="388"/>
      <c r="I132" s="427"/>
      <c r="J132" s="388"/>
      <c r="K132" s="388"/>
      <c r="L132" s="388"/>
      <c r="M132" s="388"/>
      <c r="N132" s="388"/>
      <c r="O132" s="388"/>
      <c r="P132" s="388"/>
      <c r="Q132" s="388"/>
      <c r="R132" s="388"/>
      <c r="S132" s="388"/>
      <c r="T132" s="388"/>
      <c r="U132" s="388"/>
      <c r="V132" s="388"/>
      <c r="W132" s="388"/>
      <c r="X132" s="388"/>
      <c r="Y132" s="388"/>
      <c r="Z132" s="388"/>
    </row>
    <row r="133" spans="1:26" x14ac:dyDescent="0.25">
      <c r="A133" s="388"/>
      <c r="B133" s="388"/>
      <c r="C133" s="389"/>
      <c r="D133" s="389"/>
      <c r="E133" s="388"/>
      <c r="F133" s="388"/>
      <c r="G133" s="388"/>
      <c r="H133" s="388"/>
      <c r="I133" s="427"/>
      <c r="J133" s="388"/>
      <c r="K133" s="388"/>
      <c r="L133" s="388"/>
      <c r="M133" s="388"/>
      <c r="N133" s="388"/>
      <c r="O133" s="388"/>
      <c r="P133" s="388"/>
      <c r="Q133" s="388"/>
      <c r="R133" s="388"/>
      <c r="S133" s="388"/>
      <c r="T133" s="388"/>
      <c r="U133" s="388"/>
      <c r="V133" s="388"/>
      <c r="W133" s="388"/>
      <c r="X133" s="388"/>
      <c r="Y133" s="388"/>
      <c r="Z133" s="388"/>
    </row>
    <row r="134" spans="1:26" x14ac:dyDescent="0.25">
      <c r="A134" s="388"/>
      <c r="B134" s="388" t="s">
        <v>408</v>
      </c>
      <c r="C134" s="212" t="s">
        <v>406</v>
      </c>
      <c r="D134" s="213" t="str">
        <f ca="1">"Weight(7,a) / Value in "&amp;CELL("address",$K$37)</f>
        <v>Weight(7,a) / Value in $K$37</v>
      </c>
      <c r="E134" s="213" t="str">
        <f ca="1">"Weight(8,a) / Value in "&amp;CELL("address",$K$38)</f>
        <v>Weight(8,a) / Value in $K$38</v>
      </c>
      <c r="F134" s="388"/>
      <c r="G134" s="388"/>
      <c r="H134" s="388"/>
      <c r="I134" s="428"/>
      <c r="J134" s="388"/>
      <c r="K134" s="388"/>
      <c r="L134" s="388"/>
      <c r="M134" s="388"/>
      <c r="N134" s="388"/>
      <c r="O134" s="388"/>
      <c r="P134" s="388"/>
      <c r="Q134" s="388"/>
      <c r="R134" s="388"/>
      <c r="S134" s="388"/>
      <c r="T134" s="388"/>
      <c r="U134" s="388"/>
      <c r="V134" s="388"/>
      <c r="W134" s="388"/>
      <c r="X134" s="388"/>
      <c r="Y134" s="388"/>
      <c r="Z134" s="388"/>
    </row>
    <row r="135" spans="1:26" x14ac:dyDescent="0.25">
      <c r="A135" s="388"/>
      <c r="B135" s="388"/>
      <c r="C135" s="213" t="str">
        <f ca="1">"Weight(7,a) / Value in "&amp;CELL("address",$K$37)</f>
        <v>Weight(7,a) / Value in $K$37</v>
      </c>
      <c r="D135" s="214">
        <v>1</v>
      </c>
      <c r="E135" s="215"/>
      <c r="F135" s="388"/>
      <c r="G135" s="388"/>
      <c r="H135" s="388"/>
      <c r="I135" s="428"/>
      <c r="J135" s="388"/>
      <c r="K135" s="388"/>
      <c r="L135" s="388"/>
      <c r="M135" s="388"/>
      <c r="N135" s="388"/>
      <c r="O135" s="388"/>
      <c r="P135" s="388"/>
      <c r="Q135" s="388"/>
      <c r="R135" s="388"/>
      <c r="S135" s="388"/>
      <c r="T135" s="388"/>
      <c r="U135" s="388"/>
      <c r="V135" s="388"/>
      <c r="W135" s="388"/>
      <c r="X135" s="388"/>
      <c r="Y135" s="388"/>
      <c r="Z135" s="388"/>
    </row>
    <row r="136" spans="1:26" x14ac:dyDescent="0.25">
      <c r="A136" s="388"/>
      <c r="B136" s="388"/>
      <c r="C136" s="213" t="str">
        <f ca="1">"Weight(8,a) / Value in "&amp;CELL("address",$K$38)</f>
        <v>Weight(8,a) / Value in $K$38</v>
      </c>
      <c r="D136" s="216">
        <v>0.9</v>
      </c>
      <c r="E136" s="217">
        <v>1</v>
      </c>
      <c r="F136" s="388"/>
      <c r="G136" s="388"/>
      <c r="H136" s="388"/>
      <c r="I136" s="427"/>
      <c r="J136" s="388"/>
      <c r="K136" s="388"/>
      <c r="L136" s="388"/>
      <c r="M136" s="388"/>
      <c r="N136" s="388"/>
      <c r="O136" s="388"/>
      <c r="P136" s="388"/>
      <c r="Q136" s="388"/>
      <c r="R136" s="388"/>
      <c r="S136" s="388"/>
      <c r="T136" s="388"/>
      <c r="U136" s="388"/>
      <c r="V136" s="388"/>
      <c r="W136" s="388"/>
      <c r="X136" s="388"/>
      <c r="Y136" s="388"/>
      <c r="Z136" s="388"/>
    </row>
    <row r="137" spans="1:26" x14ac:dyDescent="0.25">
      <c r="A137" s="388"/>
      <c r="B137" s="388"/>
      <c r="C137" s="389"/>
      <c r="D137" s="389"/>
      <c r="E137" s="388"/>
      <c r="F137" s="388"/>
      <c r="G137" s="388"/>
      <c r="H137" s="388"/>
      <c r="I137" s="388"/>
      <c r="J137" s="389"/>
      <c r="K137" s="389"/>
      <c r="L137" s="389"/>
      <c r="M137" s="389"/>
      <c r="N137" s="426"/>
      <c r="O137" s="427"/>
      <c r="P137" s="388"/>
      <c r="Q137" s="388"/>
      <c r="R137" s="388"/>
      <c r="S137" s="388"/>
      <c r="T137" s="388"/>
      <c r="U137" s="388"/>
      <c r="V137" s="388"/>
      <c r="W137" s="388"/>
      <c r="X137" s="388"/>
      <c r="Y137" s="388"/>
      <c r="Z137" s="388"/>
    </row>
    <row r="138" spans="1:26" x14ac:dyDescent="0.25">
      <c r="A138" s="388"/>
      <c r="B138" s="388"/>
      <c r="C138" s="389"/>
      <c r="D138" s="389"/>
      <c r="E138" s="388"/>
      <c r="F138" s="388"/>
      <c r="G138" s="388"/>
      <c r="H138" s="388"/>
      <c r="I138" s="388"/>
      <c r="J138" s="389"/>
      <c r="K138" s="389"/>
      <c r="L138" s="389"/>
      <c r="M138" s="389"/>
      <c r="N138" s="426"/>
      <c r="O138" s="427"/>
      <c r="P138" s="388"/>
      <c r="Q138" s="388"/>
      <c r="R138" s="388"/>
      <c r="S138" s="388"/>
      <c r="T138" s="388"/>
      <c r="U138" s="388"/>
      <c r="V138" s="388"/>
      <c r="W138" s="388"/>
      <c r="X138" s="388"/>
      <c r="Y138" s="388"/>
      <c r="Z138" s="388"/>
    </row>
    <row r="139" spans="1:26" x14ac:dyDescent="0.25">
      <c r="A139" s="388"/>
      <c r="B139" s="388"/>
      <c r="C139" s="389"/>
      <c r="D139" s="389"/>
      <c r="E139" s="388"/>
      <c r="F139" s="388"/>
      <c r="G139" s="388"/>
      <c r="H139" s="388"/>
      <c r="I139" s="388"/>
      <c r="J139" s="389"/>
      <c r="K139" s="389"/>
      <c r="L139" s="389"/>
      <c r="M139" s="389"/>
      <c r="N139" s="426"/>
      <c r="O139" s="427"/>
      <c r="P139" s="388"/>
      <c r="Q139" s="388"/>
      <c r="R139" s="388"/>
      <c r="S139" s="388"/>
      <c r="T139" s="388"/>
      <c r="U139" s="388"/>
      <c r="V139" s="388"/>
      <c r="W139" s="388"/>
      <c r="X139" s="388"/>
      <c r="Y139" s="388"/>
      <c r="Z139" s="388"/>
    </row>
    <row r="140" spans="1:26" x14ac:dyDescent="0.25">
      <c r="A140" s="388"/>
      <c r="B140" s="388"/>
      <c r="C140" s="389"/>
      <c r="D140" s="389"/>
      <c r="E140" s="388"/>
      <c r="F140" s="388"/>
      <c r="G140" s="388"/>
      <c r="H140" s="388"/>
      <c r="I140" s="388"/>
      <c r="J140" s="389"/>
      <c r="K140" s="389"/>
      <c r="L140" s="389"/>
      <c r="M140" s="389"/>
      <c r="N140" s="426"/>
      <c r="O140" s="427"/>
      <c r="P140" s="388"/>
      <c r="Q140" s="388"/>
      <c r="R140" s="388"/>
      <c r="S140" s="388"/>
      <c r="T140" s="388"/>
      <c r="U140" s="388"/>
      <c r="V140" s="388"/>
      <c r="W140" s="388"/>
      <c r="X140" s="388"/>
      <c r="Y140" s="388"/>
      <c r="Z140" s="388"/>
    </row>
    <row r="141" spans="1:26" x14ac:dyDescent="0.25">
      <c r="A141" s="388"/>
      <c r="B141" s="388"/>
      <c r="C141" s="389"/>
      <c r="D141" s="389"/>
      <c r="E141" s="388"/>
      <c r="F141" s="388"/>
      <c r="G141" s="388"/>
      <c r="H141" s="388"/>
      <c r="I141" s="388"/>
      <c r="J141" s="389"/>
      <c r="K141" s="389"/>
      <c r="L141" s="389"/>
      <c r="M141" s="389"/>
      <c r="N141" s="426"/>
      <c r="O141" s="427"/>
      <c r="P141" s="388"/>
      <c r="Q141" s="388"/>
      <c r="R141" s="388"/>
      <c r="S141" s="388"/>
      <c r="T141" s="388"/>
      <c r="U141" s="388"/>
      <c r="V141" s="388"/>
      <c r="W141" s="388"/>
      <c r="X141" s="388"/>
      <c r="Y141" s="388"/>
      <c r="Z141" s="388"/>
    </row>
    <row r="142" spans="1:26" x14ac:dyDescent="0.25">
      <c r="A142" s="388"/>
      <c r="B142" s="388"/>
      <c r="C142" s="389"/>
      <c r="D142" s="389"/>
      <c r="E142" s="388"/>
      <c r="F142" s="388"/>
      <c r="G142" s="388"/>
      <c r="H142" s="388"/>
      <c r="I142" s="388"/>
      <c r="J142" s="389"/>
      <c r="K142" s="389"/>
      <c r="L142" s="389"/>
      <c r="M142" s="389"/>
      <c r="N142" s="426"/>
      <c r="O142" s="427"/>
      <c r="P142" s="388"/>
      <c r="Q142" s="388"/>
      <c r="R142" s="388"/>
      <c r="S142" s="388"/>
      <c r="T142" s="388"/>
      <c r="U142" s="388"/>
      <c r="V142" s="388"/>
      <c r="W142" s="388"/>
      <c r="X142" s="388"/>
      <c r="Y142" s="388"/>
      <c r="Z142" s="388"/>
    </row>
    <row r="143" spans="1:26" x14ac:dyDescent="0.25">
      <c r="A143" s="388"/>
      <c r="B143" s="388"/>
      <c r="C143" s="389"/>
      <c r="D143" s="389"/>
      <c r="E143" s="388"/>
      <c r="F143" s="388"/>
      <c r="G143" s="388"/>
      <c r="H143" s="388"/>
      <c r="I143" s="388"/>
      <c r="J143" s="389"/>
      <c r="K143" s="389"/>
      <c r="L143" s="389"/>
      <c r="M143" s="389"/>
      <c r="N143" s="426"/>
      <c r="O143" s="427"/>
      <c r="P143" s="388"/>
      <c r="Q143" s="388"/>
      <c r="R143" s="388"/>
      <c r="S143" s="388"/>
      <c r="T143" s="388"/>
      <c r="U143" s="388"/>
      <c r="V143" s="388"/>
      <c r="W143" s="388"/>
      <c r="X143" s="388"/>
      <c r="Y143" s="388"/>
      <c r="Z143" s="388"/>
    </row>
    <row r="144" spans="1:26" x14ac:dyDescent="0.25">
      <c r="A144" s="388"/>
      <c r="B144" s="388"/>
      <c r="C144" s="389"/>
      <c r="D144" s="389"/>
      <c r="E144" s="388"/>
      <c r="F144" s="388"/>
      <c r="G144" s="388"/>
      <c r="H144" s="388"/>
      <c r="I144" s="388"/>
      <c r="J144" s="389"/>
      <c r="K144" s="389"/>
      <c r="L144" s="389"/>
      <c r="M144" s="389"/>
      <c r="N144" s="426"/>
      <c r="O144" s="427"/>
      <c r="P144" s="388"/>
      <c r="Q144" s="388"/>
      <c r="R144" s="388"/>
      <c r="S144" s="388"/>
      <c r="T144" s="388"/>
      <c r="U144" s="388"/>
      <c r="V144" s="388"/>
      <c r="W144" s="388"/>
      <c r="X144" s="388"/>
      <c r="Y144" s="388"/>
      <c r="Z144" s="388"/>
    </row>
    <row r="145" spans="1:26" x14ac:dyDescent="0.25">
      <c r="A145" s="388"/>
      <c r="B145" s="388"/>
      <c r="C145" s="389"/>
      <c r="D145" s="389"/>
      <c r="E145" s="388"/>
      <c r="F145" s="388"/>
      <c r="G145" s="388"/>
      <c r="H145" s="388"/>
      <c r="I145" s="388"/>
      <c r="J145" s="389"/>
      <c r="K145" s="389"/>
      <c r="L145" s="389"/>
      <c r="M145" s="389"/>
      <c r="N145" s="426"/>
      <c r="O145" s="427"/>
      <c r="P145" s="388"/>
      <c r="Q145" s="388"/>
      <c r="R145" s="388"/>
      <c r="S145" s="388"/>
      <c r="T145" s="388"/>
      <c r="U145" s="388"/>
      <c r="V145" s="388"/>
      <c r="W145" s="388"/>
      <c r="X145" s="388"/>
      <c r="Y145" s="388"/>
      <c r="Z145" s="388"/>
    </row>
    <row r="146" spans="1:26" x14ac:dyDescent="0.25">
      <c r="A146" s="388"/>
      <c r="B146" s="388"/>
      <c r="C146" s="389"/>
      <c r="D146" s="389"/>
      <c r="E146" s="388"/>
      <c r="F146" s="388"/>
      <c r="G146" s="388"/>
      <c r="H146" s="388"/>
      <c r="I146" s="388"/>
      <c r="J146" s="389"/>
      <c r="K146" s="389"/>
      <c r="L146" s="389"/>
      <c r="M146" s="389"/>
      <c r="N146" s="426"/>
      <c r="O146" s="427"/>
      <c r="P146" s="388"/>
      <c r="Q146" s="388"/>
      <c r="R146" s="388"/>
      <c r="S146" s="388"/>
      <c r="T146" s="388"/>
      <c r="U146" s="388"/>
      <c r="V146" s="388"/>
      <c r="W146" s="388"/>
      <c r="X146" s="388"/>
      <c r="Y146" s="388"/>
      <c r="Z146" s="388"/>
    </row>
    <row r="147" spans="1:26" x14ac:dyDescent="0.25">
      <c r="A147" s="388"/>
      <c r="B147" s="388"/>
      <c r="C147" s="389"/>
      <c r="D147" s="389"/>
      <c r="E147" s="388"/>
      <c r="F147" s="388"/>
      <c r="G147" s="388"/>
      <c r="H147" s="388"/>
      <c r="I147" s="388"/>
      <c r="J147" s="389"/>
      <c r="K147" s="389"/>
      <c r="L147" s="389"/>
      <c r="M147" s="389"/>
      <c r="N147" s="426"/>
      <c r="O147" s="427"/>
      <c r="P147" s="388"/>
      <c r="Q147" s="388"/>
      <c r="R147" s="388"/>
      <c r="S147" s="388"/>
      <c r="T147" s="388"/>
      <c r="U147" s="388"/>
      <c r="V147" s="388"/>
      <c r="W147" s="388"/>
      <c r="X147" s="388"/>
      <c r="Y147" s="388"/>
      <c r="Z147" s="388"/>
    </row>
    <row r="148" spans="1:26" x14ac:dyDescent="0.25">
      <c r="A148" s="388"/>
      <c r="B148" s="388"/>
      <c r="C148" s="389"/>
      <c r="D148" s="389"/>
      <c r="E148" s="388"/>
      <c r="F148" s="388"/>
      <c r="G148" s="388"/>
      <c r="H148" s="388"/>
      <c r="I148" s="388"/>
      <c r="J148" s="389"/>
      <c r="K148" s="389"/>
      <c r="L148" s="389"/>
      <c r="M148" s="389"/>
      <c r="N148" s="426"/>
      <c r="O148" s="427"/>
      <c r="P148" s="388"/>
      <c r="Q148" s="388"/>
      <c r="R148" s="388"/>
      <c r="S148" s="388"/>
      <c r="T148" s="388"/>
      <c r="U148" s="388"/>
      <c r="V148" s="388"/>
      <c r="W148" s="388"/>
      <c r="X148" s="388"/>
      <c r="Y148" s="388"/>
      <c r="Z148" s="388"/>
    </row>
    <row r="149" spans="1:26" x14ac:dyDescent="0.25">
      <c r="A149" s="388"/>
      <c r="B149" s="388"/>
      <c r="C149" s="389"/>
      <c r="D149" s="389"/>
      <c r="E149" s="388"/>
      <c r="F149" s="388"/>
      <c r="G149" s="388"/>
      <c r="H149" s="388"/>
      <c r="I149" s="388"/>
      <c r="J149" s="389"/>
      <c r="K149" s="389"/>
      <c r="L149" s="389"/>
      <c r="M149" s="389"/>
      <c r="N149" s="426"/>
      <c r="O149" s="427"/>
      <c r="P149" s="388"/>
      <c r="Q149" s="388"/>
      <c r="R149" s="388"/>
      <c r="S149" s="388"/>
      <c r="T149" s="388"/>
      <c r="U149" s="388"/>
      <c r="V149" s="388"/>
      <c r="W149" s="388"/>
      <c r="X149" s="388"/>
      <c r="Y149" s="388"/>
      <c r="Z149" s="388"/>
    </row>
    <row r="150" spans="1:26" x14ac:dyDescent="0.25">
      <c r="A150" s="388"/>
      <c r="B150" s="388"/>
      <c r="C150" s="389"/>
      <c r="D150" s="389"/>
      <c r="E150" s="388"/>
      <c r="F150" s="388"/>
      <c r="G150" s="388"/>
      <c r="H150" s="388"/>
      <c r="I150" s="388"/>
      <c r="J150" s="389"/>
      <c r="K150" s="389"/>
      <c r="L150" s="389"/>
      <c r="M150" s="389"/>
      <c r="N150" s="426"/>
      <c r="O150" s="427"/>
      <c r="P150" s="388"/>
      <c r="Q150" s="388"/>
      <c r="R150" s="388"/>
      <c r="S150" s="388"/>
      <c r="T150" s="388"/>
      <c r="U150" s="388"/>
      <c r="V150" s="388"/>
      <c r="W150" s="388"/>
      <c r="X150" s="388"/>
      <c r="Y150" s="388"/>
      <c r="Z150" s="388"/>
    </row>
    <row r="151" spans="1:26" x14ac:dyDescent="0.25">
      <c r="A151" s="388"/>
      <c r="B151" s="388"/>
      <c r="C151" s="389"/>
      <c r="D151" s="389"/>
      <c r="E151" s="388"/>
      <c r="F151" s="388"/>
      <c r="G151" s="388"/>
      <c r="H151" s="388"/>
      <c r="I151" s="388"/>
      <c r="J151" s="389"/>
      <c r="K151" s="389"/>
      <c r="L151" s="389"/>
      <c r="M151" s="389"/>
      <c r="N151" s="426"/>
      <c r="O151" s="427"/>
      <c r="P151" s="388"/>
      <c r="Q151" s="388"/>
      <c r="R151" s="388"/>
      <c r="S151" s="388"/>
      <c r="T151" s="388"/>
      <c r="U151" s="388"/>
      <c r="V151" s="388"/>
      <c r="W151" s="388"/>
      <c r="X151" s="388"/>
      <c r="Y151" s="388"/>
      <c r="Z151" s="388"/>
    </row>
    <row r="152" spans="1:26" x14ac:dyDescent="0.25">
      <c r="A152" s="388"/>
      <c r="B152" s="388"/>
      <c r="C152" s="389"/>
      <c r="D152" s="389"/>
      <c r="E152" s="388"/>
      <c r="F152" s="388"/>
      <c r="G152" s="388"/>
      <c r="H152" s="388"/>
      <c r="I152" s="388"/>
      <c r="J152" s="389"/>
      <c r="K152" s="389"/>
      <c r="L152" s="389"/>
      <c r="M152" s="389"/>
      <c r="N152" s="426"/>
      <c r="O152" s="427"/>
      <c r="P152" s="388"/>
      <c r="Q152" s="388"/>
      <c r="R152" s="388"/>
      <c r="S152" s="388"/>
      <c r="T152" s="388"/>
      <c r="U152" s="388"/>
      <c r="V152" s="388"/>
      <c r="W152" s="388"/>
      <c r="X152" s="388"/>
      <c r="Y152" s="388"/>
      <c r="Z152" s="388"/>
    </row>
    <row r="153" spans="1:26" x14ac:dyDescent="0.25">
      <c r="A153" s="388"/>
      <c r="B153" s="388"/>
      <c r="C153" s="389"/>
      <c r="D153" s="389"/>
      <c r="E153" s="388"/>
      <c r="F153" s="388"/>
      <c r="G153" s="388"/>
      <c r="H153" s="388"/>
      <c r="I153" s="388"/>
      <c r="J153" s="389"/>
      <c r="K153" s="389"/>
      <c r="L153" s="389"/>
      <c r="M153" s="389"/>
      <c r="N153" s="426"/>
      <c r="O153" s="427"/>
      <c r="P153" s="388"/>
      <c r="Q153" s="388"/>
      <c r="R153" s="388"/>
      <c r="S153" s="388"/>
      <c r="T153" s="388"/>
      <c r="U153" s="388"/>
      <c r="V153" s="388"/>
      <c r="W153" s="388"/>
      <c r="X153" s="388"/>
      <c r="Y153" s="388"/>
      <c r="Z153" s="388"/>
    </row>
    <row r="154" spans="1:26" x14ac:dyDescent="0.25">
      <c r="A154" s="388"/>
      <c r="B154" s="388"/>
      <c r="C154" s="389"/>
      <c r="D154" s="389"/>
      <c r="E154" s="388"/>
      <c r="F154" s="388"/>
      <c r="G154" s="388"/>
      <c r="H154" s="388"/>
      <c r="I154" s="388"/>
      <c r="J154" s="389"/>
      <c r="K154" s="389"/>
      <c r="L154" s="389"/>
      <c r="M154" s="389"/>
      <c r="N154" s="426"/>
      <c r="O154" s="427"/>
      <c r="P154" s="388"/>
      <c r="Q154" s="388"/>
      <c r="R154" s="388"/>
      <c r="S154" s="388"/>
      <c r="T154" s="388"/>
      <c r="U154" s="388"/>
      <c r="V154" s="388"/>
      <c r="W154" s="388"/>
      <c r="X154" s="388"/>
      <c r="Y154" s="388"/>
      <c r="Z154" s="388"/>
    </row>
    <row r="155" spans="1:26" x14ac:dyDescent="0.25">
      <c r="A155" s="388"/>
      <c r="B155" s="388"/>
      <c r="C155" s="389"/>
      <c r="D155" s="389"/>
      <c r="E155" s="388"/>
      <c r="F155" s="388"/>
      <c r="G155" s="388"/>
      <c r="H155" s="388"/>
      <c r="I155" s="388"/>
      <c r="J155" s="389"/>
      <c r="K155" s="389"/>
      <c r="L155" s="389"/>
      <c r="M155" s="389"/>
      <c r="N155" s="426"/>
      <c r="O155" s="427"/>
      <c r="P155" s="388"/>
      <c r="Q155" s="388"/>
      <c r="R155" s="388"/>
      <c r="S155" s="388"/>
      <c r="T155" s="388"/>
      <c r="U155" s="388"/>
      <c r="V155" s="388"/>
      <c r="W155" s="388"/>
      <c r="X155" s="388"/>
      <c r="Y155" s="388"/>
      <c r="Z155" s="388"/>
    </row>
    <row r="156" spans="1:26" x14ac:dyDescent="0.25">
      <c r="A156" s="388"/>
      <c r="B156" s="388"/>
      <c r="C156" s="389"/>
      <c r="D156" s="389"/>
      <c r="E156" s="388"/>
      <c r="F156" s="388"/>
      <c r="G156" s="388"/>
      <c r="H156" s="388"/>
      <c r="I156" s="388"/>
      <c r="J156" s="389"/>
      <c r="K156" s="389"/>
      <c r="L156" s="389"/>
      <c r="M156" s="389"/>
      <c r="N156" s="426"/>
      <c r="O156" s="427"/>
      <c r="P156" s="388"/>
      <c r="Q156" s="388"/>
      <c r="R156" s="388"/>
      <c r="S156" s="388"/>
      <c r="T156" s="388"/>
      <c r="U156" s="388"/>
      <c r="V156" s="388"/>
      <c r="W156" s="388"/>
      <c r="X156" s="388"/>
      <c r="Y156" s="388"/>
      <c r="Z156" s="388"/>
    </row>
    <row r="157" spans="1:26" x14ac:dyDescent="0.25">
      <c r="A157" s="388"/>
      <c r="B157" s="388"/>
      <c r="C157" s="389"/>
      <c r="D157" s="389"/>
      <c r="E157" s="388"/>
      <c r="F157" s="388"/>
      <c r="G157" s="388"/>
      <c r="H157" s="388"/>
      <c r="I157" s="388"/>
      <c r="J157" s="389"/>
      <c r="K157" s="389"/>
      <c r="L157" s="389"/>
      <c r="M157" s="389"/>
      <c r="N157" s="426"/>
      <c r="O157" s="427"/>
      <c r="P157" s="388"/>
      <c r="Q157" s="388"/>
      <c r="R157" s="388"/>
      <c r="S157" s="388"/>
      <c r="T157" s="388"/>
      <c r="U157" s="388"/>
      <c r="V157" s="388"/>
      <c r="W157" s="388"/>
      <c r="X157" s="388"/>
      <c r="Y157" s="388"/>
      <c r="Z157" s="388"/>
    </row>
    <row r="158" spans="1:26" x14ac:dyDescent="0.25">
      <c r="A158" s="388"/>
      <c r="B158" s="388"/>
      <c r="C158" s="389"/>
      <c r="D158" s="389"/>
      <c r="E158" s="388"/>
      <c r="F158" s="388"/>
      <c r="G158" s="388"/>
      <c r="H158" s="388"/>
      <c r="I158" s="388"/>
      <c r="J158" s="389"/>
      <c r="K158" s="389"/>
      <c r="L158" s="389"/>
      <c r="M158" s="389"/>
      <c r="N158" s="426"/>
      <c r="O158" s="427"/>
      <c r="P158" s="388"/>
      <c r="Q158" s="388"/>
      <c r="R158" s="388"/>
      <c r="S158" s="388"/>
      <c r="T158" s="388"/>
      <c r="U158" s="388"/>
      <c r="V158" s="388"/>
      <c r="W158" s="388"/>
      <c r="X158" s="388"/>
      <c r="Y158" s="388"/>
      <c r="Z158" s="388"/>
    </row>
    <row r="159" spans="1:26" x14ac:dyDescent="0.25">
      <c r="A159" s="388"/>
      <c r="B159" s="388"/>
      <c r="C159" s="389"/>
      <c r="D159" s="389"/>
      <c r="E159" s="388"/>
      <c r="F159" s="388"/>
      <c r="G159" s="388"/>
      <c r="H159" s="388"/>
      <c r="I159" s="388"/>
      <c r="J159" s="389"/>
      <c r="K159" s="389"/>
      <c r="L159" s="389"/>
      <c r="M159" s="389"/>
      <c r="N159" s="426"/>
      <c r="O159" s="427"/>
      <c r="P159" s="388"/>
      <c r="Q159" s="388"/>
      <c r="R159" s="388"/>
      <c r="S159" s="388"/>
      <c r="T159" s="388"/>
      <c r="U159" s="388"/>
      <c r="V159" s="388"/>
      <c r="W159" s="388"/>
      <c r="X159" s="388"/>
      <c r="Y159" s="388"/>
      <c r="Z159" s="388"/>
    </row>
    <row r="160" spans="1:26" x14ac:dyDescent="0.25">
      <c r="A160" s="388"/>
      <c r="B160" s="388"/>
      <c r="C160" s="389"/>
      <c r="D160" s="389"/>
      <c r="E160" s="388"/>
      <c r="F160" s="388"/>
      <c r="G160" s="388"/>
      <c r="H160" s="388"/>
      <c r="I160" s="388"/>
      <c r="J160" s="389"/>
      <c r="K160" s="389"/>
      <c r="L160" s="389"/>
      <c r="M160" s="389"/>
      <c r="N160" s="426"/>
      <c r="O160" s="427"/>
      <c r="P160" s="388"/>
      <c r="Q160" s="388"/>
      <c r="R160" s="388"/>
      <c r="S160" s="388"/>
      <c r="T160" s="388"/>
      <c r="U160" s="388"/>
      <c r="V160" s="388"/>
      <c r="W160" s="388"/>
      <c r="X160" s="388"/>
      <c r="Y160" s="388"/>
      <c r="Z160" s="388"/>
    </row>
    <row r="161" spans="1:26" x14ac:dyDescent="0.25">
      <c r="A161" s="388"/>
      <c r="B161" s="388"/>
      <c r="C161" s="389"/>
      <c r="D161" s="389"/>
      <c r="E161" s="388"/>
      <c r="F161" s="388"/>
      <c r="G161" s="388"/>
      <c r="H161" s="388"/>
      <c r="I161" s="388"/>
      <c r="J161" s="389"/>
      <c r="K161" s="389"/>
      <c r="L161" s="389"/>
      <c r="M161" s="389"/>
      <c r="N161" s="426"/>
      <c r="O161" s="427"/>
      <c r="P161" s="388"/>
      <c r="Q161" s="388"/>
      <c r="R161" s="388"/>
      <c r="S161" s="388"/>
      <c r="T161" s="388"/>
      <c r="U161" s="388"/>
      <c r="V161" s="388"/>
      <c r="W161" s="388"/>
      <c r="X161" s="388"/>
      <c r="Y161" s="388"/>
      <c r="Z161" s="388"/>
    </row>
    <row r="162" spans="1:26" x14ac:dyDescent="0.25">
      <c r="A162" s="388"/>
      <c r="B162" s="388"/>
      <c r="C162" s="389"/>
      <c r="D162" s="389"/>
      <c r="E162" s="388"/>
      <c r="F162" s="388"/>
      <c r="G162" s="388"/>
      <c r="H162" s="388"/>
      <c r="I162" s="388"/>
      <c r="J162" s="389"/>
      <c r="K162" s="389"/>
    </row>
  </sheetData>
  <mergeCells count="6">
    <mergeCell ref="C125:I125"/>
    <mergeCell ref="F18:I18"/>
    <mergeCell ref="C108:D108"/>
    <mergeCell ref="E108:F108"/>
    <mergeCell ref="G108:H108"/>
    <mergeCell ref="C119:I119"/>
  </mergeCells>
  <pageMargins left="0.7" right="0.7" top="0.75" bottom="0.75" header="0.3" footer="0.3"/>
  <pageSetup paperSize="9" orientation="portrait" horizontalDpi="4294967294"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V184"/>
  <sheetViews>
    <sheetView workbookViewId="0"/>
  </sheetViews>
  <sheetFormatPr defaultRowHeight="15" x14ac:dyDescent="0.25"/>
  <sheetData>
    <row r="1" spans="1:22" s="388" customFormat="1" ht="18" x14ac:dyDescent="0.25">
      <c r="A1" s="425" t="s">
        <v>410</v>
      </c>
    </row>
    <row r="2" spans="1:22" s="388" customFormat="1" x14ac:dyDescent="0.25"/>
    <row r="3" spans="1:22" s="388" customFormat="1" ht="18" x14ac:dyDescent="0.25">
      <c r="B3" s="425" t="s">
        <v>411</v>
      </c>
    </row>
    <row r="4" spans="1:22" s="388" customFormat="1" ht="18" x14ac:dyDescent="0.25">
      <c r="B4" s="425"/>
    </row>
    <row r="5" spans="1:22" x14ac:dyDescent="0.25">
      <c r="A5" s="388"/>
      <c r="B5" s="218"/>
      <c r="C5" s="10"/>
      <c r="D5" s="10"/>
      <c r="E5" s="69"/>
      <c r="F5" s="480" t="s">
        <v>412</v>
      </c>
      <c r="G5" s="481"/>
      <c r="H5" s="481"/>
      <c r="I5" s="481"/>
      <c r="J5" s="482"/>
      <c r="K5" s="388"/>
      <c r="L5" s="388"/>
      <c r="M5" s="388"/>
      <c r="N5" s="388"/>
      <c r="O5" s="388"/>
      <c r="P5" s="388"/>
      <c r="Q5" s="388"/>
      <c r="R5" s="388"/>
      <c r="S5" s="388"/>
      <c r="T5" s="388"/>
      <c r="U5" s="388"/>
      <c r="V5" s="388"/>
    </row>
    <row r="6" spans="1:22" ht="26.25" x14ac:dyDescent="0.25">
      <c r="A6" s="388"/>
      <c r="B6" s="116"/>
      <c r="C6" s="48"/>
      <c r="D6" s="48"/>
      <c r="E6" s="19" t="s">
        <v>413</v>
      </c>
      <c r="F6" s="219" t="s">
        <v>414</v>
      </c>
      <c r="G6" s="157" t="s">
        <v>415</v>
      </c>
      <c r="H6" s="36" t="s">
        <v>289</v>
      </c>
      <c r="I6" s="111" t="s">
        <v>416</v>
      </c>
      <c r="J6" s="35" t="s">
        <v>417</v>
      </c>
      <c r="K6" s="388"/>
      <c r="L6" s="388"/>
      <c r="M6" s="388"/>
      <c r="N6" s="388"/>
      <c r="O6" s="388"/>
      <c r="P6" s="388"/>
      <c r="Q6" s="388"/>
      <c r="R6" s="388"/>
      <c r="S6" s="388"/>
      <c r="T6" s="388"/>
      <c r="U6" s="388"/>
      <c r="V6" s="388"/>
    </row>
    <row r="7" spans="1:22" x14ac:dyDescent="0.25">
      <c r="A7" s="388"/>
      <c r="B7" s="220" t="s">
        <v>2</v>
      </c>
      <c r="C7" s="48"/>
      <c r="D7" s="48"/>
      <c r="E7" s="19">
        <v>1</v>
      </c>
      <c r="F7" s="191">
        <v>0</v>
      </c>
      <c r="G7" s="33">
        <v>1</v>
      </c>
      <c r="H7" s="36">
        <v>0</v>
      </c>
      <c r="I7" s="168"/>
      <c r="J7" s="175"/>
      <c r="K7" s="388"/>
      <c r="L7" s="388"/>
      <c r="M7" s="388"/>
      <c r="N7" s="388"/>
      <c r="O7" s="388"/>
      <c r="P7" s="388"/>
      <c r="Q7" s="388"/>
      <c r="R7" s="388"/>
      <c r="S7" s="388"/>
      <c r="T7" s="388"/>
      <c r="U7" s="388"/>
      <c r="V7" s="388"/>
    </row>
    <row r="8" spans="1:22" x14ac:dyDescent="0.25">
      <c r="A8" s="388"/>
      <c r="B8" s="220" t="s">
        <v>3</v>
      </c>
      <c r="C8" s="48"/>
      <c r="D8" s="48"/>
      <c r="E8" s="19">
        <v>2</v>
      </c>
      <c r="F8" s="191">
        <v>0</v>
      </c>
      <c r="G8" s="33">
        <v>1</v>
      </c>
      <c r="H8" s="36">
        <v>0</v>
      </c>
      <c r="I8" s="168"/>
      <c r="J8" s="175"/>
      <c r="K8" s="388"/>
      <c r="L8" s="388"/>
      <c r="M8" s="388"/>
      <c r="N8" s="388"/>
      <c r="O8" s="388"/>
      <c r="P8" s="388"/>
      <c r="Q8" s="388"/>
      <c r="R8" s="388"/>
      <c r="S8" s="388"/>
      <c r="T8" s="388"/>
      <c r="U8" s="388"/>
      <c r="V8" s="388"/>
    </row>
    <row r="9" spans="1:22" x14ac:dyDescent="0.25">
      <c r="A9" s="388"/>
      <c r="B9" s="220" t="s">
        <v>7</v>
      </c>
      <c r="C9" s="48"/>
      <c r="D9" s="48"/>
      <c r="E9" s="19">
        <v>3</v>
      </c>
      <c r="F9" s="191">
        <v>0</v>
      </c>
      <c r="G9" s="33">
        <v>1</v>
      </c>
      <c r="H9" s="36">
        <v>0</v>
      </c>
      <c r="I9" s="168"/>
      <c r="J9" s="175"/>
      <c r="K9" s="388"/>
      <c r="L9" s="388"/>
      <c r="M9" s="388"/>
      <c r="N9" s="388"/>
      <c r="O9" s="388"/>
      <c r="P9" s="388"/>
      <c r="Q9" s="388"/>
      <c r="R9" s="388"/>
      <c r="S9" s="388"/>
      <c r="T9" s="388"/>
      <c r="U9" s="388"/>
      <c r="V9" s="388"/>
    </row>
    <row r="10" spans="1:22" x14ac:dyDescent="0.25">
      <c r="A10" s="388"/>
      <c r="B10" s="220" t="s">
        <v>4</v>
      </c>
      <c r="C10" s="48"/>
      <c r="D10" s="48"/>
      <c r="E10" s="19">
        <v>4</v>
      </c>
      <c r="F10" s="191">
        <v>0</v>
      </c>
      <c r="G10" s="33">
        <v>1</v>
      </c>
      <c r="H10" s="36">
        <v>0</v>
      </c>
      <c r="I10" s="168"/>
      <c r="J10" s="175"/>
      <c r="K10" s="388"/>
      <c r="L10" s="388"/>
      <c r="M10" s="388"/>
      <c r="N10" s="388"/>
      <c r="O10" s="388"/>
      <c r="P10" s="388"/>
      <c r="Q10" s="388"/>
      <c r="R10" s="388"/>
      <c r="S10" s="388"/>
      <c r="T10" s="388"/>
      <c r="U10" s="388"/>
      <c r="V10" s="388"/>
    </row>
    <row r="11" spans="1:22" x14ac:dyDescent="0.25">
      <c r="A11" s="388"/>
      <c r="B11" s="220" t="s">
        <v>5</v>
      </c>
      <c r="C11" s="48"/>
      <c r="D11" s="48"/>
      <c r="E11" s="19">
        <v>5</v>
      </c>
      <c r="F11" s="191">
        <v>0</v>
      </c>
      <c r="G11" s="33">
        <v>1</v>
      </c>
      <c r="H11" s="36">
        <v>0</v>
      </c>
      <c r="I11" s="168"/>
      <c r="J11" s="175"/>
      <c r="K11" s="388"/>
      <c r="L11" s="388"/>
      <c r="M11" s="388"/>
      <c r="N11" s="388"/>
      <c r="O11" s="388"/>
      <c r="P11" s="388"/>
      <c r="Q11" s="388"/>
      <c r="R11" s="388"/>
      <c r="S11" s="388"/>
      <c r="T11" s="388"/>
      <c r="U11" s="388"/>
      <c r="V11" s="388"/>
    </row>
    <row r="12" spans="1:22" x14ac:dyDescent="0.25">
      <c r="A12" s="388"/>
      <c r="B12" s="220" t="s">
        <v>214</v>
      </c>
      <c r="C12" s="48"/>
      <c r="D12" s="48"/>
      <c r="E12" s="19">
        <v>6</v>
      </c>
      <c r="F12" s="191">
        <v>0</v>
      </c>
      <c r="G12" s="33">
        <v>1</v>
      </c>
      <c r="H12" s="36">
        <v>0</v>
      </c>
      <c r="I12" s="168"/>
      <c r="J12" s="175"/>
      <c r="K12" s="388"/>
      <c r="L12" s="388"/>
      <c r="M12" s="388"/>
      <c r="N12" s="388"/>
      <c r="O12" s="388"/>
      <c r="P12" s="388"/>
      <c r="Q12" s="388"/>
      <c r="R12" s="388"/>
      <c r="S12" s="388"/>
      <c r="T12" s="388"/>
      <c r="U12" s="388"/>
      <c r="V12" s="388"/>
    </row>
    <row r="13" spans="1:22" x14ac:dyDescent="0.25">
      <c r="A13" s="388"/>
      <c r="B13" s="220" t="s">
        <v>6</v>
      </c>
      <c r="C13" s="48"/>
      <c r="D13" s="48"/>
      <c r="E13" s="19">
        <v>7</v>
      </c>
      <c r="F13" s="221">
        <f>F12</f>
        <v>0</v>
      </c>
      <c r="G13" s="108">
        <f>G12</f>
        <v>1</v>
      </c>
      <c r="H13" s="222">
        <f>H12</f>
        <v>0</v>
      </c>
      <c r="I13" s="223">
        <f>I12</f>
        <v>0</v>
      </c>
      <c r="J13" s="224">
        <f>J12</f>
        <v>0</v>
      </c>
      <c r="K13" s="388"/>
      <c r="L13" s="388"/>
      <c r="M13" s="388"/>
      <c r="N13" s="388"/>
      <c r="O13" s="388"/>
      <c r="P13" s="388"/>
      <c r="Q13" s="388"/>
      <c r="R13" s="388"/>
      <c r="S13" s="388"/>
      <c r="T13" s="388"/>
      <c r="U13" s="388"/>
      <c r="V13" s="388"/>
    </row>
    <row r="14" spans="1:22" x14ac:dyDescent="0.25">
      <c r="A14" s="388"/>
      <c r="B14" s="204" t="s">
        <v>217</v>
      </c>
      <c r="C14" s="225"/>
      <c r="D14" s="225"/>
      <c r="E14" s="66">
        <v>8</v>
      </c>
      <c r="F14" s="226">
        <f>F12</f>
        <v>0</v>
      </c>
      <c r="G14" s="125">
        <f>G12</f>
        <v>1</v>
      </c>
      <c r="H14" s="227">
        <f>H12</f>
        <v>0</v>
      </c>
      <c r="I14" s="228">
        <f>I12</f>
        <v>0</v>
      </c>
      <c r="J14" s="229">
        <f>J12</f>
        <v>0</v>
      </c>
      <c r="K14" s="388"/>
      <c r="L14" s="388"/>
      <c r="M14" s="388"/>
      <c r="N14" s="388"/>
      <c r="O14" s="388"/>
      <c r="P14" s="388"/>
      <c r="Q14" s="388"/>
      <c r="R14" s="388"/>
      <c r="S14" s="388"/>
      <c r="T14" s="388"/>
      <c r="U14" s="388"/>
      <c r="V14" s="388"/>
    </row>
    <row r="15" spans="1:22" x14ac:dyDescent="0.25">
      <c r="A15" s="388"/>
      <c r="B15" s="388"/>
      <c r="C15" s="388"/>
      <c r="D15" s="388"/>
      <c r="E15" s="388"/>
      <c r="F15" s="388"/>
      <c r="G15" s="388"/>
      <c r="H15" s="388"/>
      <c r="I15" s="388"/>
      <c r="J15" s="388"/>
      <c r="K15" s="388"/>
      <c r="L15" s="388"/>
      <c r="M15" s="388"/>
      <c r="N15" s="388"/>
      <c r="O15" s="388"/>
      <c r="P15" s="388"/>
      <c r="Q15" s="388"/>
      <c r="R15" s="388"/>
      <c r="S15" s="388"/>
      <c r="T15" s="388"/>
      <c r="U15" s="388"/>
      <c r="V15" s="388"/>
    </row>
    <row r="16" spans="1:22" x14ac:dyDescent="0.25">
      <c r="A16" s="388"/>
      <c r="B16" s="388"/>
      <c r="C16" s="388"/>
      <c r="D16" s="388"/>
      <c r="E16" s="388"/>
      <c r="F16" s="388"/>
      <c r="G16" s="388"/>
      <c r="H16" s="388"/>
      <c r="I16" s="388"/>
      <c r="J16" s="388"/>
      <c r="K16" s="388"/>
      <c r="L16" s="388"/>
      <c r="M16" s="388"/>
      <c r="N16" s="388"/>
      <c r="O16" s="388"/>
      <c r="P16" s="388"/>
      <c r="Q16" s="388"/>
      <c r="R16" s="388"/>
      <c r="S16" s="388"/>
      <c r="T16" s="388"/>
      <c r="U16" s="388"/>
      <c r="V16" s="388"/>
    </row>
    <row r="17" spans="1:20" x14ac:dyDescent="0.25">
      <c r="A17" s="388"/>
      <c r="B17" s="388"/>
      <c r="C17" s="388"/>
      <c r="D17" s="388"/>
      <c r="E17" s="388"/>
      <c r="F17" s="388"/>
      <c r="G17" s="388"/>
      <c r="H17" s="388"/>
      <c r="I17" s="388"/>
      <c r="J17" s="388"/>
      <c r="K17" s="388"/>
      <c r="L17" s="388"/>
      <c r="M17" s="388"/>
      <c r="N17" s="388"/>
      <c r="O17" s="388"/>
      <c r="P17" s="388"/>
      <c r="Q17" s="388"/>
      <c r="R17" s="388"/>
      <c r="S17" s="388"/>
      <c r="T17" s="388"/>
    </row>
    <row r="18" spans="1:20" x14ac:dyDescent="0.25">
      <c r="A18" s="388"/>
      <c r="B18" s="388"/>
      <c r="C18" s="388"/>
      <c r="D18" s="388"/>
      <c r="E18" s="388"/>
      <c r="F18" s="388"/>
      <c r="G18" s="388"/>
      <c r="H18" s="388"/>
      <c r="I18" s="388"/>
      <c r="J18" s="388"/>
      <c r="K18" s="388"/>
      <c r="L18" s="388"/>
      <c r="M18" s="388"/>
      <c r="N18" s="388"/>
      <c r="O18" s="388"/>
      <c r="P18" s="388"/>
      <c r="Q18" s="388"/>
      <c r="R18" s="388"/>
      <c r="S18" s="388"/>
      <c r="T18" s="388"/>
    </row>
    <row r="19" spans="1:20" x14ac:dyDescent="0.25">
      <c r="A19" s="388"/>
      <c r="B19" s="388"/>
      <c r="C19" s="388"/>
      <c r="D19" s="388"/>
      <c r="E19" s="388"/>
      <c r="F19" s="388"/>
      <c r="G19" s="388"/>
      <c r="H19" s="388"/>
      <c r="I19" s="388"/>
      <c r="J19" s="388"/>
      <c r="K19" s="388"/>
      <c r="L19" s="388"/>
      <c r="M19" s="388"/>
      <c r="N19" s="388"/>
      <c r="O19" s="388"/>
      <c r="P19" s="388"/>
      <c r="Q19" s="388"/>
      <c r="R19" s="388"/>
      <c r="S19" s="388"/>
      <c r="T19" s="388"/>
    </row>
    <row r="20" spans="1:20" x14ac:dyDescent="0.25">
      <c r="A20" s="388"/>
      <c r="B20" s="388"/>
      <c r="C20" s="388"/>
      <c r="D20" s="388"/>
      <c r="E20" s="388"/>
      <c r="F20" s="388"/>
      <c r="G20" s="388"/>
      <c r="H20" s="388"/>
      <c r="I20" s="388"/>
      <c r="J20" s="388"/>
      <c r="K20" s="388"/>
      <c r="L20" s="388"/>
      <c r="M20" s="388"/>
      <c r="N20" s="388"/>
      <c r="O20" s="388"/>
      <c r="P20" s="388"/>
      <c r="Q20" s="388"/>
      <c r="R20" s="388"/>
      <c r="S20" s="388"/>
      <c r="T20" s="388"/>
    </row>
    <row r="21" spans="1:20" x14ac:dyDescent="0.25">
      <c r="A21" s="388"/>
      <c r="B21" s="388"/>
      <c r="C21" s="388"/>
      <c r="D21" s="388"/>
      <c r="E21" s="388"/>
      <c r="F21" s="388"/>
      <c r="G21" s="388"/>
      <c r="H21" s="388"/>
      <c r="I21" s="388"/>
      <c r="J21" s="388"/>
      <c r="K21" s="388"/>
      <c r="L21" s="388"/>
      <c r="M21" s="388"/>
      <c r="N21" s="388"/>
      <c r="O21" s="388"/>
      <c r="P21" s="388"/>
      <c r="Q21" s="388"/>
      <c r="R21" s="388"/>
      <c r="S21" s="388"/>
      <c r="T21" s="388"/>
    </row>
    <row r="22" spans="1:20" x14ac:dyDescent="0.25">
      <c r="A22" s="388"/>
      <c r="B22" s="388"/>
      <c r="C22" s="388"/>
      <c r="D22" s="388"/>
      <c r="E22" s="388"/>
      <c r="F22" s="388"/>
      <c r="G22" s="388"/>
      <c r="H22" s="388"/>
      <c r="I22" s="388"/>
      <c r="J22" s="388"/>
      <c r="K22" s="388"/>
      <c r="L22" s="388"/>
      <c r="M22" s="388"/>
      <c r="N22" s="388"/>
      <c r="O22" s="388"/>
      <c r="P22" s="388"/>
      <c r="Q22" s="388"/>
      <c r="R22" s="388"/>
      <c r="S22" s="388"/>
      <c r="T22" s="388"/>
    </row>
    <row r="23" spans="1:20" x14ac:dyDescent="0.25">
      <c r="A23" s="388"/>
      <c r="B23" s="388"/>
      <c r="C23" s="388"/>
      <c r="D23" s="388"/>
      <c r="E23" s="388"/>
      <c r="F23" s="388"/>
      <c r="G23" s="388"/>
      <c r="H23" s="388"/>
      <c r="I23" s="388"/>
      <c r="J23" s="388"/>
      <c r="K23" s="388"/>
      <c r="L23" s="388"/>
      <c r="M23" s="388"/>
      <c r="N23" s="388"/>
      <c r="O23" s="388"/>
      <c r="P23" s="388"/>
      <c r="Q23" s="388"/>
      <c r="R23" s="388"/>
      <c r="S23" s="388"/>
      <c r="T23" s="388"/>
    </row>
    <row r="24" spans="1:20" x14ac:dyDescent="0.25">
      <c r="A24" s="388"/>
      <c r="B24" s="388"/>
      <c r="C24" s="388"/>
      <c r="D24" s="388"/>
      <c r="E24" s="388"/>
      <c r="F24" s="388"/>
      <c r="G24" s="388"/>
      <c r="H24" s="388"/>
      <c r="I24" s="388"/>
      <c r="J24" s="388"/>
      <c r="K24" s="388"/>
      <c r="L24" s="388"/>
      <c r="M24" s="388"/>
      <c r="N24" s="388"/>
      <c r="O24" s="388"/>
      <c r="P24" s="388"/>
      <c r="Q24" s="388"/>
      <c r="R24" s="388"/>
      <c r="S24" s="388"/>
      <c r="T24" s="388"/>
    </row>
    <row r="25" spans="1:20" x14ac:dyDescent="0.25">
      <c r="A25" s="388"/>
      <c r="B25" s="388"/>
      <c r="C25" s="388"/>
      <c r="D25" s="388"/>
      <c r="E25" s="388"/>
      <c r="F25" s="388"/>
      <c r="G25" s="388"/>
      <c r="H25" s="388"/>
      <c r="I25" s="388"/>
      <c r="J25" s="388"/>
      <c r="K25" s="388"/>
      <c r="L25" s="388"/>
      <c r="M25" s="388"/>
      <c r="N25" s="388"/>
      <c r="O25" s="388"/>
      <c r="P25" s="388"/>
      <c r="Q25" s="388"/>
      <c r="R25" s="388"/>
      <c r="S25" s="388"/>
      <c r="T25" s="388"/>
    </row>
    <row r="26" spans="1:20" x14ac:dyDescent="0.25">
      <c r="A26" s="388"/>
      <c r="B26" s="388"/>
      <c r="C26" s="388"/>
      <c r="D26" s="388"/>
      <c r="E26" s="388"/>
      <c r="F26" s="388"/>
      <c r="G26" s="388"/>
      <c r="H26" s="388"/>
      <c r="I26" s="388"/>
      <c r="J26" s="388"/>
      <c r="K26" s="388"/>
      <c r="L26" s="388"/>
      <c r="M26" s="388"/>
      <c r="N26" s="388"/>
      <c r="O26" s="388"/>
      <c r="P26" s="388"/>
      <c r="Q26" s="388"/>
      <c r="R26" s="388"/>
      <c r="S26" s="388"/>
      <c r="T26" s="388"/>
    </row>
    <row r="27" spans="1:20" x14ac:dyDescent="0.25">
      <c r="A27" s="388"/>
      <c r="B27" s="388"/>
      <c r="C27" s="388"/>
      <c r="D27" s="388"/>
      <c r="E27" s="388"/>
      <c r="F27" s="388"/>
      <c r="G27" s="388"/>
      <c r="H27" s="388"/>
      <c r="I27" s="388"/>
      <c r="J27" s="388"/>
      <c r="K27" s="388"/>
      <c r="L27" s="388"/>
      <c r="M27" s="388"/>
      <c r="N27" s="388"/>
      <c r="O27" s="388"/>
      <c r="P27" s="388"/>
      <c r="Q27" s="388"/>
      <c r="R27" s="388"/>
      <c r="S27" s="388"/>
      <c r="T27" s="388"/>
    </row>
    <row r="28" spans="1:20" x14ac:dyDescent="0.25">
      <c r="A28" s="388"/>
      <c r="B28" s="388"/>
      <c r="C28" s="388"/>
      <c r="D28" s="388"/>
      <c r="E28" s="388"/>
      <c r="F28" s="388"/>
      <c r="G28" s="388"/>
      <c r="H28" s="388"/>
      <c r="I28" s="388"/>
      <c r="J28" s="388"/>
      <c r="K28" s="388"/>
      <c r="L28" s="388"/>
      <c r="M28" s="388"/>
      <c r="N28" s="388"/>
      <c r="O28" s="388"/>
      <c r="P28" s="388"/>
      <c r="Q28" s="388"/>
      <c r="R28" s="388"/>
      <c r="S28" s="388"/>
      <c r="T28" s="388"/>
    </row>
    <row r="29" spans="1:20" x14ac:dyDescent="0.25">
      <c r="A29" s="388"/>
      <c r="B29" s="388"/>
      <c r="C29" s="388"/>
      <c r="D29" s="388"/>
      <c r="E29" s="388"/>
      <c r="F29" s="388"/>
      <c r="G29" s="388"/>
      <c r="H29" s="388"/>
      <c r="I29" s="388"/>
      <c r="J29" s="388"/>
      <c r="K29" s="388"/>
      <c r="L29" s="388"/>
      <c r="M29" s="388"/>
      <c r="N29" s="388"/>
      <c r="O29" s="388"/>
      <c r="P29" s="388"/>
      <c r="Q29" s="388"/>
      <c r="R29" s="388"/>
      <c r="S29" s="388"/>
      <c r="T29" s="388"/>
    </row>
    <row r="30" spans="1:20" x14ac:dyDescent="0.25">
      <c r="A30" s="388"/>
      <c r="B30" s="388"/>
      <c r="C30" s="388"/>
      <c r="D30" s="388"/>
      <c r="E30" s="388"/>
      <c r="F30" s="388"/>
      <c r="G30" s="388"/>
      <c r="H30" s="388"/>
      <c r="I30" s="388"/>
      <c r="J30" s="388"/>
      <c r="K30" s="388"/>
      <c r="L30" s="388"/>
      <c r="M30" s="388"/>
      <c r="N30" s="388"/>
      <c r="O30" s="388"/>
      <c r="P30" s="388"/>
      <c r="Q30" s="388"/>
      <c r="R30" s="388"/>
      <c r="S30" s="388"/>
      <c r="T30" s="388"/>
    </row>
    <row r="31" spans="1:20" x14ac:dyDescent="0.25">
      <c r="A31" s="388"/>
      <c r="B31" s="388"/>
      <c r="C31" s="388"/>
      <c r="D31" s="388"/>
      <c r="E31" s="388"/>
      <c r="F31" s="388"/>
      <c r="G31" s="388"/>
      <c r="H31" s="388"/>
      <c r="I31" s="388"/>
      <c r="J31" s="388"/>
      <c r="K31" s="388"/>
      <c r="L31" s="388"/>
      <c r="M31" s="388"/>
      <c r="N31" s="388"/>
      <c r="O31" s="388"/>
      <c r="P31" s="388"/>
      <c r="Q31" s="388"/>
      <c r="R31" s="388"/>
      <c r="S31" s="388"/>
      <c r="T31" s="388"/>
    </row>
    <row r="32" spans="1:20" x14ac:dyDescent="0.25">
      <c r="A32" s="388"/>
      <c r="B32" s="388"/>
      <c r="C32" s="388"/>
      <c r="D32" s="388"/>
      <c r="E32" s="388"/>
      <c r="F32" s="388"/>
      <c r="G32" s="388"/>
      <c r="H32" s="388"/>
      <c r="I32" s="388"/>
      <c r="J32" s="388"/>
      <c r="K32" s="388"/>
      <c r="L32" s="388"/>
      <c r="M32" s="388"/>
      <c r="N32" s="388"/>
      <c r="O32" s="388"/>
      <c r="P32" s="388"/>
      <c r="Q32" s="388"/>
      <c r="R32" s="388"/>
      <c r="S32" s="388"/>
      <c r="T32" s="388"/>
    </row>
    <row r="33" spans="1:20" x14ac:dyDescent="0.25">
      <c r="A33" s="388"/>
      <c r="B33" s="388"/>
      <c r="C33" s="388"/>
      <c r="D33" s="388"/>
      <c r="E33" s="388"/>
      <c r="F33" s="388"/>
      <c r="G33" s="388"/>
      <c r="H33" s="388"/>
      <c r="I33" s="388"/>
      <c r="J33" s="388"/>
      <c r="K33" s="388"/>
      <c r="L33" s="388"/>
      <c r="M33" s="388"/>
      <c r="N33" s="388"/>
      <c r="O33" s="388"/>
      <c r="P33" s="388"/>
      <c r="Q33" s="388"/>
      <c r="R33" s="388"/>
      <c r="S33" s="388"/>
      <c r="T33" s="388"/>
    </row>
    <row r="34" spans="1:20" x14ac:dyDescent="0.25">
      <c r="A34" s="388"/>
      <c r="B34" s="388"/>
      <c r="C34" s="388"/>
      <c r="D34" s="388"/>
      <c r="E34" s="388"/>
      <c r="F34" s="388"/>
      <c r="G34" s="388"/>
      <c r="H34" s="388"/>
      <c r="I34" s="388"/>
      <c r="J34" s="388"/>
      <c r="K34" s="388"/>
      <c r="L34" s="388"/>
      <c r="M34" s="388"/>
      <c r="N34" s="388"/>
      <c r="O34" s="388"/>
      <c r="P34" s="388"/>
      <c r="Q34" s="388"/>
      <c r="R34" s="388"/>
      <c r="S34" s="388"/>
      <c r="T34" s="388"/>
    </row>
    <row r="35" spans="1:20" x14ac:dyDescent="0.25">
      <c r="A35" s="388"/>
      <c r="B35" s="388"/>
      <c r="C35" s="388"/>
      <c r="D35" s="388"/>
      <c r="E35" s="388"/>
      <c r="F35" s="388"/>
      <c r="G35" s="388"/>
      <c r="H35" s="388"/>
      <c r="I35" s="388"/>
      <c r="J35" s="388"/>
      <c r="K35" s="388"/>
      <c r="L35" s="388"/>
      <c r="M35" s="388"/>
      <c r="N35" s="388"/>
      <c r="O35" s="388"/>
      <c r="P35" s="388"/>
      <c r="Q35" s="388"/>
      <c r="R35" s="388"/>
      <c r="S35" s="388"/>
      <c r="T35" s="388"/>
    </row>
    <row r="36" spans="1:20" x14ac:dyDescent="0.25">
      <c r="A36" s="388"/>
      <c r="B36" s="388"/>
      <c r="C36" s="388"/>
      <c r="D36" s="388"/>
      <c r="E36" s="388"/>
      <c r="F36" s="388"/>
      <c r="G36" s="388"/>
      <c r="H36" s="388"/>
      <c r="I36" s="388"/>
      <c r="J36" s="388"/>
      <c r="K36" s="388"/>
      <c r="L36" s="388"/>
      <c r="M36" s="388"/>
      <c r="N36" s="388"/>
      <c r="O36" s="388"/>
      <c r="P36" s="388"/>
      <c r="Q36" s="388"/>
      <c r="R36" s="388"/>
      <c r="S36" s="388"/>
      <c r="T36" s="388"/>
    </row>
    <row r="37" spans="1:20" x14ac:dyDescent="0.25">
      <c r="A37" s="388"/>
      <c r="B37" s="388"/>
      <c r="C37" s="388"/>
      <c r="D37" s="388"/>
      <c r="E37" s="388"/>
      <c r="F37" s="388"/>
      <c r="G37" s="388"/>
      <c r="H37" s="388"/>
      <c r="I37" s="388"/>
      <c r="J37" s="388"/>
      <c r="K37" s="388"/>
      <c r="L37" s="388"/>
      <c r="M37" s="388"/>
      <c r="N37" s="388"/>
      <c r="O37" s="388"/>
      <c r="P37" s="388"/>
      <c r="Q37" s="388"/>
      <c r="R37" s="388"/>
      <c r="S37" s="388"/>
      <c r="T37" s="388"/>
    </row>
    <row r="38" spans="1:20" x14ac:dyDescent="0.25">
      <c r="A38" s="388"/>
      <c r="B38" s="388"/>
      <c r="C38" s="388"/>
      <c r="D38" s="388"/>
      <c r="E38" s="388"/>
      <c r="F38" s="388"/>
      <c r="G38" s="388"/>
      <c r="H38" s="388"/>
      <c r="I38" s="388"/>
      <c r="J38" s="388"/>
      <c r="K38" s="388"/>
      <c r="L38" s="388"/>
      <c r="M38" s="388"/>
      <c r="N38" s="388"/>
      <c r="O38" s="388"/>
      <c r="P38" s="388"/>
      <c r="Q38" s="388"/>
      <c r="R38" s="388"/>
      <c r="S38" s="388"/>
      <c r="T38" s="388"/>
    </row>
    <row r="39" spans="1:20" x14ac:dyDescent="0.25">
      <c r="A39" s="388"/>
      <c r="B39" s="388"/>
      <c r="C39" s="388"/>
      <c r="D39" s="388"/>
      <c r="E39" s="388"/>
      <c r="F39" s="388"/>
      <c r="G39" s="388"/>
      <c r="H39" s="388"/>
      <c r="I39" s="388"/>
      <c r="J39" s="388"/>
      <c r="K39" s="388"/>
      <c r="L39" s="388"/>
      <c r="M39" s="388"/>
      <c r="N39" s="388"/>
      <c r="O39" s="388"/>
      <c r="P39" s="388"/>
      <c r="Q39" s="388"/>
      <c r="R39" s="388"/>
      <c r="S39" s="388"/>
      <c r="T39" s="388"/>
    </row>
    <row r="40" spans="1:20" x14ac:dyDescent="0.25">
      <c r="A40" s="388"/>
      <c r="B40" s="388"/>
      <c r="C40" s="388"/>
      <c r="D40" s="388"/>
      <c r="E40" s="388"/>
      <c r="F40" s="388"/>
      <c r="G40" s="388"/>
      <c r="H40" s="388"/>
      <c r="I40" s="388"/>
      <c r="J40" s="388"/>
      <c r="K40" s="388"/>
      <c r="L40" s="388"/>
      <c r="M40" s="388"/>
      <c r="N40" s="388"/>
      <c r="O40" s="388"/>
      <c r="P40" s="388"/>
      <c r="Q40" s="388"/>
      <c r="R40" s="388"/>
      <c r="S40" s="388"/>
      <c r="T40" s="388"/>
    </row>
    <row r="41" spans="1:20" x14ac:dyDescent="0.25">
      <c r="A41" s="388"/>
      <c r="B41" s="388"/>
      <c r="C41" s="388"/>
      <c r="D41" s="388"/>
      <c r="E41" s="388"/>
      <c r="F41" s="388"/>
      <c r="G41" s="388"/>
      <c r="H41" s="388"/>
      <c r="I41" s="388"/>
      <c r="J41" s="388"/>
      <c r="K41" s="388"/>
      <c r="L41" s="388"/>
      <c r="M41" s="388"/>
      <c r="N41" s="388"/>
      <c r="O41" s="388"/>
      <c r="P41" s="388"/>
      <c r="Q41" s="388"/>
      <c r="R41" s="388"/>
      <c r="S41" s="388"/>
      <c r="T41" s="388"/>
    </row>
    <row r="42" spans="1:20" x14ac:dyDescent="0.25">
      <c r="A42" s="388"/>
      <c r="B42" s="388"/>
      <c r="C42" s="388"/>
      <c r="D42" s="388"/>
      <c r="E42" s="388"/>
      <c r="F42" s="388"/>
      <c r="G42" s="388"/>
      <c r="H42" s="388"/>
      <c r="I42" s="388"/>
      <c r="J42" s="388"/>
      <c r="K42" s="388"/>
      <c r="L42" s="388"/>
      <c r="M42" s="388"/>
      <c r="N42" s="388"/>
      <c r="O42" s="388"/>
      <c r="P42" s="388"/>
      <c r="Q42" s="388"/>
      <c r="R42" s="388"/>
      <c r="S42" s="388"/>
      <c r="T42" s="388"/>
    </row>
    <row r="43" spans="1:20" x14ac:dyDescent="0.25">
      <c r="A43" s="388"/>
      <c r="B43" s="388"/>
      <c r="C43" s="388"/>
      <c r="D43" s="388"/>
      <c r="E43" s="388"/>
      <c r="F43" s="388"/>
      <c r="G43" s="388"/>
      <c r="H43" s="388"/>
      <c r="I43" s="388"/>
      <c r="J43" s="388"/>
      <c r="K43" s="388"/>
      <c r="L43" s="388"/>
      <c r="M43" s="388"/>
      <c r="N43" s="388"/>
      <c r="O43" s="388"/>
      <c r="P43" s="388"/>
      <c r="Q43" s="388"/>
      <c r="R43" s="388"/>
      <c r="S43" s="388"/>
      <c r="T43" s="388"/>
    </row>
    <row r="44" spans="1:20" x14ac:dyDescent="0.25">
      <c r="A44" s="388"/>
      <c r="B44" s="388"/>
      <c r="C44" s="388"/>
      <c r="D44" s="388"/>
      <c r="E44" s="388"/>
      <c r="F44" s="388"/>
      <c r="G44" s="388"/>
      <c r="H44" s="388"/>
      <c r="I44" s="388"/>
      <c r="J44" s="388"/>
      <c r="K44" s="388"/>
      <c r="L44" s="388"/>
      <c r="M44" s="388"/>
      <c r="N44" s="388"/>
      <c r="O44" s="388"/>
      <c r="P44" s="388"/>
      <c r="Q44" s="388"/>
      <c r="R44" s="388"/>
      <c r="S44" s="388"/>
      <c r="T44" s="388"/>
    </row>
    <row r="45" spans="1:20" x14ac:dyDescent="0.25">
      <c r="A45" s="388"/>
      <c r="B45" s="388"/>
      <c r="C45" s="388"/>
      <c r="D45" s="388"/>
      <c r="E45" s="388"/>
      <c r="F45" s="388"/>
      <c r="G45" s="388"/>
      <c r="H45" s="388"/>
      <c r="I45" s="388"/>
      <c r="J45" s="388"/>
      <c r="K45" s="388"/>
      <c r="L45" s="388"/>
      <c r="M45" s="388"/>
      <c r="N45" s="388"/>
      <c r="O45" s="388"/>
      <c r="P45" s="388"/>
      <c r="Q45" s="388"/>
      <c r="R45" s="388"/>
      <c r="S45" s="388"/>
      <c r="T45" s="388"/>
    </row>
    <row r="46" spans="1:20" x14ac:dyDescent="0.25">
      <c r="A46" s="388"/>
      <c r="B46" s="388"/>
      <c r="C46" s="388"/>
      <c r="D46" s="388"/>
      <c r="E46" s="388"/>
      <c r="F46" s="388"/>
      <c r="G46" s="388"/>
      <c r="H46" s="388"/>
      <c r="I46" s="388"/>
      <c r="J46" s="388"/>
      <c r="K46" s="388"/>
      <c r="L46" s="388"/>
      <c r="M46" s="388"/>
      <c r="N46" s="388"/>
      <c r="O46" s="388"/>
      <c r="P46" s="388"/>
      <c r="Q46" s="388"/>
      <c r="R46" s="388"/>
      <c r="S46" s="388"/>
      <c r="T46" s="388"/>
    </row>
    <row r="47" spans="1:20" x14ac:dyDescent="0.25">
      <c r="A47" s="388"/>
      <c r="B47" s="388"/>
      <c r="C47" s="388"/>
      <c r="D47" s="388"/>
      <c r="E47" s="388"/>
      <c r="F47" s="388"/>
      <c r="G47" s="388"/>
      <c r="H47" s="388"/>
      <c r="I47" s="388"/>
      <c r="J47" s="388"/>
      <c r="K47" s="388"/>
      <c r="L47" s="388"/>
      <c r="M47" s="388"/>
      <c r="N47" s="388"/>
      <c r="O47" s="388"/>
      <c r="P47" s="388"/>
      <c r="Q47" s="388"/>
      <c r="R47" s="388"/>
      <c r="S47" s="388"/>
      <c r="T47" s="388"/>
    </row>
    <row r="48" spans="1:20" x14ac:dyDescent="0.25">
      <c r="A48" s="388"/>
      <c r="B48" s="388"/>
      <c r="C48" s="388"/>
      <c r="D48" s="388"/>
      <c r="E48" s="388"/>
      <c r="F48" s="388"/>
      <c r="G48" s="388"/>
      <c r="H48" s="388"/>
      <c r="I48" s="388"/>
      <c r="J48" s="388"/>
      <c r="K48" s="388"/>
      <c r="L48" s="388"/>
      <c r="M48" s="388"/>
      <c r="N48" s="388"/>
      <c r="O48" s="388"/>
      <c r="P48" s="388"/>
      <c r="Q48" s="388"/>
      <c r="R48" s="388"/>
      <c r="S48" s="388"/>
      <c r="T48" s="388"/>
    </row>
    <row r="49" spans="1:20" x14ac:dyDescent="0.25">
      <c r="A49" s="388"/>
      <c r="B49" s="388"/>
      <c r="C49" s="388"/>
      <c r="D49" s="388"/>
      <c r="E49" s="388"/>
      <c r="F49" s="388"/>
      <c r="G49" s="388"/>
      <c r="H49" s="388"/>
      <c r="I49" s="388"/>
      <c r="J49" s="388"/>
      <c r="K49" s="388"/>
      <c r="L49" s="388"/>
      <c r="M49" s="388"/>
      <c r="N49" s="388"/>
      <c r="O49" s="388"/>
      <c r="P49" s="388"/>
      <c r="Q49" s="388"/>
      <c r="R49" s="388"/>
      <c r="S49" s="388"/>
      <c r="T49" s="388"/>
    </row>
    <row r="50" spans="1:20" x14ac:dyDescent="0.25">
      <c r="A50" s="388"/>
      <c r="B50" s="388"/>
      <c r="C50" s="388"/>
      <c r="D50" s="388"/>
      <c r="E50" s="388"/>
      <c r="F50" s="388"/>
      <c r="G50" s="388"/>
      <c r="H50" s="388"/>
      <c r="I50" s="388"/>
      <c r="J50" s="388"/>
      <c r="K50" s="388"/>
      <c r="L50" s="388"/>
      <c r="M50" s="388"/>
      <c r="N50" s="388"/>
      <c r="O50" s="388"/>
      <c r="P50" s="388"/>
      <c r="Q50" s="388"/>
      <c r="R50" s="388"/>
      <c r="S50" s="388"/>
      <c r="T50" s="388"/>
    </row>
    <row r="51" spans="1:20" x14ac:dyDescent="0.25">
      <c r="A51" s="388"/>
      <c r="B51" s="388"/>
      <c r="C51" s="388"/>
      <c r="D51" s="388"/>
      <c r="E51" s="388"/>
      <c r="F51" s="388"/>
      <c r="G51" s="388"/>
      <c r="H51" s="388"/>
      <c r="I51" s="388"/>
      <c r="J51" s="388"/>
      <c r="K51" s="388"/>
      <c r="L51" s="388"/>
      <c r="M51" s="388"/>
      <c r="N51" s="388"/>
      <c r="O51" s="388"/>
      <c r="P51" s="388"/>
      <c r="Q51" s="388"/>
      <c r="R51" s="388"/>
      <c r="S51" s="388"/>
      <c r="T51" s="388"/>
    </row>
    <row r="52" spans="1:20" x14ac:dyDescent="0.25">
      <c r="A52" s="388"/>
      <c r="B52" s="388"/>
      <c r="C52" s="388"/>
      <c r="D52" s="388"/>
      <c r="E52" s="388"/>
      <c r="F52" s="388"/>
      <c r="G52" s="388"/>
      <c r="H52" s="388"/>
      <c r="I52" s="388"/>
      <c r="J52" s="388"/>
      <c r="K52" s="388"/>
      <c r="L52" s="388"/>
      <c r="M52" s="388"/>
      <c r="N52" s="388"/>
      <c r="O52" s="388"/>
      <c r="P52" s="388"/>
      <c r="Q52" s="388"/>
      <c r="R52" s="388"/>
      <c r="S52" s="388"/>
      <c r="T52" s="388"/>
    </row>
    <row r="53" spans="1:20" x14ac:dyDescent="0.25">
      <c r="A53" s="388"/>
      <c r="B53" s="388"/>
      <c r="C53" s="388"/>
      <c r="D53" s="388"/>
      <c r="E53" s="388"/>
      <c r="F53" s="388"/>
      <c r="G53" s="388"/>
      <c r="H53" s="388"/>
      <c r="I53" s="388"/>
      <c r="J53" s="388"/>
      <c r="K53" s="388"/>
      <c r="L53" s="388"/>
      <c r="M53" s="388"/>
      <c r="N53" s="388"/>
      <c r="O53" s="388"/>
      <c r="P53" s="388"/>
      <c r="Q53" s="388"/>
      <c r="R53" s="388"/>
      <c r="S53" s="388"/>
      <c r="T53" s="388"/>
    </row>
    <row r="54" spans="1:20" x14ac:dyDescent="0.25">
      <c r="A54" s="388"/>
      <c r="B54" s="388"/>
      <c r="C54" s="388"/>
      <c r="D54" s="388"/>
      <c r="E54" s="388"/>
      <c r="F54" s="388"/>
      <c r="G54" s="388"/>
      <c r="H54" s="388"/>
      <c r="I54" s="388"/>
      <c r="J54" s="388"/>
      <c r="K54" s="388"/>
      <c r="L54" s="388"/>
      <c r="M54" s="388"/>
      <c r="N54" s="388"/>
      <c r="O54" s="388"/>
      <c r="P54" s="388"/>
      <c r="Q54" s="388"/>
      <c r="R54" s="388"/>
      <c r="S54" s="388"/>
      <c r="T54" s="388"/>
    </row>
    <row r="55" spans="1:20" x14ac:dyDescent="0.25">
      <c r="A55" s="388"/>
      <c r="B55" s="388"/>
      <c r="C55" s="388"/>
      <c r="D55" s="388"/>
      <c r="E55" s="388"/>
      <c r="F55" s="388"/>
      <c r="G55" s="388"/>
      <c r="H55" s="388"/>
      <c r="I55" s="388"/>
      <c r="J55" s="388"/>
      <c r="K55" s="388"/>
      <c r="L55" s="388"/>
      <c r="M55" s="388"/>
      <c r="N55" s="388"/>
      <c r="O55" s="388"/>
      <c r="P55" s="388"/>
      <c r="Q55" s="388"/>
      <c r="R55" s="388"/>
      <c r="S55" s="388"/>
      <c r="T55" s="388"/>
    </row>
    <row r="56" spans="1:20" x14ac:dyDescent="0.25">
      <c r="A56" s="388"/>
      <c r="B56" s="388"/>
      <c r="C56" s="388"/>
      <c r="D56" s="388"/>
      <c r="E56" s="388"/>
      <c r="F56" s="388"/>
      <c r="G56" s="388"/>
      <c r="H56" s="388"/>
      <c r="I56" s="388"/>
      <c r="J56" s="388"/>
      <c r="K56" s="388"/>
      <c r="L56" s="388"/>
      <c r="M56" s="388"/>
      <c r="N56" s="388"/>
      <c r="O56" s="388"/>
      <c r="P56" s="388"/>
      <c r="Q56" s="388"/>
      <c r="R56" s="388"/>
      <c r="S56" s="388"/>
      <c r="T56" s="388"/>
    </row>
    <row r="57" spans="1:20" x14ac:dyDescent="0.25">
      <c r="A57" s="388"/>
      <c r="B57" s="388"/>
      <c r="C57" s="388"/>
      <c r="D57" s="388"/>
      <c r="E57" s="388"/>
      <c r="F57" s="388"/>
      <c r="G57" s="388"/>
      <c r="H57" s="388"/>
      <c r="I57" s="388"/>
      <c r="J57" s="388"/>
      <c r="K57" s="388"/>
      <c r="L57" s="388"/>
      <c r="M57" s="388"/>
      <c r="N57" s="388"/>
      <c r="O57" s="388"/>
      <c r="P57" s="388"/>
      <c r="Q57" s="388"/>
      <c r="R57" s="388"/>
      <c r="S57" s="388"/>
      <c r="T57" s="388"/>
    </row>
    <row r="58" spans="1:20" x14ac:dyDescent="0.25">
      <c r="A58" s="388"/>
      <c r="B58" s="388"/>
      <c r="C58" s="388"/>
      <c r="D58" s="388"/>
      <c r="E58" s="388"/>
      <c r="F58" s="388"/>
      <c r="G58" s="388"/>
      <c r="H58" s="388"/>
      <c r="I58" s="388"/>
      <c r="J58" s="388"/>
      <c r="K58" s="388"/>
      <c r="L58" s="388"/>
      <c r="M58" s="388"/>
      <c r="N58" s="388"/>
      <c r="O58" s="388"/>
      <c r="P58" s="388"/>
      <c r="Q58" s="388"/>
      <c r="R58" s="388"/>
      <c r="S58" s="388"/>
      <c r="T58" s="388"/>
    </row>
    <row r="59" spans="1:20" x14ac:dyDescent="0.25">
      <c r="A59" s="388"/>
      <c r="B59" s="388"/>
      <c r="C59" s="388"/>
      <c r="D59" s="388"/>
      <c r="E59" s="388"/>
      <c r="F59" s="388"/>
      <c r="G59" s="388"/>
      <c r="H59" s="388"/>
      <c r="I59" s="388"/>
      <c r="J59" s="388"/>
      <c r="K59" s="388"/>
      <c r="L59" s="388"/>
      <c r="M59" s="388"/>
      <c r="N59" s="388"/>
      <c r="O59" s="388"/>
      <c r="P59" s="388"/>
      <c r="Q59" s="388"/>
      <c r="R59" s="388"/>
      <c r="S59" s="388"/>
      <c r="T59" s="388"/>
    </row>
    <row r="60" spans="1:20" x14ac:dyDescent="0.25">
      <c r="A60" s="388"/>
      <c r="B60" s="388"/>
      <c r="C60" s="388"/>
      <c r="D60" s="388"/>
      <c r="E60" s="388"/>
      <c r="F60" s="388"/>
      <c r="G60" s="388"/>
      <c r="H60" s="388"/>
      <c r="I60" s="388"/>
      <c r="J60" s="388"/>
      <c r="K60" s="388"/>
      <c r="L60" s="388"/>
      <c r="M60" s="388"/>
      <c r="N60" s="388"/>
      <c r="O60" s="388"/>
      <c r="P60" s="388"/>
      <c r="Q60" s="388"/>
      <c r="R60" s="388"/>
      <c r="S60" s="388"/>
      <c r="T60" s="388"/>
    </row>
    <row r="61" spans="1:20" x14ac:dyDescent="0.25">
      <c r="A61" s="388"/>
      <c r="B61" s="388"/>
      <c r="C61" s="388"/>
      <c r="D61" s="388"/>
      <c r="E61" s="388"/>
      <c r="F61" s="388"/>
      <c r="G61" s="388"/>
      <c r="H61" s="388"/>
      <c r="I61" s="388"/>
      <c r="J61" s="388"/>
      <c r="K61" s="388"/>
      <c r="L61" s="388"/>
      <c r="M61" s="388"/>
      <c r="N61" s="388"/>
      <c r="O61" s="388"/>
      <c r="P61" s="388"/>
      <c r="Q61" s="388"/>
      <c r="R61" s="388"/>
      <c r="S61" s="388"/>
      <c r="T61" s="388"/>
    </row>
    <row r="62" spans="1:20" x14ac:dyDescent="0.25">
      <c r="A62" s="388"/>
      <c r="B62" s="388"/>
      <c r="C62" s="388"/>
      <c r="D62" s="388"/>
      <c r="E62" s="388"/>
      <c r="F62" s="388"/>
      <c r="G62" s="388"/>
      <c r="H62" s="388"/>
      <c r="I62" s="388"/>
      <c r="J62" s="388"/>
      <c r="K62" s="388"/>
      <c r="L62" s="388"/>
      <c r="M62" s="388"/>
      <c r="N62" s="388"/>
      <c r="O62" s="388"/>
      <c r="P62" s="388"/>
      <c r="Q62" s="388"/>
      <c r="R62" s="388"/>
      <c r="S62" s="388"/>
      <c r="T62" s="388"/>
    </row>
    <row r="63" spans="1:20" x14ac:dyDescent="0.25">
      <c r="A63" s="388"/>
      <c r="B63" s="388"/>
      <c r="C63" s="388"/>
      <c r="D63" s="388"/>
      <c r="E63" s="388"/>
      <c r="F63" s="388"/>
      <c r="G63" s="388"/>
      <c r="H63" s="388"/>
      <c r="I63" s="388"/>
      <c r="J63" s="388"/>
      <c r="K63" s="388"/>
      <c r="L63" s="388"/>
      <c r="M63" s="388"/>
      <c r="N63" s="388"/>
      <c r="O63" s="388"/>
      <c r="P63" s="388"/>
      <c r="Q63" s="388"/>
      <c r="R63" s="388"/>
      <c r="S63" s="388"/>
      <c r="T63" s="388"/>
    </row>
    <row r="64" spans="1:20" x14ac:dyDescent="0.25">
      <c r="A64" s="388"/>
      <c r="B64" s="388"/>
      <c r="C64" s="388"/>
      <c r="D64" s="388"/>
      <c r="E64" s="388"/>
      <c r="F64" s="388"/>
      <c r="G64" s="388"/>
      <c r="H64" s="388"/>
      <c r="I64" s="388"/>
      <c r="J64" s="388"/>
      <c r="K64" s="388"/>
      <c r="L64" s="388"/>
      <c r="M64" s="388"/>
      <c r="N64" s="388"/>
      <c r="O64" s="388"/>
      <c r="P64" s="388"/>
      <c r="Q64" s="388"/>
      <c r="R64" s="388"/>
      <c r="S64" s="388"/>
      <c r="T64" s="388"/>
    </row>
    <row r="65" spans="1:20" x14ac:dyDescent="0.25">
      <c r="A65" s="388"/>
      <c r="B65" s="388"/>
      <c r="C65" s="388"/>
      <c r="D65" s="388"/>
      <c r="E65" s="388"/>
      <c r="F65" s="388"/>
      <c r="G65" s="388"/>
      <c r="H65" s="388"/>
      <c r="I65" s="388"/>
      <c r="J65" s="388"/>
      <c r="K65" s="388"/>
      <c r="L65" s="388"/>
      <c r="M65" s="388"/>
      <c r="N65" s="388"/>
      <c r="O65" s="388"/>
      <c r="P65" s="388"/>
      <c r="Q65" s="388"/>
      <c r="R65" s="388"/>
      <c r="S65" s="388"/>
      <c r="T65" s="388"/>
    </row>
    <row r="66" spans="1:20" x14ac:dyDescent="0.25">
      <c r="A66" s="388"/>
      <c r="B66" s="388"/>
      <c r="C66" s="388"/>
      <c r="D66" s="388"/>
      <c r="E66" s="388"/>
      <c r="F66" s="388"/>
      <c r="G66" s="388"/>
      <c r="H66" s="388"/>
      <c r="I66" s="388"/>
      <c r="J66" s="388"/>
      <c r="K66" s="388"/>
      <c r="L66" s="388"/>
      <c r="M66" s="388"/>
      <c r="N66" s="388"/>
      <c r="O66" s="388"/>
      <c r="P66" s="388"/>
      <c r="Q66" s="388"/>
      <c r="R66" s="388"/>
      <c r="S66" s="388"/>
      <c r="T66" s="388"/>
    </row>
    <row r="67" spans="1:20" x14ac:dyDescent="0.25">
      <c r="A67" s="388"/>
      <c r="B67" s="388"/>
      <c r="C67" s="388"/>
      <c r="D67" s="388"/>
      <c r="E67" s="388"/>
      <c r="F67" s="388"/>
      <c r="G67" s="388"/>
      <c r="H67" s="388"/>
      <c r="I67" s="388"/>
      <c r="J67" s="388"/>
      <c r="K67" s="388"/>
      <c r="L67" s="388"/>
      <c r="M67" s="388"/>
      <c r="N67" s="388"/>
      <c r="O67" s="388"/>
      <c r="P67" s="388"/>
      <c r="Q67" s="388"/>
      <c r="R67" s="388"/>
      <c r="S67" s="388"/>
      <c r="T67" s="388"/>
    </row>
    <row r="68" spans="1:20" x14ac:dyDescent="0.25">
      <c r="A68" s="388"/>
      <c r="B68" s="388"/>
      <c r="C68" s="388"/>
      <c r="D68" s="388"/>
      <c r="E68" s="388"/>
      <c r="F68" s="388"/>
      <c r="G68" s="388"/>
      <c r="H68" s="388"/>
      <c r="I68" s="388"/>
      <c r="J68" s="388"/>
      <c r="K68" s="388"/>
      <c r="L68" s="388"/>
      <c r="M68" s="388"/>
      <c r="N68" s="388"/>
      <c r="O68" s="388"/>
      <c r="P68" s="388"/>
      <c r="Q68" s="388"/>
      <c r="R68" s="388"/>
      <c r="S68" s="388"/>
      <c r="T68" s="388"/>
    </row>
    <row r="69" spans="1:20" x14ac:dyDescent="0.25">
      <c r="A69" s="388"/>
      <c r="B69" s="388"/>
      <c r="C69" s="388"/>
      <c r="D69" s="388"/>
      <c r="E69" s="388"/>
      <c r="F69" s="388"/>
      <c r="G69" s="388"/>
      <c r="H69" s="388"/>
      <c r="I69" s="388"/>
      <c r="J69" s="388"/>
      <c r="K69" s="388"/>
      <c r="L69" s="388"/>
      <c r="M69" s="388"/>
      <c r="N69" s="388"/>
      <c r="O69" s="388"/>
      <c r="P69" s="388"/>
      <c r="Q69" s="388"/>
      <c r="R69" s="388"/>
      <c r="S69" s="388"/>
      <c r="T69" s="388"/>
    </row>
    <row r="70" spans="1:20" x14ac:dyDescent="0.25">
      <c r="A70" s="388"/>
      <c r="B70" s="388"/>
      <c r="C70" s="388"/>
      <c r="D70" s="388"/>
      <c r="E70" s="388"/>
      <c r="F70" s="388"/>
      <c r="G70" s="388"/>
      <c r="H70" s="388"/>
      <c r="I70" s="388"/>
      <c r="J70" s="388"/>
      <c r="K70" s="388"/>
      <c r="L70" s="388"/>
      <c r="M70" s="388"/>
      <c r="N70" s="388"/>
      <c r="O70" s="388"/>
      <c r="P70" s="388"/>
      <c r="Q70" s="388"/>
      <c r="R70" s="388"/>
      <c r="S70" s="388"/>
      <c r="T70" s="388"/>
    </row>
    <row r="71" spans="1:20" x14ac:dyDescent="0.25">
      <c r="A71" s="388"/>
      <c r="B71" s="388"/>
      <c r="C71" s="388"/>
      <c r="D71" s="388"/>
      <c r="E71" s="388"/>
      <c r="F71" s="388"/>
      <c r="G71" s="388"/>
      <c r="H71" s="388"/>
      <c r="I71" s="388"/>
      <c r="J71" s="388"/>
      <c r="K71" s="388"/>
      <c r="L71" s="388"/>
      <c r="M71" s="388"/>
      <c r="N71" s="388"/>
      <c r="O71" s="388"/>
      <c r="P71" s="388"/>
      <c r="Q71" s="388"/>
      <c r="R71" s="388"/>
      <c r="S71" s="388"/>
      <c r="T71" s="388"/>
    </row>
    <row r="72" spans="1:20" x14ac:dyDescent="0.25">
      <c r="A72" s="388"/>
      <c r="B72" s="388"/>
      <c r="C72" s="388"/>
      <c r="D72" s="388"/>
      <c r="E72" s="388"/>
      <c r="F72" s="388"/>
      <c r="G72" s="388"/>
      <c r="H72" s="388"/>
      <c r="I72" s="388"/>
      <c r="J72" s="388"/>
      <c r="K72" s="388"/>
      <c r="L72" s="388"/>
      <c r="M72" s="388"/>
      <c r="N72" s="388"/>
      <c r="O72" s="388"/>
      <c r="P72" s="388"/>
      <c r="Q72" s="388"/>
      <c r="R72" s="388"/>
      <c r="S72" s="388"/>
      <c r="T72" s="388"/>
    </row>
    <row r="73" spans="1:20" x14ac:dyDescent="0.25">
      <c r="A73" s="388"/>
      <c r="B73" s="388"/>
      <c r="C73" s="388"/>
      <c r="D73" s="388"/>
      <c r="E73" s="388"/>
      <c r="F73" s="388"/>
      <c r="G73" s="388"/>
      <c r="H73" s="388"/>
      <c r="I73" s="388"/>
      <c r="J73" s="388"/>
      <c r="K73" s="388"/>
      <c r="L73" s="388"/>
      <c r="M73" s="388"/>
      <c r="N73" s="388"/>
      <c r="O73" s="388"/>
      <c r="P73" s="388"/>
      <c r="Q73" s="388"/>
      <c r="R73" s="388"/>
      <c r="S73" s="388"/>
      <c r="T73" s="388"/>
    </row>
    <row r="74" spans="1:20" x14ac:dyDescent="0.25">
      <c r="A74" s="388"/>
      <c r="B74" s="388"/>
      <c r="C74" s="388"/>
      <c r="D74" s="388"/>
      <c r="E74" s="388"/>
      <c r="F74" s="388"/>
      <c r="G74" s="388"/>
      <c r="H74" s="388"/>
      <c r="I74" s="388"/>
      <c r="J74" s="388"/>
      <c r="K74" s="388"/>
      <c r="L74" s="388"/>
      <c r="M74" s="388"/>
      <c r="N74" s="388"/>
      <c r="O74" s="388"/>
      <c r="P74" s="388"/>
      <c r="Q74" s="388"/>
      <c r="R74" s="388"/>
      <c r="S74" s="388"/>
      <c r="T74" s="388"/>
    </row>
    <row r="75" spans="1:20" x14ac:dyDescent="0.25">
      <c r="A75" s="388"/>
      <c r="B75" s="388"/>
      <c r="C75" s="388"/>
      <c r="D75" s="388"/>
      <c r="E75" s="388"/>
      <c r="F75" s="388"/>
      <c r="G75" s="388"/>
      <c r="H75" s="388"/>
      <c r="I75" s="388"/>
      <c r="J75" s="388"/>
      <c r="K75" s="388"/>
      <c r="L75" s="388"/>
      <c r="M75" s="388"/>
      <c r="N75" s="388"/>
      <c r="O75" s="388"/>
      <c r="P75" s="388"/>
      <c r="Q75" s="388"/>
      <c r="R75" s="388"/>
      <c r="S75" s="388"/>
      <c r="T75" s="388"/>
    </row>
    <row r="76" spans="1:20" x14ac:dyDescent="0.25">
      <c r="A76" s="388"/>
      <c r="B76" s="388"/>
      <c r="C76" s="388"/>
      <c r="D76" s="388"/>
      <c r="E76" s="388"/>
      <c r="F76" s="388"/>
      <c r="G76" s="388"/>
      <c r="H76" s="388"/>
      <c r="I76" s="388"/>
      <c r="J76" s="388"/>
      <c r="K76" s="388"/>
      <c r="L76" s="388"/>
      <c r="M76" s="388"/>
      <c r="N76" s="388"/>
      <c r="O76" s="388"/>
      <c r="P76" s="388"/>
      <c r="Q76" s="388"/>
      <c r="R76" s="388"/>
      <c r="S76" s="388"/>
      <c r="T76" s="388"/>
    </row>
    <row r="77" spans="1:20" x14ac:dyDescent="0.25">
      <c r="A77" s="388"/>
      <c r="B77" s="388"/>
      <c r="C77" s="388"/>
      <c r="D77" s="388"/>
      <c r="E77" s="388"/>
      <c r="F77" s="388"/>
      <c r="G77" s="388"/>
      <c r="H77" s="388"/>
      <c r="I77" s="388"/>
      <c r="J77" s="388"/>
      <c r="K77" s="388"/>
      <c r="L77" s="388"/>
      <c r="M77" s="388"/>
      <c r="N77" s="388"/>
      <c r="O77" s="388"/>
      <c r="P77" s="388"/>
      <c r="Q77" s="388"/>
      <c r="R77" s="388"/>
      <c r="S77" s="388"/>
      <c r="T77" s="388"/>
    </row>
    <row r="78" spans="1:20" x14ac:dyDescent="0.25">
      <c r="A78" s="388"/>
      <c r="B78" s="388"/>
      <c r="C78" s="388"/>
      <c r="D78" s="388"/>
      <c r="E78" s="388"/>
      <c r="F78" s="388"/>
      <c r="G78" s="388"/>
      <c r="H78" s="388"/>
      <c r="I78" s="388"/>
      <c r="J78" s="388"/>
      <c r="K78" s="388"/>
      <c r="L78" s="388"/>
      <c r="M78" s="388"/>
      <c r="N78" s="388"/>
      <c r="O78" s="388"/>
      <c r="P78" s="388"/>
      <c r="Q78" s="388"/>
      <c r="R78" s="388"/>
      <c r="S78" s="388"/>
      <c r="T78" s="388"/>
    </row>
    <row r="79" spans="1:20" x14ac:dyDescent="0.25">
      <c r="A79" s="388"/>
      <c r="B79" s="388"/>
      <c r="C79" s="388"/>
      <c r="D79" s="388"/>
      <c r="E79" s="388"/>
      <c r="F79" s="388"/>
      <c r="G79" s="388"/>
      <c r="H79" s="388"/>
      <c r="I79" s="388"/>
      <c r="J79" s="388"/>
      <c r="K79" s="388"/>
      <c r="L79" s="388"/>
      <c r="M79" s="388"/>
      <c r="N79" s="388"/>
      <c r="O79" s="388"/>
      <c r="P79" s="388"/>
      <c r="Q79" s="388"/>
      <c r="R79" s="388"/>
      <c r="S79" s="388"/>
      <c r="T79" s="388"/>
    </row>
    <row r="80" spans="1:20" x14ac:dyDescent="0.25">
      <c r="A80" s="388"/>
      <c r="B80" s="388"/>
      <c r="C80" s="388"/>
      <c r="D80" s="388"/>
      <c r="E80" s="388"/>
      <c r="F80" s="388"/>
      <c r="G80" s="388"/>
      <c r="H80" s="388"/>
      <c r="I80" s="388"/>
      <c r="J80" s="388"/>
      <c r="K80" s="388"/>
      <c r="L80" s="388"/>
      <c r="M80" s="388"/>
      <c r="N80" s="388"/>
      <c r="O80" s="388"/>
      <c r="P80" s="388"/>
      <c r="Q80" s="388"/>
      <c r="R80" s="388"/>
      <c r="S80" s="388"/>
      <c r="T80" s="388"/>
    </row>
    <row r="81" spans="1:20" x14ac:dyDescent="0.25">
      <c r="A81" s="388"/>
      <c r="B81" s="388"/>
      <c r="C81" s="388"/>
      <c r="D81" s="388"/>
      <c r="E81" s="388"/>
      <c r="F81" s="388"/>
      <c r="G81" s="388"/>
      <c r="H81" s="388"/>
      <c r="I81" s="388"/>
      <c r="J81" s="388"/>
      <c r="K81" s="388"/>
      <c r="L81" s="388"/>
      <c r="M81" s="388"/>
      <c r="N81" s="388"/>
      <c r="O81" s="388"/>
      <c r="P81" s="388"/>
      <c r="Q81" s="388"/>
      <c r="R81" s="388"/>
      <c r="S81" s="388"/>
      <c r="T81" s="388"/>
    </row>
    <row r="82" spans="1:20" x14ac:dyDescent="0.25">
      <c r="A82" s="388"/>
      <c r="B82" s="388"/>
      <c r="C82" s="388"/>
      <c r="D82" s="388"/>
      <c r="E82" s="388"/>
      <c r="F82" s="388"/>
      <c r="G82" s="388"/>
      <c r="H82" s="388"/>
      <c r="I82" s="388"/>
      <c r="J82" s="388"/>
      <c r="K82" s="388"/>
      <c r="L82" s="388"/>
      <c r="M82" s="388"/>
      <c r="N82" s="388"/>
      <c r="O82" s="388"/>
      <c r="P82" s="388"/>
      <c r="Q82" s="388"/>
      <c r="R82" s="388"/>
      <c r="S82" s="388"/>
      <c r="T82" s="388"/>
    </row>
    <row r="83" spans="1:20" x14ac:dyDescent="0.25">
      <c r="A83" s="388"/>
      <c r="B83" s="388"/>
      <c r="C83" s="388"/>
      <c r="D83" s="388"/>
      <c r="E83" s="388"/>
      <c r="F83" s="388"/>
      <c r="G83" s="388"/>
      <c r="H83" s="388"/>
      <c r="I83" s="388"/>
      <c r="J83" s="388"/>
      <c r="K83" s="388"/>
      <c r="L83" s="388"/>
      <c r="M83" s="388"/>
      <c r="N83" s="388"/>
      <c r="O83" s="388"/>
      <c r="P83" s="388"/>
      <c r="Q83" s="388"/>
      <c r="R83" s="388"/>
      <c r="S83" s="388"/>
      <c r="T83" s="388"/>
    </row>
    <row r="84" spans="1:20" x14ac:dyDescent="0.25">
      <c r="A84" s="388"/>
      <c r="B84" s="388"/>
      <c r="C84" s="388"/>
      <c r="D84" s="388"/>
      <c r="E84" s="388"/>
      <c r="F84" s="388"/>
      <c r="G84" s="388"/>
      <c r="H84" s="388"/>
      <c r="I84" s="388"/>
      <c r="J84" s="388"/>
      <c r="K84" s="388"/>
      <c r="L84" s="388"/>
      <c r="M84" s="388"/>
      <c r="N84" s="388"/>
      <c r="O84" s="388"/>
      <c r="P84" s="388"/>
      <c r="Q84" s="388"/>
      <c r="R84" s="388"/>
      <c r="S84" s="388"/>
      <c r="T84" s="388"/>
    </row>
    <row r="85" spans="1:20" x14ac:dyDescent="0.25">
      <c r="A85" s="388"/>
      <c r="B85" s="388"/>
      <c r="C85" s="388"/>
      <c r="D85" s="388"/>
      <c r="E85" s="388"/>
      <c r="F85" s="388"/>
      <c r="G85" s="388"/>
      <c r="H85" s="388"/>
      <c r="I85" s="388"/>
      <c r="J85" s="388"/>
      <c r="K85" s="388"/>
      <c r="L85" s="388"/>
      <c r="M85" s="388"/>
      <c r="N85" s="388"/>
      <c r="O85" s="388"/>
      <c r="P85" s="388"/>
      <c r="Q85" s="388"/>
      <c r="R85" s="388"/>
      <c r="S85" s="388"/>
      <c r="T85" s="388"/>
    </row>
    <row r="86" spans="1:20" x14ac:dyDescent="0.25">
      <c r="A86" s="388"/>
      <c r="B86" s="388"/>
      <c r="C86" s="388"/>
      <c r="D86" s="388"/>
      <c r="E86" s="388"/>
      <c r="F86" s="388"/>
      <c r="G86" s="388"/>
      <c r="H86" s="388"/>
      <c r="I86" s="388"/>
      <c r="J86" s="388"/>
      <c r="K86" s="388"/>
      <c r="L86" s="388"/>
      <c r="M86" s="388"/>
      <c r="N86" s="388"/>
      <c r="O86" s="388"/>
      <c r="P86" s="388"/>
      <c r="Q86" s="388"/>
      <c r="R86" s="388"/>
      <c r="S86" s="388"/>
      <c r="T86" s="388"/>
    </row>
    <row r="87" spans="1:20" x14ac:dyDescent="0.25">
      <c r="A87" s="388"/>
      <c r="B87" s="388"/>
      <c r="C87" s="388"/>
      <c r="D87" s="388"/>
      <c r="E87" s="388"/>
      <c r="F87" s="388"/>
      <c r="G87" s="388"/>
      <c r="H87" s="388"/>
      <c r="I87" s="388"/>
      <c r="J87" s="388"/>
      <c r="K87" s="388"/>
      <c r="L87" s="388"/>
      <c r="M87" s="388"/>
      <c r="N87" s="388"/>
      <c r="O87" s="388"/>
      <c r="P87" s="388"/>
      <c r="Q87" s="388"/>
      <c r="R87" s="388"/>
      <c r="S87" s="388"/>
      <c r="T87" s="388"/>
    </row>
    <row r="88" spans="1:20" x14ac:dyDescent="0.25">
      <c r="A88" s="388"/>
      <c r="B88" s="388"/>
      <c r="C88" s="388"/>
      <c r="D88" s="388"/>
      <c r="E88" s="388"/>
      <c r="F88" s="388"/>
      <c r="G88" s="388"/>
      <c r="H88" s="388"/>
      <c r="I88" s="388"/>
      <c r="J88" s="388"/>
      <c r="K88" s="388"/>
      <c r="L88" s="388"/>
      <c r="M88" s="388"/>
      <c r="N88" s="388"/>
      <c r="O88" s="388"/>
      <c r="P88" s="388"/>
      <c r="Q88" s="388"/>
      <c r="R88" s="388"/>
      <c r="S88" s="388"/>
      <c r="T88" s="388"/>
    </row>
    <row r="89" spans="1:20" x14ac:dyDescent="0.25">
      <c r="A89" s="388"/>
      <c r="B89" s="388"/>
      <c r="C89" s="388"/>
      <c r="D89" s="388"/>
      <c r="E89" s="388"/>
      <c r="F89" s="388"/>
      <c r="G89" s="388"/>
      <c r="H89" s="388"/>
      <c r="I89" s="388"/>
      <c r="J89" s="388"/>
      <c r="K89" s="388"/>
      <c r="L89" s="388"/>
      <c r="M89" s="388"/>
      <c r="N89" s="388"/>
      <c r="O89" s="388"/>
      <c r="P89" s="388"/>
      <c r="Q89" s="388"/>
      <c r="R89" s="388"/>
      <c r="S89" s="388"/>
      <c r="T89" s="388"/>
    </row>
    <row r="90" spans="1:20" x14ac:dyDescent="0.25">
      <c r="A90" s="388"/>
      <c r="B90" s="388"/>
      <c r="C90" s="388"/>
      <c r="D90" s="388"/>
      <c r="E90" s="388"/>
      <c r="F90" s="388"/>
      <c r="G90" s="388"/>
      <c r="H90" s="388"/>
      <c r="I90" s="388"/>
      <c r="J90" s="388"/>
      <c r="K90" s="388"/>
      <c r="L90" s="388"/>
      <c r="M90" s="388"/>
      <c r="N90" s="388"/>
      <c r="O90" s="388"/>
      <c r="P90" s="388"/>
      <c r="Q90" s="388"/>
      <c r="R90" s="388"/>
      <c r="S90" s="388"/>
      <c r="T90" s="388"/>
    </row>
    <row r="91" spans="1:20" x14ac:dyDescent="0.25">
      <c r="A91" s="388"/>
      <c r="B91" s="388"/>
      <c r="C91" s="388"/>
      <c r="D91" s="388"/>
      <c r="E91" s="388"/>
      <c r="F91" s="388"/>
      <c r="G91" s="388"/>
      <c r="H91" s="388"/>
      <c r="I91" s="388"/>
      <c r="J91" s="388"/>
      <c r="K91" s="388"/>
      <c r="L91" s="388"/>
      <c r="M91" s="388"/>
      <c r="N91" s="388"/>
      <c r="O91" s="388"/>
      <c r="P91" s="388"/>
      <c r="Q91" s="388"/>
      <c r="R91" s="388"/>
      <c r="S91" s="388"/>
      <c r="T91" s="388"/>
    </row>
    <row r="92" spans="1:20" x14ac:dyDescent="0.25">
      <c r="A92" s="388"/>
      <c r="B92" s="388"/>
      <c r="C92" s="388"/>
      <c r="D92" s="388"/>
      <c r="E92" s="388"/>
      <c r="F92" s="388"/>
      <c r="G92" s="388"/>
      <c r="H92" s="388"/>
      <c r="I92" s="388"/>
      <c r="J92" s="388"/>
      <c r="K92" s="388"/>
      <c r="L92" s="388"/>
      <c r="M92" s="388"/>
      <c r="N92" s="388"/>
      <c r="O92" s="388"/>
      <c r="P92" s="388"/>
      <c r="Q92" s="388"/>
      <c r="R92" s="388"/>
      <c r="S92" s="388"/>
      <c r="T92" s="388"/>
    </row>
    <row r="93" spans="1:20" x14ac:dyDescent="0.25">
      <c r="A93" s="388"/>
      <c r="B93" s="388"/>
      <c r="C93" s="388"/>
      <c r="D93" s="388"/>
      <c r="E93" s="388"/>
      <c r="F93" s="388"/>
      <c r="G93" s="388"/>
      <c r="H93" s="388"/>
      <c r="I93" s="388"/>
      <c r="J93" s="388"/>
      <c r="K93" s="388"/>
      <c r="L93" s="388"/>
      <c r="M93" s="388"/>
      <c r="N93" s="388"/>
      <c r="O93" s="388"/>
      <c r="P93" s="388"/>
      <c r="Q93" s="388"/>
      <c r="R93" s="388"/>
      <c r="S93" s="388"/>
      <c r="T93" s="388"/>
    </row>
    <row r="94" spans="1:20" x14ac:dyDescent="0.25">
      <c r="A94" s="388"/>
      <c r="B94" s="388"/>
      <c r="C94" s="388"/>
      <c r="D94" s="388"/>
      <c r="E94" s="388"/>
      <c r="F94" s="388"/>
      <c r="G94" s="388"/>
      <c r="H94" s="388"/>
      <c r="I94" s="388"/>
      <c r="J94" s="388"/>
      <c r="K94" s="388"/>
      <c r="L94" s="388"/>
      <c r="M94" s="388"/>
      <c r="N94" s="388"/>
      <c r="O94" s="388"/>
      <c r="P94" s="388"/>
      <c r="Q94" s="388"/>
      <c r="R94" s="388"/>
      <c r="S94" s="388"/>
      <c r="T94" s="388"/>
    </row>
    <row r="95" spans="1:20" x14ac:dyDescent="0.25">
      <c r="A95" s="388"/>
      <c r="B95" s="388"/>
      <c r="C95" s="388"/>
      <c r="D95" s="388"/>
      <c r="E95" s="388"/>
      <c r="F95" s="388"/>
      <c r="G95" s="388"/>
      <c r="H95" s="388"/>
      <c r="I95" s="388"/>
      <c r="J95" s="388"/>
      <c r="K95" s="388"/>
      <c r="L95" s="388"/>
      <c r="M95" s="388"/>
      <c r="N95" s="388"/>
      <c r="O95" s="388"/>
      <c r="P95" s="388"/>
      <c r="Q95" s="388"/>
      <c r="R95" s="388"/>
      <c r="S95" s="388"/>
      <c r="T95" s="388"/>
    </row>
    <row r="96" spans="1:20" x14ac:dyDescent="0.25">
      <c r="A96" s="388"/>
      <c r="B96" s="388"/>
      <c r="C96" s="388"/>
      <c r="D96" s="388"/>
      <c r="E96" s="388"/>
      <c r="F96" s="388"/>
      <c r="G96" s="388"/>
      <c r="H96" s="388"/>
      <c r="I96" s="388"/>
      <c r="J96" s="388"/>
      <c r="K96" s="388"/>
      <c r="L96" s="388"/>
      <c r="M96" s="388"/>
      <c r="N96" s="388"/>
      <c r="O96" s="388"/>
      <c r="P96" s="388"/>
      <c r="Q96" s="388"/>
      <c r="R96" s="388"/>
      <c r="S96" s="388"/>
      <c r="T96" s="388"/>
    </row>
    <row r="97" spans="1:20" x14ac:dyDescent="0.25">
      <c r="A97" s="388"/>
      <c r="B97" s="388"/>
      <c r="C97" s="388"/>
      <c r="D97" s="388"/>
      <c r="E97" s="388"/>
      <c r="F97" s="388"/>
      <c r="G97" s="388"/>
      <c r="H97" s="388"/>
      <c r="I97" s="388"/>
      <c r="J97" s="388"/>
      <c r="K97" s="388"/>
      <c r="L97" s="388"/>
      <c r="M97" s="388"/>
      <c r="N97" s="388"/>
      <c r="O97" s="388"/>
      <c r="P97" s="388"/>
      <c r="Q97" s="388"/>
      <c r="R97" s="388"/>
      <c r="S97" s="388"/>
      <c r="T97" s="388"/>
    </row>
    <row r="98" spans="1:20" x14ac:dyDescent="0.25">
      <c r="A98" s="388"/>
      <c r="B98" s="388"/>
      <c r="C98" s="388"/>
      <c r="D98" s="388"/>
      <c r="E98" s="388"/>
      <c r="F98" s="388"/>
      <c r="G98" s="388"/>
      <c r="H98" s="388"/>
      <c r="I98" s="388"/>
      <c r="J98" s="388"/>
      <c r="K98" s="388"/>
      <c r="L98" s="388"/>
      <c r="M98" s="388"/>
      <c r="N98" s="388"/>
      <c r="O98" s="388"/>
      <c r="P98" s="388"/>
      <c r="Q98" s="388"/>
      <c r="R98" s="388"/>
      <c r="S98" s="388"/>
      <c r="T98" s="388"/>
    </row>
    <row r="99" spans="1:20" x14ac:dyDescent="0.25">
      <c r="A99" s="388"/>
      <c r="B99" s="388"/>
      <c r="C99" s="388"/>
      <c r="D99" s="388"/>
      <c r="E99" s="388"/>
      <c r="F99" s="388"/>
      <c r="G99" s="388"/>
      <c r="H99" s="388"/>
      <c r="I99" s="388"/>
      <c r="J99" s="388"/>
      <c r="K99" s="388"/>
      <c r="L99" s="388"/>
      <c r="M99" s="388"/>
      <c r="N99" s="388"/>
      <c r="O99" s="388"/>
      <c r="P99" s="388"/>
      <c r="Q99" s="388"/>
      <c r="R99" s="388"/>
      <c r="S99" s="388"/>
      <c r="T99" s="388"/>
    </row>
    <row r="100" spans="1:20" x14ac:dyDescent="0.25">
      <c r="A100" s="388"/>
      <c r="B100" s="388"/>
      <c r="C100" s="388"/>
      <c r="D100" s="388"/>
      <c r="E100" s="388"/>
      <c r="F100" s="388"/>
      <c r="G100" s="388"/>
      <c r="H100" s="388"/>
      <c r="I100" s="388"/>
      <c r="J100" s="388"/>
      <c r="K100" s="388"/>
      <c r="L100" s="388"/>
      <c r="M100" s="388"/>
      <c r="N100" s="388"/>
      <c r="O100" s="388"/>
      <c r="P100" s="388"/>
      <c r="Q100" s="388"/>
      <c r="R100" s="388"/>
      <c r="S100" s="388"/>
      <c r="T100" s="388"/>
    </row>
    <row r="101" spans="1:20" x14ac:dyDescent="0.25">
      <c r="A101" s="388"/>
      <c r="B101" s="388"/>
      <c r="C101" s="388"/>
      <c r="D101" s="388"/>
      <c r="E101" s="388"/>
      <c r="F101" s="388"/>
      <c r="G101" s="388"/>
      <c r="H101" s="388"/>
      <c r="I101" s="388"/>
      <c r="J101" s="388"/>
      <c r="K101" s="388"/>
      <c r="L101" s="388"/>
      <c r="M101" s="388"/>
      <c r="N101" s="388"/>
      <c r="O101" s="388"/>
      <c r="P101" s="388"/>
      <c r="Q101" s="388"/>
      <c r="R101" s="388"/>
      <c r="S101" s="388"/>
      <c r="T101" s="388"/>
    </row>
    <row r="102" spans="1:20" x14ac:dyDescent="0.25">
      <c r="A102" s="388"/>
      <c r="B102" s="388"/>
      <c r="C102" s="388"/>
      <c r="D102" s="388"/>
      <c r="E102" s="388"/>
      <c r="F102" s="388"/>
      <c r="G102" s="388"/>
      <c r="H102" s="388"/>
      <c r="I102" s="388"/>
      <c r="J102" s="388"/>
      <c r="K102" s="388"/>
      <c r="L102" s="388"/>
      <c r="M102" s="388"/>
      <c r="N102" s="388"/>
      <c r="O102" s="388"/>
      <c r="P102" s="388"/>
      <c r="Q102" s="388"/>
      <c r="R102" s="388"/>
      <c r="S102" s="388"/>
      <c r="T102" s="388"/>
    </row>
    <row r="103" spans="1:20" x14ac:dyDescent="0.25">
      <c r="A103" s="388"/>
      <c r="B103" s="388"/>
      <c r="C103" s="388"/>
      <c r="D103" s="388"/>
      <c r="E103" s="388"/>
      <c r="F103" s="388"/>
      <c r="G103" s="388"/>
      <c r="H103" s="388"/>
      <c r="I103" s="388"/>
      <c r="J103" s="388"/>
      <c r="K103" s="388"/>
      <c r="L103" s="388"/>
      <c r="M103" s="388"/>
      <c r="N103" s="388"/>
      <c r="O103" s="388"/>
      <c r="P103" s="388"/>
      <c r="Q103" s="388"/>
      <c r="R103" s="388"/>
      <c r="S103" s="388"/>
      <c r="T103" s="388"/>
    </row>
    <row r="104" spans="1:20" x14ac:dyDescent="0.25">
      <c r="A104" s="388"/>
      <c r="B104" s="388"/>
      <c r="C104" s="388"/>
      <c r="D104" s="388"/>
      <c r="E104" s="388"/>
      <c r="F104" s="388"/>
      <c r="G104" s="388"/>
      <c r="H104" s="388"/>
      <c r="I104" s="388"/>
      <c r="J104" s="388"/>
      <c r="K104" s="388"/>
      <c r="L104" s="388"/>
      <c r="M104" s="388"/>
      <c r="N104" s="388"/>
      <c r="O104" s="388"/>
      <c r="P104" s="388"/>
      <c r="Q104" s="388"/>
      <c r="R104" s="388"/>
      <c r="S104" s="388"/>
      <c r="T104" s="388"/>
    </row>
    <row r="105" spans="1:20" x14ac:dyDescent="0.25">
      <c r="A105" s="388"/>
      <c r="B105" s="388"/>
      <c r="C105" s="388"/>
      <c r="D105" s="388"/>
      <c r="E105" s="388"/>
      <c r="F105" s="388"/>
      <c r="G105" s="388"/>
      <c r="H105" s="388"/>
      <c r="I105" s="388"/>
      <c r="J105" s="388"/>
      <c r="K105" s="388"/>
      <c r="L105" s="388"/>
      <c r="M105" s="388"/>
      <c r="N105" s="388"/>
      <c r="O105" s="388"/>
      <c r="P105" s="388"/>
      <c r="Q105" s="388"/>
      <c r="R105" s="388"/>
      <c r="S105" s="388"/>
      <c r="T105" s="388"/>
    </row>
    <row r="106" spans="1:20" x14ac:dyDescent="0.25">
      <c r="A106" s="388"/>
      <c r="B106" s="388"/>
      <c r="C106" s="388"/>
      <c r="D106" s="388"/>
      <c r="E106" s="388"/>
      <c r="F106" s="388"/>
      <c r="G106" s="388"/>
      <c r="H106" s="388"/>
      <c r="I106" s="388"/>
      <c r="J106" s="388"/>
      <c r="K106" s="388"/>
      <c r="L106" s="388"/>
      <c r="M106" s="388"/>
      <c r="N106" s="388"/>
      <c r="O106" s="388"/>
      <c r="P106" s="388"/>
      <c r="Q106" s="388"/>
      <c r="R106" s="388"/>
      <c r="S106" s="388"/>
      <c r="T106" s="388"/>
    </row>
    <row r="107" spans="1:20" x14ac:dyDescent="0.25">
      <c r="A107" s="388"/>
      <c r="B107" s="388"/>
      <c r="C107" s="388"/>
      <c r="D107" s="388"/>
      <c r="E107" s="388"/>
      <c r="F107" s="388"/>
      <c r="G107" s="388"/>
      <c r="H107" s="388"/>
      <c r="I107" s="388"/>
      <c r="J107" s="388"/>
      <c r="K107" s="388"/>
      <c r="L107" s="388"/>
      <c r="M107" s="388"/>
      <c r="N107" s="388"/>
      <c r="O107" s="388"/>
      <c r="P107" s="388"/>
      <c r="Q107" s="388"/>
      <c r="R107" s="388"/>
      <c r="S107" s="388"/>
      <c r="T107" s="388"/>
    </row>
    <row r="108" spans="1:20" x14ac:dyDescent="0.25">
      <c r="A108" s="388"/>
      <c r="B108" s="388"/>
      <c r="C108" s="388"/>
      <c r="D108" s="388"/>
      <c r="E108" s="388"/>
      <c r="F108" s="388"/>
      <c r="G108" s="388"/>
      <c r="H108" s="388"/>
      <c r="I108" s="388"/>
      <c r="J108" s="388"/>
      <c r="K108" s="388"/>
      <c r="L108" s="388"/>
      <c r="M108" s="388"/>
      <c r="N108" s="388"/>
      <c r="O108" s="388"/>
      <c r="P108" s="388"/>
      <c r="Q108" s="388"/>
      <c r="R108" s="388"/>
      <c r="S108" s="388"/>
      <c r="T108" s="388"/>
    </row>
    <row r="109" spans="1:20" x14ac:dyDescent="0.25">
      <c r="A109" s="388"/>
      <c r="B109" s="388"/>
      <c r="C109" s="388"/>
      <c r="D109" s="388"/>
      <c r="E109" s="388"/>
      <c r="F109" s="388"/>
      <c r="G109" s="388"/>
      <c r="H109" s="388"/>
      <c r="I109" s="388"/>
      <c r="J109" s="388"/>
      <c r="K109" s="388"/>
      <c r="L109" s="388"/>
      <c r="M109" s="388"/>
      <c r="N109" s="388"/>
      <c r="O109" s="388"/>
      <c r="P109" s="388"/>
      <c r="Q109" s="388"/>
      <c r="R109" s="388"/>
      <c r="S109" s="388"/>
      <c r="T109" s="388"/>
    </row>
    <row r="110" spans="1:20" x14ac:dyDescent="0.25">
      <c r="A110" s="388"/>
      <c r="B110" s="388"/>
      <c r="C110" s="388"/>
      <c r="D110" s="388"/>
      <c r="E110" s="388"/>
      <c r="F110" s="388"/>
      <c r="G110" s="388"/>
      <c r="H110" s="388"/>
      <c r="I110" s="388"/>
      <c r="J110" s="388"/>
      <c r="K110" s="388"/>
      <c r="L110" s="388"/>
      <c r="M110" s="388"/>
      <c r="N110" s="388"/>
      <c r="O110" s="388"/>
      <c r="P110" s="388"/>
      <c r="Q110" s="388"/>
      <c r="R110" s="388"/>
      <c r="S110" s="388"/>
      <c r="T110" s="388"/>
    </row>
    <row r="111" spans="1:20" x14ac:dyDescent="0.25">
      <c r="A111" s="388"/>
      <c r="B111" s="388"/>
      <c r="C111" s="388"/>
      <c r="D111" s="388"/>
      <c r="E111" s="388"/>
      <c r="F111" s="388"/>
      <c r="G111" s="388"/>
      <c r="H111" s="388"/>
      <c r="I111" s="388"/>
      <c r="J111" s="388"/>
      <c r="K111" s="388"/>
      <c r="L111" s="388"/>
      <c r="M111" s="388"/>
      <c r="N111" s="388"/>
      <c r="O111" s="388"/>
      <c r="P111" s="388"/>
      <c r="Q111" s="388"/>
      <c r="R111" s="388"/>
      <c r="S111" s="388"/>
      <c r="T111" s="388"/>
    </row>
    <row r="112" spans="1:20" x14ac:dyDescent="0.25">
      <c r="A112" s="388"/>
      <c r="B112" s="388"/>
      <c r="C112" s="388"/>
      <c r="D112" s="388"/>
      <c r="E112" s="388"/>
      <c r="F112" s="388"/>
      <c r="G112" s="388"/>
      <c r="H112" s="388"/>
      <c r="I112" s="388"/>
      <c r="J112" s="388"/>
      <c r="K112" s="388"/>
      <c r="L112" s="388"/>
      <c r="M112" s="388"/>
      <c r="N112" s="388"/>
      <c r="O112" s="388"/>
      <c r="P112" s="388"/>
      <c r="Q112" s="388"/>
      <c r="R112" s="388"/>
      <c r="S112" s="388"/>
      <c r="T112" s="388"/>
    </row>
    <row r="113" spans="1:20" x14ac:dyDescent="0.25">
      <c r="A113" s="388"/>
      <c r="B113" s="388"/>
      <c r="C113" s="388"/>
      <c r="D113" s="388"/>
      <c r="E113" s="388"/>
      <c r="F113" s="388"/>
      <c r="G113" s="388"/>
      <c r="H113" s="388"/>
      <c r="I113" s="388"/>
      <c r="J113" s="388"/>
      <c r="K113" s="388"/>
      <c r="L113" s="388"/>
      <c r="M113" s="388"/>
      <c r="N113" s="388"/>
      <c r="O113" s="388"/>
      <c r="P113" s="388"/>
      <c r="Q113" s="388"/>
      <c r="R113" s="388"/>
      <c r="S113" s="388"/>
      <c r="T113" s="388"/>
    </row>
    <row r="114" spans="1:20" x14ac:dyDescent="0.25">
      <c r="A114" s="388"/>
      <c r="B114" s="388"/>
      <c r="C114" s="388"/>
      <c r="D114" s="388"/>
      <c r="E114" s="388"/>
      <c r="F114" s="388"/>
      <c r="G114" s="388"/>
      <c r="H114" s="388"/>
      <c r="I114" s="388"/>
      <c r="J114" s="388"/>
      <c r="K114" s="388"/>
      <c r="L114" s="388"/>
      <c r="M114" s="388"/>
      <c r="N114" s="388"/>
      <c r="O114" s="388"/>
      <c r="P114" s="388"/>
      <c r="Q114" s="388"/>
      <c r="R114" s="388"/>
      <c r="S114" s="388"/>
      <c r="T114" s="388"/>
    </row>
    <row r="115" spans="1:20" x14ac:dyDescent="0.25">
      <c r="A115" s="388"/>
      <c r="B115" s="388"/>
      <c r="C115" s="388"/>
      <c r="D115" s="388"/>
      <c r="E115" s="388"/>
      <c r="F115" s="388"/>
      <c r="G115" s="388"/>
      <c r="H115" s="388"/>
      <c r="I115" s="388"/>
      <c r="J115" s="388"/>
      <c r="K115" s="388"/>
      <c r="L115" s="388"/>
      <c r="M115" s="388"/>
      <c r="N115" s="388"/>
      <c r="O115" s="388"/>
      <c r="P115" s="388"/>
      <c r="Q115" s="388"/>
      <c r="R115" s="388"/>
      <c r="S115" s="388"/>
      <c r="T115" s="388"/>
    </row>
    <row r="116" spans="1:20" x14ac:dyDescent="0.25">
      <c r="A116" s="388"/>
      <c r="B116" s="388"/>
      <c r="C116" s="388"/>
      <c r="D116" s="388"/>
      <c r="E116" s="388"/>
      <c r="F116" s="388"/>
      <c r="G116" s="388"/>
      <c r="H116" s="388"/>
      <c r="I116" s="388"/>
      <c r="J116" s="388"/>
      <c r="K116" s="388"/>
      <c r="L116" s="388"/>
      <c r="M116" s="388"/>
      <c r="N116" s="388"/>
      <c r="O116" s="388"/>
      <c r="P116" s="388"/>
      <c r="Q116" s="388"/>
      <c r="R116" s="388"/>
      <c r="S116" s="388"/>
      <c r="T116" s="388"/>
    </row>
    <row r="117" spans="1:20" x14ac:dyDescent="0.25">
      <c r="A117" s="388"/>
      <c r="B117" s="388"/>
      <c r="C117" s="388"/>
      <c r="D117" s="388"/>
      <c r="E117" s="388"/>
      <c r="F117" s="388"/>
      <c r="G117" s="388"/>
      <c r="H117" s="388"/>
      <c r="I117" s="388"/>
      <c r="J117" s="388"/>
      <c r="K117" s="388"/>
      <c r="L117" s="388"/>
      <c r="M117" s="388"/>
      <c r="N117" s="388"/>
      <c r="O117" s="388"/>
      <c r="P117" s="388"/>
      <c r="Q117" s="388"/>
      <c r="R117" s="388"/>
      <c r="S117" s="388"/>
      <c r="T117" s="388"/>
    </row>
    <row r="118" spans="1:20" x14ac:dyDescent="0.25">
      <c r="A118" s="388"/>
      <c r="B118" s="388"/>
      <c r="C118" s="388"/>
      <c r="D118" s="388"/>
      <c r="E118" s="388"/>
      <c r="F118" s="388"/>
      <c r="G118" s="388"/>
      <c r="H118" s="388"/>
      <c r="I118" s="388"/>
      <c r="J118" s="388"/>
      <c r="K118" s="388"/>
      <c r="L118" s="388"/>
      <c r="M118" s="388"/>
      <c r="N118" s="388"/>
      <c r="O118" s="388"/>
      <c r="P118" s="388"/>
      <c r="Q118" s="388"/>
      <c r="R118" s="388"/>
      <c r="S118" s="388"/>
      <c r="T118" s="388"/>
    </row>
    <row r="119" spans="1:20" x14ac:dyDescent="0.25">
      <c r="A119" s="388"/>
      <c r="B119" s="388"/>
      <c r="C119" s="388"/>
      <c r="D119" s="388"/>
      <c r="E119" s="388"/>
      <c r="F119" s="388"/>
      <c r="G119" s="388"/>
      <c r="H119" s="388"/>
      <c r="I119" s="388"/>
      <c r="J119" s="388"/>
      <c r="K119" s="388"/>
      <c r="L119" s="388"/>
      <c r="M119" s="388"/>
      <c r="N119" s="388"/>
      <c r="O119" s="388"/>
      <c r="P119" s="388"/>
      <c r="Q119" s="388"/>
      <c r="R119" s="388"/>
      <c r="S119" s="388"/>
      <c r="T119" s="388"/>
    </row>
    <row r="120" spans="1:20" x14ac:dyDescent="0.25">
      <c r="A120" s="388"/>
      <c r="B120" s="388"/>
      <c r="C120" s="388"/>
      <c r="D120" s="388"/>
      <c r="E120" s="388"/>
      <c r="F120" s="388"/>
      <c r="G120" s="388"/>
      <c r="H120" s="388"/>
      <c r="I120" s="388"/>
      <c r="J120" s="388"/>
      <c r="K120" s="388"/>
      <c r="L120" s="388"/>
      <c r="M120" s="388"/>
      <c r="N120" s="388"/>
      <c r="O120" s="388"/>
      <c r="P120" s="388"/>
      <c r="Q120" s="388"/>
      <c r="R120" s="388"/>
      <c r="S120" s="388"/>
      <c r="T120" s="388"/>
    </row>
    <row r="121" spans="1:20" x14ac:dyDescent="0.25">
      <c r="A121" s="388"/>
      <c r="B121" s="388"/>
      <c r="C121" s="388"/>
      <c r="D121" s="388"/>
      <c r="E121" s="388"/>
      <c r="F121" s="388"/>
      <c r="G121" s="388"/>
      <c r="H121" s="388"/>
      <c r="I121" s="388"/>
      <c r="J121" s="388"/>
      <c r="K121" s="388"/>
      <c r="L121" s="388"/>
      <c r="M121" s="388"/>
      <c r="N121" s="388"/>
      <c r="O121" s="388"/>
      <c r="P121" s="388"/>
      <c r="Q121" s="388"/>
      <c r="R121" s="388"/>
      <c r="S121" s="388"/>
      <c r="T121" s="388"/>
    </row>
    <row r="122" spans="1:20" x14ac:dyDescent="0.25">
      <c r="A122" s="388"/>
      <c r="B122" s="388"/>
      <c r="C122" s="388"/>
      <c r="D122" s="388"/>
      <c r="E122" s="388"/>
      <c r="F122" s="388"/>
      <c r="G122" s="388"/>
      <c r="H122" s="388"/>
      <c r="I122" s="388"/>
      <c r="J122" s="388"/>
      <c r="K122" s="388"/>
      <c r="L122" s="388"/>
      <c r="M122" s="388"/>
      <c r="N122" s="388"/>
      <c r="O122" s="388"/>
      <c r="P122" s="388"/>
      <c r="Q122" s="388"/>
      <c r="R122" s="388"/>
      <c r="S122" s="388"/>
      <c r="T122" s="388"/>
    </row>
    <row r="123" spans="1:20" x14ac:dyDescent="0.25">
      <c r="A123" s="388"/>
      <c r="B123" s="388"/>
      <c r="C123" s="388"/>
      <c r="D123" s="388"/>
      <c r="E123" s="388"/>
      <c r="F123" s="388"/>
      <c r="G123" s="388"/>
      <c r="H123" s="388"/>
      <c r="I123" s="388"/>
      <c r="J123" s="388"/>
      <c r="K123" s="388"/>
      <c r="L123" s="388"/>
      <c r="M123" s="388"/>
      <c r="N123" s="388"/>
      <c r="O123" s="388"/>
      <c r="P123" s="388"/>
      <c r="Q123" s="388"/>
      <c r="R123" s="388"/>
      <c r="S123" s="388"/>
      <c r="T123" s="388"/>
    </row>
    <row r="124" spans="1:20" x14ac:dyDescent="0.25">
      <c r="A124" s="388"/>
      <c r="B124" s="388"/>
      <c r="C124" s="388"/>
      <c r="D124" s="388"/>
      <c r="E124" s="388"/>
      <c r="F124" s="388"/>
      <c r="G124" s="388"/>
      <c r="H124" s="388"/>
      <c r="I124" s="388"/>
      <c r="J124" s="388"/>
      <c r="K124" s="388"/>
      <c r="L124" s="388"/>
      <c r="M124" s="388"/>
      <c r="N124" s="388"/>
      <c r="O124" s="388"/>
      <c r="P124" s="388"/>
      <c r="Q124" s="388"/>
      <c r="R124" s="388"/>
      <c r="S124" s="388"/>
      <c r="T124" s="388"/>
    </row>
    <row r="125" spans="1:20" x14ac:dyDescent="0.25">
      <c r="A125" s="388"/>
      <c r="B125" s="388"/>
      <c r="C125" s="388"/>
      <c r="D125" s="388"/>
      <c r="E125" s="388"/>
      <c r="F125" s="388"/>
      <c r="G125" s="388"/>
      <c r="H125" s="388"/>
      <c r="I125" s="388"/>
      <c r="J125" s="388"/>
      <c r="K125" s="388"/>
      <c r="L125" s="388"/>
      <c r="M125" s="388"/>
      <c r="N125" s="388"/>
      <c r="O125" s="388"/>
      <c r="P125" s="388"/>
      <c r="Q125" s="388"/>
      <c r="R125" s="388"/>
      <c r="S125" s="388"/>
      <c r="T125" s="388"/>
    </row>
    <row r="126" spans="1:20" x14ac:dyDescent="0.25">
      <c r="A126" s="388"/>
      <c r="B126" s="388"/>
      <c r="C126" s="388"/>
      <c r="D126" s="388"/>
      <c r="E126" s="388"/>
      <c r="F126" s="388"/>
      <c r="G126" s="388"/>
      <c r="H126" s="388"/>
      <c r="I126" s="388"/>
      <c r="J126" s="388"/>
      <c r="K126" s="388"/>
      <c r="L126" s="388"/>
      <c r="M126" s="388"/>
      <c r="N126" s="388"/>
      <c r="O126" s="388"/>
      <c r="P126" s="388"/>
      <c r="Q126" s="388"/>
      <c r="R126" s="388"/>
      <c r="S126" s="388"/>
      <c r="T126" s="388"/>
    </row>
    <row r="127" spans="1:20" x14ac:dyDescent="0.25">
      <c r="A127" s="388"/>
      <c r="B127" s="388"/>
      <c r="C127" s="388"/>
      <c r="D127" s="388"/>
      <c r="E127" s="388"/>
      <c r="F127" s="388"/>
      <c r="G127" s="388"/>
      <c r="H127" s="388"/>
      <c r="I127" s="388"/>
      <c r="J127" s="388"/>
      <c r="K127" s="388"/>
      <c r="L127" s="388"/>
      <c r="M127" s="388"/>
      <c r="N127" s="388"/>
      <c r="O127" s="388"/>
      <c r="P127" s="388"/>
      <c r="Q127" s="388"/>
      <c r="R127" s="388"/>
      <c r="S127" s="388"/>
      <c r="T127" s="388"/>
    </row>
    <row r="128" spans="1:20" x14ac:dyDescent="0.25">
      <c r="A128" s="388"/>
      <c r="B128" s="388"/>
      <c r="C128" s="388"/>
      <c r="D128" s="388"/>
      <c r="E128" s="388"/>
      <c r="F128" s="388"/>
      <c r="G128" s="388"/>
      <c r="H128" s="388"/>
      <c r="I128" s="388"/>
      <c r="J128" s="388"/>
      <c r="K128" s="388"/>
      <c r="L128" s="388"/>
      <c r="M128" s="388"/>
      <c r="N128" s="388"/>
      <c r="O128" s="388"/>
      <c r="P128" s="388"/>
      <c r="Q128" s="388"/>
      <c r="R128" s="388"/>
      <c r="S128" s="388"/>
      <c r="T128" s="388"/>
    </row>
    <row r="129" spans="1:20" x14ac:dyDescent="0.25">
      <c r="A129" s="388"/>
      <c r="B129" s="388"/>
      <c r="C129" s="388"/>
      <c r="D129" s="388"/>
      <c r="E129" s="388"/>
      <c r="F129" s="388"/>
      <c r="G129" s="388"/>
      <c r="H129" s="388"/>
      <c r="I129" s="388"/>
      <c r="J129" s="388"/>
      <c r="K129" s="388"/>
      <c r="L129" s="388"/>
      <c r="M129" s="388"/>
      <c r="N129" s="388"/>
      <c r="O129" s="388"/>
      <c r="P129" s="388"/>
      <c r="Q129" s="388"/>
      <c r="R129" s="388"/>
      <c r="S129" s="388"/>
      <c r="T129" s="388"/>
    </row>
    <row r="130" spans="1:20" x14ac:dyDescent="0.25">
      <c r="A130" s="388"/>
      <c r="B130" s="388"/>
      <c r="C130" s="388"/>
      <c r="D130" s="388"/>
      <c r="E130" s="388"/>
      <c r="F130" s="388"/>
      <c r="G130" s="388"/>
      <c r="H130" s="388"/>
      <c r="I130" s="388"/>
      <c r="J130" s="388"/>
      <c r="K130" s="388"/>
      <c r="L130" s="388"/>
      <c r="M130" s="388"/>
      <c r="N130" s="388"/>
      <c r="O130" s="388"/>
      <c r="P130" s="388"/>
      <c r="Q130" s="388"/>
      <c r="R130" s="388"/>
      <c r="S130" s="388"/>
      <c r="T130" s="388"/>
    </row>
    <row r="131" spans="1:20" x14ac:dyDescent="0.25">
      <c r="A131" s="388"/>
      <c r="B131" s="388"/>
      <c r="C131" s="388"/>
      <c r="D131" s="388"/>
      <c r="E131" s="388"/>
      <c r="F131" s="388"/>
      <c r="G131" s="388"/>
      <c r="H131" s="388"/>
      <c r="I131" s="388"/>
      <c r="J131" s="388"/>
      <c r="K131" s="388"/>
      <c r="L131" s="388"/>
      <c r="M131" s="388"/>
      <c r="N131" s="388"/>
      <c r="O131" s="388"/>
      <c r="P131" s="388"/>
      <c r="Q131" s="388"/>
      <c r="R131" s="388"/>
      <c r="S131" s="388"/>
      <c r="T131" s="388"/>
    </row>
    <row r="132" spans="1:20" x14ac:dyDescent="0.25">
      <c r="A132" s="388"/>
      <c r="B132" s="388"/>
      <c r="C132" s="388"/>
      <c r="D132" s="388"/>
      <c r="E132" s="388"/>
      <c r="F132" s="388"/>
      <c r="G132" s="388"/>
      <c r="H132" s="388"/>
      <c r="I132" s="388"/>
      <c r="J132" s="388"/>
      <c r="K132" s="388"/>
      <c r="L132" s="388"/>
      <c r="M132" s="388"/>
      <c r="N132" s="388"/>
      <c r="O132" s="388"/>
      <c r="P132" s="388"/>
      <c r="Q132" s="388"/>
      <c r="R132" s="388"/>
      <c r="S132" s="388"/>
      <c r="T132" s="388"/>
    </row>
    <row r="133" spans="1:20" x14ac:dyDescent="0.25">
      <c r="A133" s="388"/>
      <c r="B133" s="388"/>
      <c r="C133" s="388"/>
      <c r="D133" s="388"/>
      <c r="E133" s="388"/>
      <c r="F133" s="388"/>
      <c r="G133" s="388"/>
      <c r="H133" s="388"/>
      <c r="I133" s="388"/>
      <c r="J133" s="388"/>
      <c r="K133" s="388"/>
      <c r="L133" s="388"/>
      <c r="M133" s="388"/>
      <c r="N133" s="388"/>
      <c r="O133" s="388"/>
      <c r="P133" s="388"/>
      <c r="Q133" s="388"/>
      <c r="R133" s="388"/>
      <c r="S133" s="388"/>
      <c r="T133" s="388"/>
    </row>
    <row r="134" spans="1:20" x14ac:dyDescent="0.25">
      <c r="A134" s="388"/>
      <c r="B134" s="388"/>
      <c r="C134" s="388"/>
      <c r="D134" s="388"/>
      <c r="E134" s="388"/>
      <c r="F134" s="388"/>
      <c r="G134" s="388"/>
      <c r="H134" s="388"/>
      <c r="I134" s="388"/>
      <c r="J134" s="388"/>
      <c r="K134" s="388"/>
      <c r="L134" s="388"/>
      <c r="M134" s="388"/>
      <c r="N134" s="388"/>
      <c r="O134" s="388"/>
      <c r="P134" s="388"/>
      <c r="Q134" s="388"/>
      <c r="R134" s="388"/>
      <c r="S134" s="388"/>
      <c r="T134" s="388"/>
    </row>
    <row r="135" spans="1:20" x14ac:dyDescent="0.25">
      <c r="A135" s="388"/>
      <c r="B135" s="388"/>
      <c r="C135" s="388"/>
      <c r="D135" s="388"/>
      <c r="E135" s="388"/>
      <c r="F135" s="388"/>
      <c r="G135" s="388"/>
      <c r="H135" s="388"/>
      <c r="I135" s="388"/>
      <c r="J135" s="388"/>
      <c r="K135" s="388"/>
      <c r="L135" s="388"/>
      <c r="M135" s="388"/>
      <c r="N135" s="388"/>
      <c r="O135" s="388"/>
      <c r="P135" s="388"/>
      <c r="Q135" s="388"/>
      <c r="R135" s="388"/>
      <c r="S135" s="388"/>
      <c r="T135" s="388"/>
    </row>
    <row r="136" spans="1:20" x14ac:dyDescent="0.25">
      <c r="A136" s="388"/>
      <c r="B136" s="388"/>
      <c r="C136" s="388"/>
      <c r="D136" s="388"/>
      <c r="E136" s="388"/>
      <c r="F136" s="388"/>
      <c r="G136" s="388"/>
      <c r="H136" s="388"/>
      <c r="I136" s="388"/>
      <c r="J136" s="388"/>
      <c r="K136" s="388"/>
      <c r="L136" s="388"/>
      <c r="M136" s="388"/>
      <c r="N136" s="388"/>
      <c r="O136" s="388"/>
      <c r="P136" s="388"/>
      <c r="Q136" s="388"/>
      <c r="R136" s="388"/>
      <c r="S136" s="388"/>
      <c r="T136" s="388"/>
    </row>
    <row r="137" spans="1:20" x14ac:dyDescent="0.25">
      <c r="A137" s="388"/>
      <c r="B137" s="388"/>
      <c r="C137" s="388"/>
      <c r="D137" s="388"/>
      <c r="E137" s="388"/>
      <c r="F137" s="388"/>
      <c r="G137" s="388"/>
      <c r="H137" s="388"/>
      <c r="I137" s="388"/>
      <c r="J137" s="388"/>
      <c r="K137" s="388"/>
      <c r="L137" s="388"/>
      <c r="M137" s="388"/>
      <c r="N137" s="388"/>
      <c r="O137" s="388"/>
      <c r="P137" s="388"/>
      <c r="Q137" s="388"/>
      <c r="R137" s="388"/>
      <c r="S137" s="388"/>
      <c r="T137" s="388"/>
    </row>
    <row r="138" spans="1:20" x14ac:dyDescent="0.25">
      <c r="A138" s="388"/>
      <c r="B138" s="388"/>
      <c r="C138" s="388"/>
      <c r="D138" s="388"/>
      <c r="E138" s="388"/>
      <c r="F138" s="388"/>
      <c r="G138" s="388"/>
      <c r="H138" s="388"/>
      <c r="I138" s="388"/>
      <c r="J138" s="388"/>
      <c r="K138" s="388"/>
      <c r="L138" s="388"/>
      <c r="M138" s="388"/>
      <c r="N138" s="388"/>
      <c r="O138" s="388"/>
      <c r="P138" s="388"/>
      <c r="Q138" s="388"/>
      <c r="R138" s="388"/>
      <c r="S138" s="388"/>
      <c r="T138" s="388"/>
    </row>
    <row r="139" spans="1:20" x14ac:dyDescent="0.25">
      <c r="A139" s="388"/>
      <c r="B139" s="388"/>
      <c r="C139" s="388"/>
      <c r="D139" s="388"/>
      <c r="E139" s="388"/>
      <c r="F139" s="388"/>
      <c r="G139" s="388"/>
      <c r="H139" s="388"/>
      <c r="I139" s="388"/>
      <c r="J139" s="388"/>
      <c r="K139" s="388"/>
      <c r="L139" s="388"/>
      <c r="M139" s="388"/>
      <c r="N139" s="388"/>
      <c r="O139" s="388"/>
      <c r="P139" s="388"/>
      <c r="Q139" s="388"/>
      <c r="R139" s="388"/>
      <c r="S139" s="388"/>
      <c r="T139" s="388"/>
    </row>
    <row r="140" spans="1:20" x14ac:dyDescent="0.25">
      <c r="A140" s="388"/>
      <c r="B140" s="388"/>
      <c r="C140" s="388"/>
      <c r="D140" s="388"/>
      <c r="E140" s="388"/>
      <c r="F140" s="388"/>
      <c r="G140" s="388"/>
      <c r="H140" s="388"/>
      <c r="I140" s="388"/>
      <c r="J140" s="388"/>
      <c r="K140" s="388"/>
      <c r="L140" s="388"/>
      <c r="M140" s="388"/>
      <c r="N140" s="388"/>
      <c r="O140" s="388"/>
      <c r="P140" s="388"/>
      <c r="Q140" s="388"/>
      <c r="R140" s="388"/>
      <c r="S140" s="388"/>
      <c r="T140" s="388"/>
    </row>
    <row r="141" spans="1:20" x14ac:dyDescent="0.25">
      <c r="A141" s="388"/>
      <c r="B141" s="388"/>
      <c r="C141" s="388"/>
      <c r="D141" s="388"/>
      <c r="E141" s="388"/>
      <c r="F141" s="388"/>
      <c r="G141" s="388"/>
      <c r="H141" s="388"/>
      <c r="I141" s="388"/>
      <c r="J141" s="388"/>
      <c r="K141" s="388"/>
      <c r="L141" s="388"/>
      <c r="M141" s="388"/>
      <c r="N141" s="388"/>
      <c r="O141" s="388"/>
      <c r="P141" s="388"/>
      <c r="Q141" s="388"/>
      <c r="R141" s="388"/>
      <c r="S141" s="388"/>
      <c r="T141" s="388"/>
    </row>
    <row r="142" spans="1:20" x14ac:dyDescent="0.25">
      <c r="A142" s="388"/>
      <c r="B142" s="388"/>
      <c r="C142" s="388"/>
      <c r="D142" s="388"/>
      <c r="E142" s="388"/>
      <c r="F142" s="388"/>
      <c r="G142" s="388"/>
      <c r="H142" s="388"/>
      <c r="I142" s="388"/>
      <c r="J142" s="388"/>
      <c r="K142" s="388"/>
      <c r="L142" s="388"/>
      <c r="M142" s="388"/>
      <c r="N142" s="388"/>
      <c r="O142" s="388"/>
      <c r="P142" s="388"/>
      <c r="Q142" s="388"/>
      <c r="R142" s="388"/>
      <c r="S142" s="388"/>
      <c r="T142" s="388"/>
    </row>
    <row r="143" spans="1:20" x14ac:dyDescent="0.25">
      <c r="A143" s="388"/>
      <c r="B143" s="388"/>
      <c r="C143" s="388"/>
      <c r="D143" s="388"/>
      <c r="E143" s="388"/>
      <c r="F143" s="388"/>
      <c r="G143" s="388"/>
      <c r="H143" s="388"/>
      <c r="I143" s="388"/>
      <c r="J143" s="388"/>
      <c r="K143" s="388"/>
      <c r="L143" s="388"/>
      <c r="M143" s="388"/>
      <c r="N143" s="388"/>
      <c r="O143" s="388"/>
      <c r="P143" s="388"/>
      <c r="Q143" s="388"/>
      <c r="R143" s="388"/>
      <c r="S143" s="388"/>
      <c r="T143" s="388"/>
    </row>
    <row r="144" spans="1:20" x14ac:dyDescent="0.25">
      <c r="A144" s="388"/>
      <c r="B144" s="388"/>
      <c r="C144" s="388"/>
      <c r="D144" s="388"/>
      <c r="E144" s="388"/>
      <c r="F144" s="388"/>
      <c r="G144" s="388"/>
      <c r="H144" s="388"/>
      <c r="I144" s="388"/>
      <c r="J144" s="388"/>
      <c r="K144" s="388"/>
      <c r="L144" s="388"/>
      <c r="M144" s="388"/>
      <c r="N144" s="388"/>
      <c r="O144" s="388"/>
      <c r="P144" s="388"/>
      <c r="Q144" s="388"/>
      <c r="R144" s="388"/>
      <c r="S144" s="388"/>
      <c r="T144" s="388"/>
    </row>
    <row r="145" spans="1:20" x14ac:dyDescent="0.25">
      <c r="A145" s="388"/>
      <c r="B145" s="388"/>
      <c r="C145" s="388"/>
      <c r="D145" s="388"/>
      <c r="E145" s="388"/>
      <c r="F145" s="388"/>
      <c r="G145" s="388"/>
      <c r="H145" s="388"/>
      <c r="I145" s="388"/>
      <c r="J145" s="388"/>
      <c r="K145" s="388"/>
      <c r="L145" s="388"/>
      <c r="M145" s="388"/>
      <c r="N145" s="388"/>
      <c r="O145" s="388"/>
      <c r="P145" s="388"/>
      <c r="Q145" s="388"/>
      <c r="R145" s="388"/>
      <c r="S145" s="388"/>
      <c r="T145" s="388"/>
    </row>
    <row r="146" spans="1:20" x14ac:dyDescent="0.25">
      <c r="A146" s="388"/>
      <c r="B146" s="388"/>
      <c r="C146" s="388"/>
      <c r="D146" s="388"/>
      <c r="E146" s="388"/>
      <c r="F146" s="388"/>
      <c r="G146" s="388"/>
      <c r="H146" s="388"/>
      <c r="I146" s="388"/>
      <c r="J146" s="388"/>
      <c r="K146" s="388"/>
      <c r="L146" s="388"/>
      <c r="M146" s="388"/>
      <c r="N146" s="388"/>
      <c r="O146" s="388"/>
      <c r="P146" s="388"/>
      <c r="Q146" s="388"/>
      <c r="R146" s="388"/>
      <c r="S146" s="388"/>
      <c r="T146" s="388"/>
    </row>
    <row r="147" spans="1:20" x14ac:dyDescent="0.25">
      <c r="A147" s="388"/>
      <c r="B147" s="388"/>
      <c r="C147" s="388"/>
      <c r="D147" s="388"/>
      <c r="E147" s="388"/>
      <c r="F147" s="388"/>
      <c r="G147" s="388"/>
      <c r="H147" s="388"/>
      <c r="I147" s="388"/>
      <c r="J147" s="388"/>
      <c r="K147" s="388"/>
      <c r="L147" s="388"/>
      <c r="M147" s="388"/>
      <c r="N147" s="388"/>
      <c r="O147" s="388"/>
      <c r="P147" s="388"/>
      <c r="Q147" s="388"/>
      <c r="R147" s="388"/>
      <c r="S147" s="388"/>
      <c r="T147" s="388"/>
    </row>
    <row r="148" spans="1:20" x14ac:dyDescent="0.25">
      <c r="A148" s="388"/>
      <c r="B148" s="388"/>
      <c r="C148" s="388"/>
      <c r="D148" s="388"/>
      <c r="E148" s="388"/>
      <c r="F148" s="388"/>
      <c r="G148" s="388"/>
      <c r="H148" s="388"/>
      <c r="I148" s="388"/>
      <c r="J148" s="388"/>
      <c r="K148" s="388"/>
      <c r="L148" s="388"/>
      <c r="M148" s="388"/>
      <c r="N148" s="388"/>
      <c r="O148" s="388"/>
      <c r="P148" s="388"/>
      <c r="Q148" s="388"/>
      <c r="R148" s="388"/>
      <c r="S148" s="388"/>
      <c r="T148" s="388"/>
    </row>
    <row r="149" spans="1:20" x14ac:dyDescent="0.25">
      <c r="A149" s="388"/>
      <c r="B149" s="388"/>
      <c r="C149" s="388"/>
      <c r="D149" s="388"/>
      <c r="E149" s="388"/>
      <c r="F149" s="388"/>
      <c r="G149" s="388"/>
      <c r="H149" s="388"/>
      <c r="I149" s="388"/>
      <c r="J149" s="388"/>
      <c r="K149" s="388"/>
      <c r="L149" s="388"/>
      <c r="M149" s="388"/>
      <c r="N149" s="388"/>
      <c r="O149" s="388"/>
      <c r="P149" s="388"/>
      <c r="Q149" s="388"/>
      <c r="R149" s="388"/>
      <c r="S149" s="388"/>
      <c r="T149" s="388"/>
    </row>
    <row r="150" spans="1:20" x14ac:dyDescent="0.25">
      <c r="A150" s="388"/>
      <c r="B150" s="388"/>
      <c r="C150" s="388"/>
      <c r="D150" s="388"/>
      <c r="E150" s="388"/>
      <c r="F150" s="388"/>
      <c r="G150" s="388"/>
      <c r="H150" s="388"/>
      <c r="I150" s="388"/>
      <c r="J150" s="388"/>
      <c r="K150" s="388"/>
      <c r="L150" s="388"/>
      <c r="M150" s="388"/>
      <c r="N150" s="388"/>
      <c r="O150" s="388"/>
      <c r="P150" s="388"/>
      <c r="Q150" s="388"/>
      <c r="R150" s="388"/>
      <c r="S150" s="388"/>
      <c r="T150" s="388"/>
    </row>
    <row r="151" spans="1:20" x14ac:dyDescent="0.25">
      <c r="A151" s="388"/>
      <c r="B151" s="388"/>
      <c r="C151" s="388"/>
      <c r="D151" s="388"/>
      <c r="E151" s="388"/>
      <c r="F151" s="388"/>
      <c r="G151" s="388"/>
      <c r="H151" s="388"/>
      <c r="I151" s="388"/>
      <c r="J151" s="388"/>
      <c r="K151" s="388"/>
      <c r="L151" s="388"/>
      <c r="M151" s="388"/>
      <c r="N151" s="388"/>
      <c r="O151" s="388"/>
      <c r="P151" s="388"/>
      <c r="Q151" s="388"/>
      <c r="R151" s="388"/>
      <c r="S151" s="388"/>
      <c r="T151" s="388"/>
    </row>
    <row r="152" spans="1:20" x14ac:dyDescent="0.25">
      <c r="A152" s="388"/>
      <c r="B152" s="388"/>
      <c r="C152" s="388"/>
      <c r="D152" s="388"/>
      <c r="E152" s="388"/>
      <c r="F152" s="388"/>
      <c r="G152" s="388"/>
      <c r="H152" s="388"/>
      <c r="I152" s="388"/>
      <c r="J152" s="388"/>
      <c r="K152" s="388"/>
      <c r="L152" s="388"/>
      <c r="M152" s="388"/>
      <c r="N152" s="388"/>
      <c r="O152" s="388"/>
      <c r="P152" s="388"/>
      <c r="Q152" s="388"/>
      <c r="R152" s="388"/>
      <c r="S152" s="388"/>
      <c r="T152" s="388"/>
    </row>
    <row r="153" spans="1:20" x14ac:dyDescent="0.25">
      <c r="A153" s="388"/>
      <c r="B153" s="388"/>
      <c r="C153" s="388"/>
      <c r="D153" s="388"/>
      <c r="E153" s="388"/>
      <c r="F153" s="388"/>
      <c r="G153" s="388"/>
      <c r="H153" s="388"/>
      <c r="I153" s="388"/>
      <c r="J153" s="388"/>
      <c r="K153" s="388"/>
      <c r="L153" s="388"/>
      <c r="M153" s="388"/>
      <c r="N153" s="388"/>
      <c r="O153" s="388"/>
      <c r="P153" s="388"/>
      <c r="Q153" s="388"/>
      <c r="R153" s="388"/>
      <c r="S153" s="388"/>
      <c r="T153" s="388"/>
    </row>
    <row r="154" spans="1:20" x14ac:dyDescent="0.25">
      <c r="A154" s="388"/>
      <c r="B154" s="388"/>
      <c r="C154" s="388"/>
      <c r="D154" s="388"/>
      <c r="E154" s="388"/>
      <c r="F154" s="388"/>
      <c r="G154" s="388"/>
      <c r="H154" s="388"/>
      <c r="I154" s="388"/>
      <c r="J154" s="388"/>
      <c r="K154" s="388"/>
      <c r="L154" s="388"/>
      <c r="M154" s="388"/>
      <c r="N154" s="388"/>
      <c r="O154" s="388"/>
      <c r="P154" s="388"/>
      <c r="Q154" s="388"/>
      <c r="R154" s="388"/>
      <c r="S154" s="388"/>
      <c r="T154" s="388"/>
    </row>
    <row r="155" spans="1:20" x14ac:dyDescent="0.25">
      <c r="A155" s="388"/>
      <c r="B155" s="388"/>
      <c r="C155" s="388"/>
      <c r="D155" s="388"/>
      <c r="E155" s="388"/>
      <c r="F155" s="388"/>
      <c r="G155" s="388"/>
      <c r="H155" s="388"/>
      <c r="I155" s="388"/>
      <c r="J155" s="388"/>
      <c r="K155" s="388"/>
      <c r="L155" s="388"/>
      <c r="M155" s="388"/>
      <c r="N155" s="388"/>
      <c r="O155" s="388"/>
      <c r="P155" s="388"/>
      <c r="Q155" s="388"/>
      <c r="R155" s="388"/>
      <c r="S155" s="388"/>
      <c r="T155" s="388"/>
    </row>
    <row r="156" spans="1:20" x14ac:dyDescent="0.25">
      <c r="A156" s="388"/>
      <c r="B156" s="388"/>
      <c r="C156" s="388"/>
      <c r="D156" s="388"/>
      <c r="E156" s="388"/>
      <c r="F156" s="388"/>
      <c r="G156" s="388"/>
      <c r="H156" s="388"/>
      <c r="I156" s="388"/>
      <c r="J156" s="388"/>
      <c r="K156" s="388"/>
      <c r="L156" s="388"/>
      <c r="M156" s="388"/>
      <c r="N156" s="388"/>
      <c r="O156" s="388"/>
      <c r="P156" s="388"/>
      <c r="Q156" s="388"/>
      <c r="R156" s="388"/>
      <c r="S156" s="388"/>
      <c r="T156" s="388"/>
    </row>
    <row r="157" spans="1:20" x14ac:dyDescent="0.25">
      <c r="A157" s="388"/>
      <c r="B157" s="388"/>
      <c r="C157" s="388"/>
      <c r="D157" s="388"/>
      <c r="E157" s="388"/>
      <c r="F157" s="388"/>
      <c r="G157" s="388"/>
      <c r="H157" s="388"/>
      <c r="I157" s="388"/>
      <c r="J157" s="388"/>
      <c r="K157" s="388"/>
      <c r="L157" s="388"/>
      <c r="M157" s="388"/>
      <c r="N157" s="388"/>
      <c r="O157" s="388"/>
      <c r="P157" s="388"/>
      <c r="Q157" s="388"/>
      <c r="R157" s="388"/>
      <c r="S157" s="388"/>
      <c r="T157" s="388"/>
    </row>
    <row r="158" spans="1:20" x14ac:dyDescent="0.25">
      <c r="A158" s="388"/>
      <c r="B158" s="388"/>
      <c r="C158" s="388"/>
      <c r="D158" s="388"/>
      <c r="E158" s="388"/>
      <c r="F158" s="388"/>
      <c r="G158" s="388"/>
      <c r="H158" s="388"/>
      <c r="I158" s="388"/>
      <c r="J158" s="388"/>
      <c r="K158" s="388"/>
      <c r="L158" s="388"/>
      <c r="M158" s="388"/>
      <c r="N158" s="388"/>
      <c r="O158" s="388"/>
      <c r="P158" s="388"/>
      <c r="Q158" s="388"/>
      <c r="R158" s="388"/>
      <c r="S158" s="388"/>
      <c r="T158" s="388"/>
    </row>
    <row r="159" spans="1:20" x14ac:dyDescent="0.25">
      <c r="A159" s="388"/>
      <c r="B159" s="388"/>
      <c r="C159" s="388"/>
      <c r="D159" s="388"/>
      <c r="E159" s="388"/>
      <c r="F159" s="388"/>
      <c r="G159" s="388"/>
      <c r="H159" s="388"/>
      <c r="I159" s="388"/>
      <c r="J159" s="388"/>
      <c r="K159" s="388"/>
      <c r="L159" s="388"/>
      <c r="M159" s="388"/>
      <c r="N159" s="388"/>
      <c r="O159" s="388"/>
      <c r="P159" s="388"/>
      <c r="Q159" s="388"/>
      <c r="R159" s="388"/>
      <c r="S159" s="388"/>
      <c r="T159" s="388"/>
    </row>
    <row r="160" spans="1:20" x14ac:dyDescent="0.25">
      <c r="A160" s="388"/>
      <c r="B160" s="388"/>
      <c r="C160" s="388"/>
      <c r="D160" s="388"/>
      <c r="E160" s="388"/>
      <c r="F160" s="388"/>
      <c r="G160" s="388"/>
      <c r="H160" s="388"/>
      <c r="I160" s="388"/>
      <c r="J160" s="388"/>
      <c r="K160" s="388"/>
      <c r="L160" s="388"/>
      <c r="M160" s="388"/>
      <c r="N160" s="388"/>
      <c r="O160" s="388"/>
      <c r="P160" s="388"/>
      <c r="Q160" s="388"/>
      <c r="R160" s="388"/>
      <c r="S160" s="388"/>
      <c r="T160" s="388"/>
    </row>
    <row r="161" spans="1:20" x14ac:dyDescent="0.25">
      <c r="A161" s="388"/>
      <c r="B161" s="388"/>
      <c r="C161" s="388"/>
      <c r="D161" s="388"/>
      <c r="E161" s="388"/>
      <c r="F161" s="388"/>
      <c r="G161" s="388"/>
      <c r="H161" s="388"/>
      <c r="I161" s="388"/>
      <c r="J161" s="388"/>
      <c r="K161" s="388"/>
      <c r="L161" s="388"/>
      <c r="M161" s="388"/>
      <c r="N161" s="388"/>
      <c r="O161" s="388"/>
      <c r="P161" s="388"/>
      <c r="Q161" s="388"/>
      <c r="R161" s="388"/>
      <c r="S161" s="388"/>
      <c r="T161" s="388"/>
    </row>
    <row r="162" spans="1:20" x14ac:dyDescent="0.25">
      <c r="A162" s="388"/>
      <c r="B162" s="388"/>
      <c r="C162" s="388"/>
      <c r="D162" s="388"/>
      <c r="E162" s="388"/>
      <c r="F162" s="388"/>
      <c r="G162" s="388"/>
      <c r="H162" s="388"/>
      <c r="I162" s="388"/>
      <c r="J162" s="388"/>
      <c r="K162" s="388"/>
      <c r="L162" s="388"/>
      <c r="M162" s="388"/>
      <c r="N162" s="388"/>
      <c r="O162" s="388"/>
      <c r="P162" s="388"/>
      <c r="Q162" s="388"/>
      <c r="R162" s="388"/>
      <c r="S162" s="388"/>
      <c r="T162" s="388"/>
    </row>
    <row r="163" spans="1:20" x14ac:dyDescent="0.25">
      <c r="A163" s="388"/>
      <c r="B163" s="388"/>
      <c r="C163" s="388"/>
      <c r="D163" s="388"/>
      <c r="E163" s="388"/>
      <c r="F163" s="388"/>
      <c r="G163" s="388"/>
      <c r="H163" s="388"/>
      <c r="I163" s="388"/>
      <c r="J163" s="388"/>
      <c r="K163" s="388"/>
      <c r="L163" s="388"/>
      <c r="M163" s="388"/>
      <c r="N163" s="388"/>
      <c r="O163" s="388"/>
      <c r="P163" s="388"/>
      <c r="Q163" s="388"/>
      <c r="R163" s="388"/>
      <c r="S163" s="388"/>
      <c r="T163" s="388"/>
    </row>
    <row r="164" spans="1:20" x14ac:dyDescent="0.25">
      <c r="A164" s="388"/>
      <c r="B164" s="388"/>
      <c r="C164" s="388"/>
      <c r="D164" s="388"/>
      <c r="E164" s="388"/>
      <c r="F164" s="388"/>
      <c r="G164" s="388"/>
      <c r="H164" s="388"/>
      <c r="I164" s="388"/>
      <c r="J164" s="388"/>
      <c r="K164" s="388"/>
      <c r="L164" s="388"/>
      <c r="M164" s="388"/>
      <c r="N164" s="388"/>
      <c r="O164" s="388"/>
      <c r="P164" s="388"/>
      <c r="Q164" s="388"/>
      <c r="R164" s="388"/>
      <c r="S164" s="388"/>
      <c r="T164" s="388"/>
    </row>
    <row r="165" spans="1:20" x14ac:dyDescent="0.25">
      <c r="A165" s="388"/>
      <c r="B165" s="388"/>
      <c r="C165" s="388"/>
      <c r="D165" s="388"/>
      <c r="E165" s="388"/>
      <c r="F165" s="388"/>
      <c r="G165" s="388"/>
      <c r="H165" s="388"/>
      <c r="I165" s="388"/>
      <c r="J165" s="388"/>
      <c r="K165" s="388"/>
      <c r="L165" s="388"/>
      <c r="M165" s="388"/>
      <c r="N165" s="388"/>
      <c r="O165" s="388"/>
      <c r="P165" s="388"/>
      <c r="Q165" s="388"/>
      <c r="R165" s="388"/>
      <c r="S165" s="388"/>
      <c r="T165" s="388"/>
    </row>
    <row r="166" spans="1:20" x14ac:dyDescent="0.25">
      <c r="A166" s="388"/>
      <c r="B166" s="388"/>
      <c r="C166" s="388"/>
      <c r="D166" s="388"/>
      <c r="E166" s="388"/>
      <c r="F166" s="388"/>
      <c r="G166" s="388"/>
      <c r="H166" s="388"/>
      <c r="I166" s="388"/>
      <c r="J166" s="388"/>
      <c r="K166" s="388"/>
      <c r="L166" s="388"/>
      <c r="M166" s="388"/>
      <c r="N166" s="388"/>
      <c r="O166" s="388"/>
      <c r="P166" s="388"/>
      <c r="Q166" s="388"/>
      <c r="R166" s="388"/>
      <c r="S166" s="388"/>
      <c r="T166" s="388"/>
    </row>
    <row r="167" spans="1:20" x14ac:dyDescent="0.25">
      <c r="A167" s="388"/>
      <c r="B167" s="388"/>
      <c r="C167" s="388"/>
      <c r="D167" s="388"/>
      <c r="E167" s="388"/>
      <c r="F167" s="388"/>
      <c r="G167" s="388"/>
      <c r="H167" s="388"/>
      <c r="I167" s="388"/>
      <c r="J167" s="388"/>
      <c r="K167" s="388"/>
      <c r="L167" s="388"/>
      <c r="M167" s="388"/>
      <c r="N167" s="388"/>
      <c r="O167" s="388"/>
      <c r="P167" s="388"/>
      <c r="Q167" s="388"/>
      <c r="R167" s="388"/>
      <c r="S167" s="388"/>
      <c r="T167" s="388"/>
    </row>
    <row r="168" spans="1:20" x14ac:dyDescent="0.25">
      <c r="A168" s="388"/>
      <c r="B168" s="388"/>
      <c r="C168" s="388"/>
      <c r="D168" s="388"/>
      <c r="E168" s="388"/>
      <c r="F168" s="388"/>
      <c r="G168" s="388"/>
      <c r="H168" s="388"/>
      <c r="I168" s="388"/>
      <c r="J168" s="388"/>
      <c r="K168" s="388"/>
      <c r="L168" s="388"/>
      <c r="M168" s="388"/>
      <c r="N168" s="388"/>
      <c r="O168" s="388"/>
      <c r="P168" s="388"/>
      <c r="Q168" s="388"/>
      <c r="R168" s="388"/>
      <c r="S168" s="388"/>
      <c r="T168" s="388"/>
    </row>
    <row r="169" spans="1:20" x14ac:dyDescent="0.25">
      <c r="A169" s="388"/>
      <c r="B169" s="388"/>
      <c r="C169" s="388"/>
      <c r="D169" s="388"/>
      <c r="E169" s="388"/>
      <c r="F169" s="388"/>
      <c r="G169" s="388"/>
      <c r="H169" s="388"/>
      <c r="I169" s="388"/>
      <c r="J169" s="388"/>
      <c r="K169" s="388"/>
      <c r="L169" s="388"/>
      <c r="M169" s="388"/>
      <c r="N169" s="388"/>
      <c r="O169" s="388"/>
      <c r="P169" s="388"/>
      <c r="Q169" s="388"/>
      <c r="R169" s="388"/>
      <c r="S169" s="388"/>
      <c r="T169" s="388"/>
    </row>
    <row r="170" spans="1:20" x14ac:dyDescent="0.25">
      <c r="A170" s="388"/>
      <c r="B170" s="388"/>
      <c r="C170" s="388"/>
      <c r="D170" s="388"/>
      <c r="E170" s="388"/>
      <c r="F170" s="388"/>
      <c r="G170" s="388"/>
      <c r="H170" s="388"/>
      <c r="I170" s="388"/>
      <c r="J170" s="388"/>
      <c r="K170" s="388"/>
      <c r="L170" s="388"/>
      <c r="M170" s="388"/>
      <c r="N170" s="388"/>
      <c r="O170" s="388"/>
      <c r="P170" s="388"/>
      <c r="Q170" s="388"/>
      <c r="R170" s="388"/>
      <c r="S170" s="388"/>
      <c r="T170" s="388"/>
    </row>
    <row r="171" spans="1:20" x14ac:dyDescent="0.25">
      <c r="A171" s="388"/>
      <c r="B171" s="388"/>
      <c r="C171" s="388"/>
      <c r="D171" s="388"/>
      <c r="E171" s="388"/>
      <c r="F171" s="388"/>
      <c r="G171" s="388"/>
      <c r="H171" s="388"/>
      <c r="I171" s="388"/>
      <c r="J171" s="388"/>
      <c r="K171" s="388"/>
      <c r="L171" s="388"/>
      <c r="M171" s="388"/>
      <c r="N171" s="388"/>
      <c r="O171" s="388"/>
      <c r="P171" s="388"/>
      <c r="Q171" s="388"/>
      <c r="R171" s="388"/>
      <c r="S171" s="388"/>
      <c r="T171" s="388"/>
    </row>
    <row r="172" spans="1:20" x14ac:dyDescent="0.25">
      <c r="A172" s="388"/>
      <c r="B172" s="388"/>
      <c r="C172" s="388"/>
      <c r="D172" s="388"/>
      <c r="E172" s="388"/>
      <c r="F172" s="388"/>
      <c r="G172" s="388"/>
      <c r="H172" s="388"/>
      <c r="I172" s="388"/>
      <c r="J172" s="388"/>
      <c r="K172" s="388"/>
      <c r="L172" s="388"/>
      <c r="M172" s="388"/>
      <c r="N172" s="388"/>
      <c r="O172" s="388"/>
      <c r="P172" s="388"/>
      <c r="Q172" s="388"/>
      <c r="R172" s="388"/>
      <c r="S172" s="388"/>
      <c r="T172" s="388"/>
    </row>
    <row r="173" spans="1:20" x14ac:dyDescent="0.25">
      <c r="A173" s="388"/>
      <c r="B173" s="388"/>
      <c r="C173" s="388"/>
      <c r="D173" s="388"/>
      <c r="E173" s="388"/>
      <c r="F173" s="388"/>
      <c r="G173" s="388"/>
      <c r="H173" s="388"/>
      <c r="I173" s="388"/>
      <c r="J173" s="388"/>
      <c r="K173" s="388"/>
      <c r="L173" s="388"/>
      <c r="M173" s="388"/>
      <c r="N173" s="388"/>
      <c r="O173" s="388"/>
      <c r="P173" s="388"/>
      <c r="Q173" s="388"/>
      <c r="R173" s="388"/>
      <c r="S173" s="388"/>
      <c r="T173" s="388"/>
    </row>
    <row r="174" spans="1:20" x14ac:dyDescent="0.25">
      <c r="A174" s="388"/>
      <c r="B174" s="388"/>
      <c r="C174" s="388"/>
      <c r="D174" s="388"/>
      <c r="E174" s="388"/>
      <c r="F174" s="388"/>
      <c r="G174" s="388"/>
      <c r="H174" s="388"/>
      <c r="I174" s="388"/>
      <c r="J174" s="388"/>
      <c r="K174" s="388"/>
      <c r="L174" s="388"/>
      <c r="M174" s="388"/>
      <c r="N174" s="388"/>
      <c r="O174" s="388"/>
      <c r="P174" s="388"/>
      <c r="Q174" s="388"/>
      <c r="R174" s="388"/>
      <c r="S174" s="388"/>
      <c r="T174" s="388"/>
    </row>
    <row r="175" spans="1:20" x14ac:dyDescent="0.25">
      <c r="A175" s="388"/>
      <c r="B175" s="388"/>
      <c r="C175" s="388"/>
      <c r="D175" s="388"/>
      <c r="E175" s="388"/>
      <c r="F175" s="388"/>
      <c r="G175" s="388"/>
      <c r="H175" s="388"/>
      <c r="I175" s="388"/>
      <c r="J175" s="388"/>
      <c r="K175" s="388"/>
      <c r="L175" s="388"/>
      <c r="M175" s="388"/>
      <c r="N175" s="388"/>
      <c r="O175" s="388"/>
      <c r="P175" s="388"/>
      <c r="Q175" s="388"/>
      <c r="R175" s="388"/>
      <c r="S175" s="388"/>
      <c r="T175" s="388"/>
    </row>
    <row r="176" spans="1:20" x14ac:dyDescent="0.25">
      <c r="A176" s="388"/>
      <c r="B176" s="388"/>
      <c r="C176" s="388"/>
      <c r="D176" s="388"/>
      <c r="E176" s="388"/>
      <c r="F176" s="388"/>
      <c r="G176" s="388"/>
      <c r="H176" s="388"/>
      <c r="I176" s="388"/>
      <c r="J176" s="388"/>
      <c r="K176" s="388"/>
      <c r="L176" s="388"/>
      <c r="M176" s="388"/>
      <c r="N176" s="388"/>
      <c r="O176" s="388"/>
      <c r="P176" s="388"/>
      <c r="Q176" s="388"/>
      <c r="R176" s="388"/>
      <c r="S176" s="388"/>
      <c r="T176" s="388"/>
    </row>
    <row r="177" spans="1:20" x14ac:dyDescent="0.25">
      <c r="A177" s="388"/>
      <c r="B177" s="388"/>
      <c r="C177" s="388"/>
      <c r="D177" s="388"/>
      <c r="E177" s="388"/>
      <c r="F177" s="388"/>
      <c r="G177" s="388"/>
      <c r="H177" s="388"/>
      <c r="I177" s="388"/>
      <c r="J177" s="388"/>
      <c r="K177" s="388"/>
      <c r="L177" s="388"/>
      <c r="M177" s="388"/>
      <c r="N177" s="388"/>
      <c r="O177" s="388"/>
      <c r="P177" s="388"/>
      <c r="Q177" s="388"/>
      <c r="R177" s="388"/>
      <c r="S177" s="388"/>
      <c r="T177" s="388"/>
    </row>
    <row r="178" spans="1:20" x14ac:dyDescent="0.25">
      <c r="A178" s="388"/>
      <c r="B178" s="388"/>
      <c r="C178" s="388"/>
      <c r="D178" s="388"/>
      <c r="E178" s="388"/>
      <c r="F178" s="388"/>
      <c r="G178" s="388"/>
      <c r="H178" s="388"/>
      <c r="I178" s="388"/>
      <c r="J178" s="388"/>
      <c r="K178" s="388"/>
      <c r="L178" s="388"/>
      <c r="M178" s="388"/>
      <c r="N178" s="388"/>
      <c r="O178" s="388"/>
      <c r="P178" s="388"/>
      <c r="Q178" s="388"/>
      <c r="R178" s="388"/>
      <c r="S178" s="388"/>
      <c r="T178" s="388"/>
    </row>
    <row r="179" spans="1:20" x14ac:dyDescent="0.25">
      <c r="A179" s="388"/>
      <c r="B179" s="388"/>
      <c r="C179" s="388"/>
      <c r="D179" s="388"/>
      <c r="E179" s="388"/>
      <c r="F179" s="388"/>
      <c r="G179" s="388"/>
      <c r="H179" s="388"/>
      <c r="I179" s="388"/>
      <c r="J179" s="388"/>
      <c r="K179" s="388"/>
      <c r="L179" s="388"/>
      <c r="M179" s="388"/>
      <c r="N179" s="388"/>
      <c r="O179" s="388"/>
      <c r="P179" s="388"/>
      <c r="Q179" s="388"/>
      <c r="R179" s="388"/>
      <c r="S179" s="388"/>
      <c r="T179" s="388"/>
    </row>
    <row r="180" spans="1:20" x14ac:dyDescent="0.25">
      <c r="A180" s="388"/>
      <c r="B180" s="388"/>
      <c r="C180" s="388"/>
      <c r="D180" s="388"/>
      <c r="E180" s="388"/>
      <c r="F180" s="388"/>
      <c r="G180" s="388"/>
      <c r="H180" s="388"/>
      <c r="I180" s="388"/>
      <c r="J180" s="388"/>
      <c r="K180" s="388"/>
      <c r="L180" s="388"/>
      <c r="M180" s="388"/>
      <c r="N180" s="388"/>
      <c r="O180" s="388"/>
      <c r="P180" s="388"/>
      <c r="Q180" s="388"/>
      <c r="R180" s="388"/>
      <c r="S180" s="388"/>
      <c r="T180" s="388"/>
    </row>
    <row r="181" spans="1:20" x14ac:dyDescent="0.25">
      <c r="A181" s="388"/>
      <c r="B181" s="388"/>
      <c r="C181" s="388"/>
      <c r="D181" s="388"/>
      <c r="E181" s="388"/>
      <c r="F181" s="388"/>
      <c r="G181" s="388"/>
      <c r="H181" s="388"/>
      <c r="I181" s="388"/>
      <c r="J181" s="388"/>
      <c r="K181" s="388"/>
      <c r="L181" s="388"/>
      <c r="M181" s="388"/>
      <c r="N181" s="388"/>
      <c r="O181" s="388"/>
      <c r="P181" s="388"/>
      <c r="Q181" s="388"/>
      <c r="R181" s="388"/>
      <c r="S181" s="388"/>
      <c r="T181" s="388"/>
    </row>
    <row r="182" spans="1:20" x14ac:dyDescent="0.25">
      <c r="A182" s="388"/>
      <c r="B182" s="388"/>
      <c r="C182" s="388"/>
      <c r="D182" s="388"/>
      <c r="E182" s="388"/>
      <c r="F182" s="388"/>
      <c r="G182" s="388"/>
      <c r="H182" s="388"/>
      <c r="I182" s="388"/>
      <c r="J182" s="388"/>
      <c r="K182" s="388"/>
      <c r="L182" s="388"/>
      <c r="M182" s="388"/>
      <c r="N182" s="388"/>
      <c r="O182" s="388"/>
      <c r="P182" s="388"/>
      <c r="Q182" s="388"/>
      <c r="R182" s="388"/>
      <c r="S182" s="388"/>
      <c r="T182" s="388"/>
    </row>
    <row r="183" spans="1:20" x14ac:dyDescent="0.25">
      <c r="A183" s="388"/>
      <c r="B183" s="388"/>
      <c r="C183" s="388"/>
      <c r="D183" s="388"/>
      <c r="E183" s="388"/>
      <c r="F183" s="388"/>
      <c r="G183" s="388"/>
      <c r="H183" s="388"/>
      <c r="I183" s="388"/>
      <c r="J183" s="388"/>
      <c r="K183" s="388"/>
      <c r="L183" s="388"/>
      <c r="M183" s="388"/>
      <c r="N183" s="388"/>
      <c r="O183" s="388"/>
      <c r="P183" s="388"/>
      <c r="Q183" s="388"/>
      <c r="R183" s="388"/>
      <c r="S183" s="388"/>
      <c r="T183" s="388"/>
    </row>
    <row r="184" spans="1:20" x14ac:dyDescent="0.25">
      <c r="A184" s="388"/>
      <c r="B184" s="388"/>
      <c r="C184" s="388"/>
      <c r="D184" s="388"/>
      <c r="E184" s="388"/>
      <c r="F184" s="388"/>
      <c r="G184" s="388"/>
      <c r="H184" s="388"/>
      <c r="I184" s="388"/>
      <c r="J184" s="388"/>
      <c r="K184" s="388"/>
      <c r="L184" s="388"/>
      <c r="M184" s="388"/>
      <c r="N184" s="388"/>
      <c r="O184" s="388"/>
      <c r="P184" s="388"/>
      <c r="Q184" s="388"/>
      <c r="R184" s="388"/>
      <c r="S184" s="388"/>
      <c r="T184" s="388"/>
    </row>
  </sheetData>
  <mergeCells count="1">
    <mergeCell ref="F5:J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70C0"/>
  </sheetPr>
  <dimension ref="A1:AD157"/>
  <sheetViews>
    <sheetView workbookViewId="0"/>
  </sheetViews>
  <sheetFormatPr defaultRowHeight="15" x14ac:dyDescent="0.25"/>
  <cols>
    <col min="1" max="1" width="9.140625" style="388"/>
    <col min="3" max="4" width="9.7109375" customWidth="1"/>
    <col min="5" max="5" width="9.85546875" customWidth="1"/>
    <col min="6" max="8" width="10" customWidth="1"/>
  </cols>
  <sheetData>
    <row r="1" spans="1:30" ht="18" x14ac:dyDescent="0.25">
      <c r="A1" s="425" t="s">
        <v>418</v>
      </c>
      <c r="B1" s="388"/>
      <c r="C1" s="388"/>
      <c r="D1" s="388"/>
      <c r="E1" s="388"/>
      <c r="F1" s="388"/>
      <c r="G1" s="388"/>
      <c r="H1" s="388"/>
      <c r="I1" s="388"/>
      <c r="J1" s="388"/>
      <c r="K1" s="388"/>
      <c r="L1" s="388"/>
      <c r="M1" s="388"/>
      <c r="N1" s="388"/>
      <c r="O1" s="388"/>
      <c r="P1" s="388"/>
      <c r="Q1" s="388"/>
      <c r="R1" s="388"/>
      <c r="S1" s="388"/>
      <c r="T1" s="388"/>
      <c r="U1" s="388"/>
      <c r="V1" s="388"/>
      <c r="W1" s="388"/>
      <c r="X1" s="388"/>
      <c r="Y1" s="388"/>
      <c r="Z1" s="388"/>
      <c r="AA1" s="388"/>
      <c r="AB1" s="388"/>
      <c r="AC1" s="388"/>
      <c r="AD1" s="388"/>
    </row>
    <row r="2" spans="1:30" x14ac:dyDescent="0.25">
      <c r="B2" s="388"/>
      <c r="C2" s="388"/>
      <c r="D2" s="388"/>
      <c r="E2" s="388"/>
      <c r="F2" s="388"/>
      <c r="G2" s="388"/>
      <c r="H2" s="388"/>
      <c r="I2" s="388"/>
      <c r="J2" s="388"/>
      <c r="K2" s="388"/>
      <c r="L2" s="388"/>
      <c r="M2" s="388"/>
      <c r="N2" s="388"/>
      <c r="O2" s="388"/>
      <c r="P2" s="388"/>
      <c r="Q2" s="388"/>
      <c r="R2" s="388"/>
      <c r="S2" s="388"/>
      <c r="T2" s="388"/>
      <c r="U2" s="388"/>
      <c r="V2" s="388"/>
      <c r="W2" s="388"/>
      <c r="X2" s="388"/>
      <c r="Y2" s="388"/>
      <c r="Z2" s="388"/>
      <c r="AA2" s="388"/>
      <c r="AB2" s="388"/>
      <c r="AC2" s="388"/>
      <c r="AD2" s="388"/>
    </row>
    <row r="3" spans="1:30" ht="18" x14ac:dyDescent="0.25">
      <c r="B3" s="425" t="s">
        <v>419</v>
      </c>
      <c r="C3" s="388"/>
      <c r="D3" s="388"/>
      <c r="E3" s="388"/>
      <c r="F3" s="388"/>
      <c r="G3" s="388"/>
      <c r="H3" s="388"/>
      <c r="I3" s="388"/>
      <c r="J3" s="388"/>
      <c r="K3" s="388"/>
      <c r="L3" s="388"/>
      <c r="M3" s="388"/>
      <c r="N3" s="388"/>
      <c r="O3" s="388"/>
      <c r="P3" s="388"/>
      <c r="Q3" s="388"/>
      <c r="R3" s="388"/>
      <c r="S3" s="388"/>
      <c r="T3" s="388"/>
      <c r="U3" s="388"/>
      <c r="V3" s="388"/>
      <c r="W3" s="388"/>
      <c r="X3" s="388"/>
      <c r="Y3" s="388"/>
      <c r="Z3" s="388"/>
      <c r="AA3" s="388"/>
      <c r="AB3" s="388"/>
      <c r="AC3" s="388"/>
      <c r="AD3" s="388"/>
    </row>
    <row r="4" spans="1:30" x14ac:dyDescent="0.25">
      <c r="B4" s="8" t="s">
        <v>220</v>
      </c>
      <c r="C4" s="9" t="s">
        <v>136</v>
      </c>
      <c r="D4" s="10"/>
      <c r="E4" s="9" t="s">
        <v>137</v>
      </c>
      <c r="F4" s="9" t="s">
        <v>153</v>
      </c>
      <c r="G4" s="9" t="s">
        <v>420</v>
      </c>
      <c r="H4" s="9" t="s">
        <v>421</v>
      </c>
      <c r="I4" s="9" t="s">
        <v>1</v>
      </c>
      <c r="J4" s="9" t="s">
        <v>138</v>
      </c>
      <c r="K4" s="9" t="s">
        <v>139</v>
      </c>
      <c r="L4" s="10"/>
      <c r="M4" s="11"/>
      <c r="N4" s="388"/>
      <c r="O4" s="388"/>
      <c r="P4" s="388"/>
      <c r="Q4" s="388"/>
      <c r="R4" s="388"/>
      <c r="S4" s="388"/>
      <c r="T4" s="388"/>
      <c r="U4" s="388"/>
      <c r="V4" s="388"/>
      <c r="W4" s="388"/>
      <c r="X4" s="388"/>
      <c r="Y4" s="388"/>
      <c r="Z4" s="388"/>
      <c r="AA4" s="388"/>
      <c r="AB4" s="388"/>
      <c r="AC4" s="388"/>
      <c r="AD4" s="388"/>
    </row>
    <row r="5" spans="1:30" x14ac:dyDescent="0.25">
      <c r="B5" s="101" t="s">
        <v>422</v>
      </c>
      <c r="C5" s="3"/>
      <c r="D5" s="3"/>
      <c r="E5" s="16" t="s">
        <v>423</v>
      </c>
      <c r="F5" s="3"/>
      <c r="G5" s="3"/>
      <c r="H5" s="3"/>
      <c r="I5" s="3"/>
      <c r="J5" s="3"/>
      <c r="K5" s="3"/>
      <c r="L5" s="3"/>
      <c r="M5" s="14"/>
      <c r="N5" s="388"/>
      <c r="O5" s="388"/>
      <c r="P5" s="388"/>
      <c r="Q5" s="388"/>
      <c r="R5" s="388"/>
      <c r="S5" s="388"/>
      <c r="T5" s="388"/>
      <c r="U5" s="388"/>
      <c r="V5" s="388"/>
      <c r="W5" s="388"/>
      <c r="X5" s="388"/>
      <c r="Y5" s="388"/>
      <c r="Z5" s="388"/>
      <c r="AA5" s="388"/>
      <c r="AB5" s="388"/>
      <c r="AC5" s="388"/>
      <c r="AD5" s="388"/>
    </row>
    <row r="6" spans="1:30" x14ac:dyDescent="0.25">
      <c r="B6" s="203" t="s">
        <v>2</v>
      </c>
      <c r="C6" s="55">
        <v>1</v>
      </c>
      <c r="D6" s="3"/>
      <c r="E6" s="16" t="s">
        <v>424</v>
      </c>
      <c r="F6" s="18" t="s">
        <v>425</v>
      </c>
      <c r="G6" s="55">
        <f>IF(F28=0,0,_xll.RiskUniform(D28,E28,_xll.RiskCollect()))</f>
        <v>0</v>
      </c>
      <c r="H6" s="18" t="s">
        <v>426</v>
      </c>
      <c r="I6" s="164">
        <f>G6</f>
        <v>0</v>
      </c>
      <c r="J6" s="230" t="s">
        <v>244</v>
      </c>
      <c r="K6" s="112" t="s">
        <v>427</v>
      </c>
      <c r="L6" s="3"/>
      <c r="M6" s="14"/>
      <c r="N6" s="388"/>
      <c r="O6" s="388"/>
      <c r="P6" s="388"/>
      <c r="Q6" s="388"/>
      <c r="R6" s="388"/>
      <c r="S6" s="388"/>
      <c r="T6" s="388"/>
      <c r="U6" s="388"/>
      <c r="V6" s="388"/>
      <c r="W6" s="388"/>
      <c r="X6" s="388"/>
      <c r="Y6" s="388"/>
      <c r="Z6" s="388"/>
      <c r="AA6" s="388"/>
      <c r="AB6" s="388"/>
      <c r="AC6" s="388"/>
      <c r="AD6" s="388"/>
    </row>
    <row r="7" spans="1:30" x14ac:dyDescent="0.25">
      <c r="A7" s="407"/>
      <c r="B7" s="203" t="s">
        <v>3</v>
      </c>
      <c r="C7" s="55">
        <v>2</v>
      </c>
      <c r="D7" s="18"/>
      <c r="E7" s="16" t="s">
        <v>428</v>
      </c>
      <c r="F7" s="18" t="s">
        <v>425</v>
      </c>
      <c r="G7" s="165">
        <f>IF(F29=0,0,_xll.RiskUniform($D$29,$E$29,_xll.RiskCollect()))</f>
        <v>0</v>
      </c>
      <c r="H7" s="18" t="s">
        <v>426</v>
      </c>
      <c r="I7" s="164">
        <f>G7</f>
        <v>0</v>
      </c>
      <c r="J7" s="75" t="s">
        <v>244</v>
      </c>
      <c r="K7" s="75" t="s">
        <v>429</v>
      </c>
      <c r="L7" s="3"/>
      <c r="M7" s="14"/>
      <c r="N7" s="388"/>
      <c r="O7" s="388"/>
      <c r="P7" s="388"/>
      <c r="Q7" s="388"/>
      <c r="R7" s="388"/>
      <c r="S7" s="388"/>
      <c r="T7" s="388"/>
      <c r="U7" s="388"/>
      <c r="V7" s="388"/>
      <c r="W7" s="388"/>
      <c r="X7" s="388"/>
      <c r="Y7" s="388"/>
      <c r="Z7" s="388"/>
      <c r="AA7" s="388"/>
      <c r="AB7" s="388"/>
      <c r="AC7" s="388"/>
      <c r="AD7" s="388"/>
    </row>
    <row r="8" spans="1:30" x14ac:dyDescent="0.25">
      <c r="B8" s="203" t="s">
        <v>7</v>
      </c>
      <c r="C8" s="55">
        <v>3</v>
      </c>
      <c r="D8" s="3"/>
      <c r="E8" s="16" t="s">
        <v>430</v>
      </c>
      <c r="F8" s="18" t="s">
        <v>425</v>
      </c>
      <c r="G8" s="165">
        <f>IF($I$37=TRUE,$G$7,IF(F30=0,0,_xll.RiskUniform(D30,E30,_xll.RiskCollect())))</f>
        <v>0</v>
      </c>
      <c r="H8" s="18" t="s">
        <v>426</v>
      </c>
      <c r="I8" s="164">
        <f>G8</f>
        <v>0</v>
      </c>
      <c r="J8" s="75" t="s">
        <v>244</v>
      </c>
      <c r="K8" s="75" t="s">
        <v>429</v>
      </c>
      <c r="L8" s="3"/>
      <c r="M8" s="14"/>
      <c r="N8" s="388"/>
      <c r="O8" s="388"/>
      <c r="P8" s="388"/>
      <c r="Q8" s="388"/>
      <c r="R8" s="388"/>
      <c r="S8" s="388"/>
      <c r="T8" s="388"/>
      <c r="U8" s="388"/>
      <c r="V8" s="388"/>
      <c r="W8" s="388"/>
      <c r="X8" s="388"/>
      <c r="Y8" s="388"/>
      <c r="Z8" s="388"/>
      <c r="AA8" s="388"/>
      <c r="AB8" s="388"/>
      <c r="AC8" s="388"/>
      <c r="AD8" s="388"/>
    </row>
    <row r="9" spans="1:30" x14ac:dyDescent="0.25">
      <c r="A9" s="407"/>
      <c r="B9" s="220" t="s">
        <v>4</v>
      </c>
      <c r="C9" s="19">
        <v>4</v>
      </c>
      <c r="D9" s="18"/>
      <c r="E9" s="16" t="s">
        <v>431</v>
      </c>
      <c r="F9" s="18" t="s">
        <v>425</v>
      </c>
      <c r="G9" s="165">
        <f>IF($I$37=TRUE,$G$7,IF(F31=0,0,_xll.RiskUniform(D31,E31,_xll.RiskCollect())))</f>
        <v>0</v>
      </c>
      <c r="H9" s="18" t="s">
        <v>426</v>
      </c>
      <c r="I9" s="164">
        <f t="shared" ref="I9:I13" si="0">G9</f>
        <v>0</v>
      </c>
      <c r="J9" s="31" t="s">
        <v>244</v>
      </c>
      <c r="K9" s="75" t="s">
        <v>432</v>
      </c>
      <c r="L9" s="48"/>
      <c r="M9" s="71"/>
      <c r="N9" s="388"/>
      <c r="O9" s="388"/>
      <c r="P9" s="388"/>
      <c r="Q9" s="388"/>
      <c r="R9" s="388"/>
      <c r="S9" s="388"/>
      <c r="T9" s="388"/>
      <c r="U9" s="388"/>
      <c r="V9" s="388"/>
      <c r="W9" s="388"/>
      <c r="X9" s="388"/>
      <c r="Y9" s="388"/>
      <c r="Z9" s="388"/>
      <c r="AA9" s="388"/>
      <c r="AB9" s="388"/>
      <c r="AC9" s="388"/>
      <c r="AD9" s="388"/>
    </row>
    <row r="10" spans="1:30" x14ac:dyDescent="0.25">
      <c r="A10" s="407"/>
      <c r="B10" s="220" t="s">
        <v>5</v>
      </c>
      <c r="C10" s="19">
        <v>5</v>
      </c>
      <c r="D10" s="18"/>
      <c r="E10" s="16" t="s">
        <v>433</v>
      </c>
      <c r="F10" s="18" t="s">
        <v>425</v>
      </c>
      <c r="G10" s="165">
        <f>IF($I$37=TRUE,$G$7,IF(F32=0,0,_xll.RiskUniform(D32,E32,_xll.RiskCollect())))</f>
        <v>0</v>
      </c>
      <c r="H10" s="18" t="s">
        <v>426</v>
      </c>
      <c r="I10" s="164">
        <f t="shared" si="0"/>
        <v>0</v>
      </c>
      <c r="J10" s="31" t="s">
        <v>244</v>
      </c>
      <c r="K10" s="75" t="s">
        <v>432</v>
      </c>
      <c r="L10" s="48"/>
      <c r="M10" s="71"/>
      <c r="N10" s="388"/>
      <c r="O10" s="388"/>
      <c r="P10" s="388"/>
      <c r="Q10" s="388"/>
      <c r="R10" s="388"/>
      <c r="S10" s="388"/>
      <c r="T10" s="388"/>
      <c r="U10" s="388"/>
      <c r="V10" s="388"/>
      <c r="W10" s="388"/>
      <c r="X10" s="388"/>
      <c r="Y10" s="388"/>
      <c r="Z10" s="388"/>
      <c r="AA10" s="388"/>
      <c r="AB10" s="388"/>
      <c r="AC10" s="388"/>
      <c r="AD10" s="388"/>
    </row>
    <row r="11" spans="1:30" x14ac:dyDescent="0.25">
      <c r="B11" s="203" t="s">
        <v>214</v>
      </c>
      <c r="C11" s="18">
        <v>6</v>
      </c>
      <c r="D11" s="18"/>
      <c r="E11" s="16" t="s">
        <v>434</v>
      </c>
      <c r="F11" s="18" t="s">
        <v>425</v>
      </c>
      <c r="G11" s="55">
        <f>IF(F33=0,0,_xll.RiskUniform(D33,E33,_xll.RiskCollect()))</f>
        <v>0</v>
      </c>
      <c r="H11" s="18" t="s">
        <v>426</v>
      </c>
      <c r="I11" s="164">
        <f t="shared" si="0"/>
        <v>0</v>
      </c>
      <c r="J11" s="75" t="s">
        <v>244</v>
      </c>
      <c r="K11" s="75" t="s">
        <v>432</v>
      </c>
      <c r="L11" s="3"/>
      <c r="M11" s="14"/>
      <c r="N11" s="388"/>
      <c r="O11" s="388"/>
      <c r="P11" s="388"/>
      <c r="Q11" s="388"/>
      <c r="R11" s="388"/>
      <c r="S11" s="388"/>
      <c r="T11" s="388"/>
      <c r="U11" s="388"/>
      <c r="V11" s="388"/>
      <c r="W11" s="388"/>
      <c r="X11" s="388"/>
      <c r="Y11" s="388"/>
      <c r="Z11" s="388"/>
      <c r="AA11" s="388"/>
      <c r="AB11" s="388"/>
      <c r="AC11" s="388"/>
      <c r="AD11" s="388"/>
    </row>
    <row r="12" spans="1:30" x14ac:dyDescent="0.25">
      <c r="B12" s="203" t="s">
        <v>6</v>
      </c>
      <c r="C12" s="18">
        <v>7</v>
      </c>
      <c r="D12" s="18"/>
      <c r="E12" s="16" t="s">
        <v>435</v>
      </c>
      <c r="F12" s="18" t="s">
        <v>425</v>
      </c>
      <c r="G12" s="55">
        <f>IF(F34=0,0,_xll.RiskUniform(D34,E34,_xll.RiskCollect()))</f>
        <v>0</v>
      </c>
      <c r="H12" s="18" t="s">
        <v>426</v>
      </c>
      <c r="I12" s="164">
        <f t="shared" si="0"/>
        <v>0</v>
      </c>
      <c r="J12" s="75" t="s">
        <v>244</v>
      </c>
      <c r="K12" s="75" t="s">
        <v>432</v>
      </c>
      <c r="L12" s="3"/>
      <c r="M12" s="14"/>
      <c r="N12" s="388"/>
      <c r="O12" s="388"/>
      <c r="P12" s="388"/>
      <c r="Q12" s="388"/>
      <c r="R12" s="388"/>
      <c r="S12" s="388"/>
      <c r="T12" s="388"/>
      <c r="U12" s="388"/>
      <c r="V12" s="388"/>
      <c r="W12" s="388"/>
      <c r="X12" s="388"/>
      <c r="Y12" s="388"/>
      <c r="Z12" s="388"/>
      <c r="AA12" s="388"/>
      <c r="AB12" s="388"/>
      <c r="AC12" s="388"/>
      <c r="AD12" s="388"/>
    </row>
    <row r="13" spans="1:30" x14ac:dyDescent="0.25">
      <c r="B13" s="231" t="s">
        <v>217</v>
      </c>
      <c r="C13" s="24">
        <v>8</v>
      </c>
      <c r="D13" s="24"/>
      <c r="E13" s="22" t="s">
        <v>436</v>
      </c>
      <c r="F13" s="24" t="s">
        <v>425</v>
      </c>
      <c r="G13" s="84">
        <f>IF(F35=0,0,_xll.RiskUniform(D35,E35,_xll.RiskCollect()))</f>
        <v>0</v>
      </c>
      <c r="H13" s="24" t="s">
        <v>426</v>
      </c>
      <c r="I13" s="170">
        <f t="shared" si="0"/>
        <v>0</v>
      </c>
      <c r="J13" s="80" t="s">
        <v>244</v>
      </c>
      <c r="K13" s="80" t="s">
        <v>432</v>
      </c>
      <c r="L13" s="21"/>
      <c r="M13" s="25"/>
      <c r="N13" s="388"/>
      <c r="O13" s="388"/>
      <c r="P13" s="388"/>
      <c r="Q13" s="388"/>
      <c r="R13" s="388"/>
      <c r="S13" s="388"/>
      <c r="T13" s="388"/>
      <c r="U13" s="388"/>
      <c r="V13" s="388"/>
      <c r="W13" s="388"/>
      <c r="X13" s="388"/>
      <c r="Y13" s="388"/>
      <c r="Z13" s="388"/>
      <c r="AA13" s="388"/>
      <c r="AB13" s="388"/>
      <c r="AC13" s="388"/>
      <c r="AD13" s="388"/>
    </row>
    <row r="14" spans="1:30" s="388" customFormat="1" x14ac:dyDescent="0.25">
      <c r="B14" s="390"/>
      <c r="C14" s="392"/>
      <c r="D14" s="395"/>
      <c r="E14" s="393"/>
      <c r="F14" s="394"/>
      <c r="G14" s="392"/>
      <c r="H14" s="392"/>
      <c r="I14" s="392"/>
      <c r="J14" s="390"/>
      <c r="K14" s="390"/>
      <c r="L14" s="391"/>
      <c r="M14" s="391"/>
    </row>
    <row r="15" spans="1:30" s="388" customFormat="1" x14ac:dyDescent="0.25"/>
    <row r="16" spans="1:30" s="388" customFormat="1" ht="18" x14ac:dyDescent="0.25">
      <c r="B16" s="425" t="s">
        <v>306</v>
      </c>
    </row>
    <row r="17" spans="1:30" s="388" customFormat="1" x14ac:dyDescent="0.25">
      <c r="A17" s="403" t="s">
        <v>147</v>
      </c>
      <c r="B17" s="403" t="s">
        <v>437</v>
      </c>
    </row>
    <row r="18" spans="1:30" ht="38.25" x14ac:dyDescent="0.25">
      <c r="B18" s="232"/>
      <c r="C18" s="155" t="s">
        <v>438</v>
      </c>
      <c r="D18" s="155" t="s">
        <v>438</v>
      </c>
      <c r="E18" s="156" t="s">
        <v>439</v>
      </c>
      <c r="F18" s="388"/>
      <c r="G18" s="395"/>
      <c r="H18" s="395"/>
      <c r="I18" s="395"/>
      <c r="J18" s="388"/>
      <c r="K18" s="388"/>
      <c r="L18" s="388"/>
      <c r="M18" s="388"/>
      <c r="N18" s="388"/>
      <c r="O18" s="388"/>
      <c r="P18" s="388"/>
      <c r="Q18" s="388"/>
      <c r="R18" s="388"/>
      <c r="S18" s="388"/>
      <c r="T18" s="388"/>
      <c r="U18" s="388"/>
      <c r="V18" s="388"/>
      <c r="W18" s="388"/>
      <c r="X18" s="388"/>
      <c r="Y18" s="388"/>
      <c r="Z18" s="388"/>
      <c r="AA18" s="388"/>
      <c r="AB18" s="388"/>
      <c r="AC18" s="388"/>
      <c r="AD18" s="388"/>
    </row>
    <row r="19" spans="1:30" x14ac:dyDescent="0.25">
      <c r="B19" s="114"/>
      <c r="C19" s="117" t="s">
        <v>440</v>
      </c>
      <c r="D19" s="117" t="s">
        <v>440</v>
      </c>
      <c r="E19" s="158" t="s">
        <v>441</v>
      </c>
      <c r="F19" s="388"/>
      <c r="G19" s="395"/>
      <c r="H19" s="395"/>
      <c r="I19" s="395"/>
      <c r="J19" s="388"/>
      <c r="K19" s="388"/>
      <c r="L19" s="388"/>
      <c r="M19" s="388"/>
      <c r="N19" s="388"/>
      <c r="O19" s="388"/>
      <c r="P19" s="388"/>
      <c r="Q19" s="388"/>
      <c r="R19" s="388"/>
      <c r="S19" s="388"/>
      <c r="T19" s="388"/>
      <c r="U19" s="388"/>
      <c r="V19" s="388"/>
      <c r="W19" s="388"/>
      <c r="X19" s="388"/>
      <c r="Y19" s="388"/>
      <c r="Z19" s="388"/>
      <c r="AA19" s="388"/>
      <c r="AB19" s="388"/>
    </row>
    <row r="20" spans="1:30" ht="38.25" x14ac:dyDescent="0.25">
      <c r="B20" s="176" t="s">
        <v>18</v>
      </c>
      <c r="C20" s="113" t="s">
        <v>442</v>
      </c>
      <c r="D20" s="117" t="s">
        <v>443</v>
      </c>
      <c r="E20" s="233" t="s">
        <v>444</v>
      </c>
      <c r="F20" s="388"/>
      <c r="G20" s="438"/>
      <c r="H20" s="438"/>
      <c r="I20" s="438"/>
      <c r="J20" s="388"/>
      <c r="K20" s="388"/>
      <c r="L20" s="388"/>
      <c r="M20" s="388"/>
      <c r="N20" s="388"/>
      <c r="O20" s="388"/>
      <c r="P20" s="388"/>
      <c r="Q20" s="388"/>
      <c r="R20" s="388"/>
      <c r="S20" s="388"/>
      <c r="T20" s="388"/>
      <c r="U20" s="388"/>
      <c r="V20" s="388"/>
      <c r="W20" s="388"/>
      <c r="X20" s="388"/>
      <c r="Y20" s="388"/>
      <c r="Z20" s="388"/>
      <c r="AA20" s="388"/>
      <c r="AB20" s="388"/>
    </row>
    <row r="21" spans="1:30" ht="26.25" x14ac:dyDescent="0.25">
      <c r="B21" s="176"/>
      <c r="C21" s="234" t="s">
        <v>445</v>
      </c>
      <c r="D21" s="234" t="s">
        <v>446</v>
      </c>
      <c r="E21" s="235" t="s">
        <v>447</v>
      </c>
      <c r="F21" s="388"/>
      <c r="G21" s="438"/>
      <c r="H21" s="438"/>
      <c r="I21" s="438"/>
      <c r="J21" s="388"/>
      <c r="K21" s="388"/>
      <c r="L21" s="388"/>
      <c r="M21" s="388"/>
      <c r="N21" s="388"/>
      <c r="O21" s="388"/>
      <c r="P21" s="388"/>
      <c r="Q21" s="388"/>
      <c r="R21" s="388"/>
      <c r="S21" s="388"/>
      <c r="T21" s="388"/>
      <c r="U21" s="388"/>
      <c r="V21" s="388"/>
      <c r="W21" s="388"/>
      <c r="X21" s="388"/>
      <c r="Y21" s="388"/>
      <c r="Z21" s="388"/>
      <c r="AA21" s="388"/>
      <c r="AB21" s="388"/>
    </row>
    <row r="22" spans="1:30" x14ac:dyDescent="0.25">
      <c r="B22" s="199" t="s">
        <v>426</v>
      </c>
      <c r="C22" s="84">
        <v>0</v>
      </c>
      <c r="D22" s="84">
        <v>0.5</v>
      </c>
      <c r="E22" s="236">
        <v>0</v>
      </c>
      <c r="F22" s="388"/>
      <c r="G22" s="391"/>
      <c r="H22" s="391"/>
      <c r="I22" s="391"/>
      <c r="J22" s="388"/>
      <c r="K22" s="388"/>
      <c r="L22" s="388"/>
      <c r="M22" s="388"/>
      <c r="N22" s="388"/>
      <c r="O22" s="388"/>
      <c r="P22" s="388"/>
      <c r="Q22" s="388"/>
      <c r="R22" s="388"/>
      <c r="S22" s="388"/>
      <c r="T22" s="388"/>
      <c r="U22" s="388"/>
      <c r="V22" s="388"/>
      <c r="W22" s="388"/>
      <c r="X22" s="388"/>
      <c r="Y22" s="388"/>
      <c r="Z22" s="388"/>
      <c r="AA22" s="388"/>
      <c r="AB22" s="388"/>
    </row>
    <row r="23" spans="1:30" s="388" customFormat="1" x14ac:dyDescent="0.25">
      <c r="B23" s="407" t="s">
        <v>448</v>
      </c>
    </row>
    <row r="24" spans="1:30" s="388" customFormat="1" x14ac:dyDescent="0.25">
      <c r="B24" s="407" t="s">
        <v>449</v>
      </c>
    </row>
    <row r="25" spans="1:30" s="388" customFormat="1" x14ac:dyDescent="0.25"/>
    <row r="26" spans="1:30" s="388" customFormat="1" x14ac:dyDescent="0.25">
      <c r="A26" s="405" t="s">
        <v>159</v>
      </c>
      <c r="B26" s="405" t="s">
        <v>450</v>
      </c>
    </row>
    <row r="27" spans="1:30" x14ac:dyDescent="0.25">
      <c r="B27" s="26"/>
      <c r="C27" s="10"/>
      <c r="D27" s="69" t="s">
        <v>223</v>
      </c>
      <c r="E27" s="69" t="s">
        <v>225</v>
      </c>
      <c r="F27" s="70" t="s">
        <v>451</v>
      </c>
      <c r="G27" s="388"/>
      <c r="H27" s="388"/>
      <c r="I27" s="388"/>
      <c r="J27" s="388"/>
      <c r="K27" s="388"/>
      <c r="L27" s="388"/>
      <c r="M27" s="388"/>
      <c r="N27" s="388"/>
      <c r="O27" s="388"/>
      <c r="P27" s="388"/>
      <c r="Q27" s="388"/>
      <c r="R27" s="388"/>
      <c r="S27" s="388"/>
      <c r="T27" s="388"/>
      <c r="U27" s="388"/>
      <c r="V27" s="388"/>
      <c r="W27" s="388"/>
      <c r="X27" s="388"/>
      <c r="Y27" s="388"/>
      <c r="Z27" s="388"/>
      <c r="AA27" s="388"/>
      <c r="AB27" s="388"/>
    </row>
    <row r="28" spans="1:30" x14ac:dyDescent="0.25">
      <c r="B28" s="203" t="s">
        <v>2</v>
      </c>
      <c r="C28" s="55">
        <v>1</v>
      </c>
      <c r="D28" s="55">
        <v>0</v>
      </c>
      <c r="E28" s="55">
        <v>0</v>
      </c>
      <c r="F28" s="202">
        <v>0</v>
      </c>
      <c r="G28" s="388"/>
      <c r="H28" s="388"/>
      <c r="I28" s="388"/>
      <c r="J28" s="388"/>
      <c r="K28" s="388"/>
      <c r="L28" s="388"/>
      <c r="M28" s="388"/>
      <c r="N28" s="388"/>
      <c r="O28" s="388"/>
      <c r="P28" s="388"/>
      <c r="Q28" s="388"/>
      <c r="R28" s="388"/>
      <c r="S28" s="388"/>
      <c r="T28" s="388"/>
      <c r="U28" s="388"/>
      <c r="V28" s="388"/>
      <c r="W28" s="388"/>
      <c r="X28" s="388"/>
      <c r="Y28" s="388"/>
      <c r="Z28" s="388"/>
      <c r="AA28" s="388"/>
      <c r="AB28" s="388"/>
    </row>
    <row r="29" spans="1:30" x14ac:dyDescent="0.25">
      <c r="B29" s="203" t="s">
        <v>3</v>
      </c>
      <c r="C29" s="55">
        <v>2</v>
      </c>
      <c r="D29" s="55">
        <v>0</v>
      </c>
      <c r="E29" s="55">
        <v>0</v>
      </c>
      <c r="F29" s="202">
        <v>0</v>
      </c>
      <c r="G29" s="388"/>
      <c r="H29" s="388"/>
      <c r="I29" s="388"/>
      <c r="J29" s="388"/>
      <c r="K29" s="388"/>
      <c r="L29" s="388"/>
      <c r="M29" s="388"/>
      <c r="N29" s="388"/>
      <c r="O29" s="388"/>
      <c r="P29" s="388"/>
      <c r="Q29" s="388"/>
      <c r="R29" s="388"/>
      <c r="S29" s="388"/>
      <c r="T29" s="388"/>
      <c r="U29" s="388"/>
      <c r="V29" s="388"/>
      <c r="W29" s="388"/>
      <c r="X29" s="388"/>
      <c r="Y29" s="388"/>
      <c r="Z29" s="388"/>
      <c r="AA29" s="388"/>
      <c r="AB29" s="388"/>
    </row>
    <row r="30" spans="1:30" x14ac:dyDescent="0.25">
      <c r="B30" s="203" t="s">
        <v>7</v>
      </c>
      <c r="C30" s="55">
        <v>3</v>
      </c>
      <c r="D30" s="55">
        <v>0</v>
      </c>
      <c r="E30" s="55">
        <v>0</v>
      </c>
      <c r="F30" s="202">
        <v>0</v>
      </c>
      <c r="G30" s="388"/>
      <c r="H30" s="388"/>
      <c r="I30" s="388"/>
      <c r="J30" s="388"/>
      <c r="K30" s="388"/>
      <c r="L30" s="388"/>
      <c r="M30" s="388"/>
      <c r="N30" s="388"/>
      <c r="O30" s="388"/>
      <c r="P30" s="388"/>
      <c r="Q30" s="388"/>
      <c r="R30" s="388"/>
      <c r="S30" s="388"/>
      <c r="T30" s="388"/>
      <c r="U30" s="388"/>
      <c r="V30" s="388"/>
      <c r="W30" s="388"/>
      <c r="X30" s="388"/>
      <c r="Y30" s="388"/>
      <c r="Z30" s="388"/>
      <c r="AA30" s="388"/>
      <c r="AB30" s="388"/>
    </row>
    <row r="31" spans="1:30" x14ac:dyDescent="0.25">
      <c r="B31" s="220" t="s">
        <v>4</v>
      </c>
      <c r="C31" s="19">
        <v>4</v>
      </c>
      <c r="D31" s="55">
        <v>0</v>
      </c>
      <c r="E31" s="55">
        <v>0</v>
      </c>
      <c r="F31" s="202">
        <v>0</v>
      </c>
      <c r="G31" s="388"/>
      <c r="H31" s="388"/>
      <c r="I31" s="388"/>
      <c r="J31" s="388"/>
      <c r="K31" s="388"/>
      <c r="L31" s="388"/>
      <c r="M31" s="388"/>
      <c r="N31" s="388"/>
      <c r="O31" s="388"/>
      <c r="P31" s="388"/>
      <c r="Q31" s="388"/>
      <c r="R31" s="388"/>
      <c r="S31" s="388"/>
      <c r="T31" s="388"/>
      <c r="U31" s="388"/>
      <c r="V31" s="388"/>
      <c r="W31" s="388"/>
      <c r="X31" s="388"/>
      <c r="Y31" s="388"/>
      <c r="Z31" s="388"/>
      <c r="AA31" s="388"/>
      <c r="AB31" s="388"/>
    </row>
    <row r="32" spans="1:30" x14ac:dyDescent="0.25">
      <c r="B32" s="220" t="s">
        <v>5</v>
      </c>
      <c r="C32" s="19">
        <v>5</v>
      </c>
      <c r="D32" s="55">
        <v>0</v>
      </c>
      <c r="E32" s="55">
        <v>0</v>
      </c>
      <c r="F32" s="202">
        <v>0</v>
      </c>
      <c r="G32" s="388"/>
      <c r="H32" s="388"/>
      <c r="I32" s="388"/>
      <c r="J32" s="388"/>
      <c r="K32" s="388"/>
      <c r="L32" s="388"/>
      <c r="M32" s="388"/>
      <c r="N32" s="388"/>
      <c r="O32" s="388"/>
      <c r="P32" s="388"/>
      <c r="Q32" s="388"/>
      <c r="R32" s="388"/>
      <c r="S32" s="388"/>
      <c r="T32" s="388"/>
      <c r="U32" s="388"/>
      <c r="V32" s="388"/>
      <c r="W32" s="388"/>
      <c r="X32" s="388"/>
      <c r="Y32" s="388"/>
      <c r="Z32" s="388"/>
      <c r="AA32" s="388"/>
      <c r="AB32" s="388"/>
    </row>
    <row r="33" spans="2:28" x14ac:dyDescent="0.25">
      <c r="B33" s="203" t="s">
        <v>214</v>
      </c>
      <c r="C33" s="18">
        <v>6</v>
      </c>
      <c r="D33" s="55">
        <v>0</v>
      </c>
      <c r="E33" s="55">
        <v>0</v>
      </c>
      <c r="F33" s="202">
        <v>0</v>
      </c>
      <c r="G33" s="388"/>
      <c r="H33" s="388"/>
      <c r="I33" s="388"/>
      <c r="J33" s="388"/>
      <c r="K33" s="388"/>
      <c r="L33" s="388"/>
      <c r="M33" s="388"/>
      <c r="N33" s="388"/>
      <c r="O33" s="388"/>
      <c r="P33" s="388"/>
      <c r="Q33" s="388"/>
      <c r="R33" s="388"/>
      <c r="S33" s="388"/>
      <c r="T33" s="388"/>
      <c r="U33" s="388"/>
      <c r="V33" s="388"/>
      <c r="W33" s="388"/>
      <c r="X33" s="388"/>
      <c r="Y33" s="388"/>
      <c r="Z33" s="388"/>
      <c r="AA33" s="388"/>
      <c r="AB33" s="388"/>
    </row>
    <row r="34" spans="2:28" x14ac:dyDescent="0.25">
      <c r="B34" s="237" t="s">
        <v>6</v>
      </c>
      <c r="C34" s="108">
        <v>7</v>
      </c>
      <c r="D34" s="197">
        <f>D33</f>
        <v>0</v>
      </c>
      <c r="E34" s="197">
        <f>E33</f>
        <v>0</v>
      </c>
      <c r="F34" s="238">
        <f>F33</f>
        <v>0</v>
      </c>
      <c r="G34" s="388"/>
      <c r="H34" s="388"/>
      <c r="I34" s="388"/>
      <c r="J34" s="388"/>
      <c r="K34" s="388"/>
      <c r="L34" s="388"/>
      <c r="M34" s="388"/>
      <c r="N34" s="388"/>
      <c r="O34" s="388"/>
      <c r="P34" s="388"/>
      <c r="Q34" s="388"/>
      <c r="R34" s="388"/>
      <c r="S34" s="388"/>
      <c r="T34" s="388"/>
      <c r="U34" s="388"/>
      <c r="V34" s="388"/>
      <c r="W34" s="388"/>
      <c r="X34" s="388"/>
      <c r="Y34" s="388"/>
      <c r="Z34" s="388"/>
      <c r="AA34" s="388"/>
      <c r="AB34" s="388"/>
    </row>
    <row r="35" spans="2:28" x14ac:dyDescent="0.25">
      <c r="B35" s="239" t="s">
        <v>217</v>
      </c>
      <c r="C35" s="125">
        <v>8</v>
      </c>
      <c r="D35" s="200">
        <f>D33</f>
        <v>0</v>
      </c>
      <c r="E35" s="200">
        <f>E33</f>
        <v>0</v>
      </c>
      <c r="F35" s="240">
        <f>F33</f>
        <v>0</v>
      </c>
      <c r="G35" s="388"/>
      <c r="H35" s="388"/>
      <c r="I35" s="388"/>
      <c r="J35" s="388"/>
      <c r="K35" s="388"/>
      <c r="L35" s="388"/>
      <c r="M35" s="388"/>
      <c r="N35" s="388"/>
      <c r="O35" s="388"/>
      <c r="P35" s="388"/>
      <c r="Q35" s="388"/>
      <c r="R35" s="388"/>
      <c r="S35" s="388"/>
      <c r="T35" s="388"/>
      <c r="U35" s="388"/>
      <c r="V35" s="388"/>
      <c r="W35" s="388"/>
      <c r="X35" s="388"/>
      <c r="Y35" s="388"/>
      <c r="Z35" s="388"/>
      <c r="AA35" s="388"/>
      <c r="AB35" s="388"/>
    </row>
    <row r="36" spans="2:28" s="388" customFormat="1" x14ac:dyDescent="0.25"/>
    <row r="37" spans="2:28" x14ac:dyDescent="0.25">
      <c r="B37" s="241" t="s">
        <v>452</v>
      </c>
      <c r="C37" s="242"/>
      <c r="D37" s="242"/>
      <c r="E37" s="242"/>
      <c r="F37" s="242"/>
      <c r="G37" s="242"/>
      <c r="H37" s="242"/>
      <c r="I37" s="243" t="b">
        <v>1</v>
      </c>
      <c r="J37" s="388"/>
      <c r="K37" s="388"/>
      <c r="L37" s="388"/>
      <c r="M37" s="388"/>
      <c r="N37" s="388"/>
      <c r="O37" s="388"/>
      <c r="P37" s="388"/>
      <c r="Q37" s="388"/>
      <c r="R37" s="388"/>
      <c r="S37" s="388"/>
      <c r="T37" s="388"/>
      <c r="U37" s="388"/>
      <c r="V37" s="388"/>
      <c r="W37" s="388"/>
      <c r="X37" s="388"/>
      <c r="Y37" s="388"/>
      <c r="Z37" s="388"/>
      <c r="AA37" s="388"/>
      <c r="AB37" s="388"/>
    </row>
    <row r="38" spans="2:28" x14ac:dyDescent="0.25">
      <c r="B38" s="388"/>
      <c r="C38" s="388"/>
      <c r="D38" s="388"/>
      <c r="E38" s="388"/>
      <c r="F38" s="388"/>
      <c r="G38" s="388"/>
      <c r="H38" s="388"/>
      <c r="I38" s="388"/>
      <c r="J38" s="388"/>
      <c r="K38" s="388"/>
      <c r="L38" s="388"/>
      <c r="M38" s="388"/>
      <c r="N38" s="388"/>
      <c r="O38" s="388"/>
      <c r="P38" s="388"/>
      <c r="Q38" s="388"/>
      <c r="R38" s="388"/>
      <c r="S38" s="388"/>
      <c r="T38" s="388"/>
      <c r="U38" s="388"/>
      <c r="V38" s="388"/>
      <c r="W38" s="388"/>
      <c r="X38" s="388"/>
      <c r="Y38" s="388"/>
      <c r="Z38" s="388"/>
      <c r="AA38" s="388"/>
      <c r="AB38" s="388"/>
    </row>
    <row r="39" spans="2:28" x14ac:dyDescent="0.25">
      <c r="B39" s="388"/>
      <c r="C39" s="388"/>
      <c r="D39" s="388"/>
      <c r="E39" s="388"/>
      <c r="F39" s="388"/>
      <c r="G39" s="388"/>
      <c r="H39" s="388"/>
      <c r="I39" s="388"/>
      <c r="J39" s="388"/>
      <c r="K39" s="388"/>
      <c r="L39" s="388"/>
      <c r="M39" s="388"/>
      <c r="N39" s="388"/>
      <c r="O39" s="388"/>
      <c r="P39" s="388"/>
      <c r="Q39" s="388"/>
      <c r="R39" s="388"/>
      <c r="S39" s="388"/>
      <c r="T39" s="388"/>
      <c r="U39" s="388"/>
      <c r="V39" s="388"/>
      <c r="W39" s="388"/>
      <c r="X39" s="388"/>
      <c r="Y39" s="388"/>
      <c r="Z39" s="388"/>
      <c r="AA39" s="388"/>
      <c r="AB39" s="388"/>
    </row>
    <row r="40" spans="2:28" x14ac:dyDescent="0.25">
      <c r="B40" s="388"/>
      <c r="C40" s="388"/>
      <c r="D40" s="388"/>
      <c r="E40" s="388"/>
      <c r="F40" s="388"/>
      <c r="G40" s="388"/>
      <c r="H40" s="388"/>
      <c r="I40" s="388"/>
      <c r="J40" s="388"/>
      <c r="K40" s="388"/>
      <c r="L40" s="388"/>
      <c r="M40" s="388"/>
      <c r="N40" s="388"/>
      <c r="O40" s="388"/>
      <c r="P40" s="388"/>
      <c r="Q40" s="388"/>
      <c r="R40" s="388"/>
      <c r="S40" s="388"/>
    </row>
    <row r="41" spans="2:28" x14ac:dyDescent="0.25">
      <c r="B41" s="388"/>
      <c r="C41" s="388"/>
      <c r="D41" s="388"/>
      <c r="E41" s="388"/>
      <c r="F41" s="388"/>
      <c r="G41" s="388"/>
      <c r="H41" s="388"/>
      <c r="I41" s="388"/>
      <c r="J41" s="388"/>
      <c r="K41" s="388"/>
      <c r="L41" s="388"/>
      <c r="M41" s="388"/>
      <c r="N41" s="388"/>
      <c r="O41" s="388"/>
      <c r="P41" s="388"/>
      <c r="Q41" s="388"/>
      <c r="R41" s="388"/>
      <c r="S41" s="388"/>
    </row>
    <row r="42" spans="2:28" x14ac:dyDescent="0.25">
      <c r="B42" s="388"/>
      <c r="C42" s="388"/>
      <c r="D42" s="388"/>
      <c r="E42" s="388"/>
      <c r="F42" s="388"/>
      <c r="G42" s="388"/>
      <c r="H42" s="388"/>
      <c r="I42" s="388"/>
      <c r="J42" s="388"/>
      <c r="K42" s="388"/>
      <c r="L42" s="388"/>
      <c r="M42" s="388"/>
      <c r="N42" s="388"/>
      <c r="O42" s="388"/>
      <c r="P42" s="388"/>
      <c r="Q42" s="388"/>
      <c r="R42" s="388"/>
      <c r="S42" s="388"/>
    </row>
    <row r="43" spans="2:28" x14ac:dyDescent="0.25">
      <c r="B43" s="388"/>
      <c r="C43" s="388"/>
      <c r="D43" s="388"/>
      <c r="E43" s="388"/>
      <c r="F43" s="388"/>
      <c r="G43" s="388"/>
      <c r="H43" s="388"/>
      <c r="I43" s="388"/>
      <c r="J43" s="388"/>
      <c r="K43" s="388"/>
      <c r="L43" s="388"/>
      <c r="M43" s="388"/>
      <c r="N43" s="388"/>
      <c r="O43" s="388"/>
      <c r="P43" s="388"/>
      <c r="Q43" s="388"/>
      <c r="R43" s="388"/>
      <c r="S43" s="388"/>
    </row>
    <row r="44" spans="2:28" x14ac:dyDescent="0.25">
      <c r="B44" s="388"/>
      <c r="C44" s="388"/>
      <c r="D44" s="388"/>
      <c r="E44" s="388"/>
      <c r="F44" s="388"/>
      <c r="G44" s="388"/>
      <c r="H44" s="388"/>
      <c r="I44" s="388"/>
      <c r="J44" s="388"/>
      <c r="K44" s="388"/>
      <c r="L44" s="388"/>
      <c r="M44" s="388"/>
      <c r="N44" s="388"/>
      <c r="O44" s="388"/>
      <c r="P44" s="388"/>
      <c r="Q44" s="388"/>
      <c r="R44" s="388"/>
      <c r="S44" s="388"/>
    </row>
    <row r="45" spans="2:28" x14ac:dyDescent="0.25">
      <c r="B45" s="388"/>
      <c r="C45" s="388"/>
      <c r="D45" s="388"/>
      <c r="E45" s="388"/>
      <c r="F45" s="388"/>
      <c r="G45" s="388"/>
      <c r="H45" s="388"/>
      <c r="I45" s="388"/>
      <c r="J45" s="388"/>
      <c r="K45" s="388"/>
      <c r="L45" s="388"/>
      <c r="M45" s="388"/>
      <c r="N45" s="388"/>
      <c r="O45" s="388"/>
      <c r="P45" s="388"/>
      <c r="Q45" s="388"/>
      <c r="R45" s="388"/>
      <c r="S45" s="388"/>
    </row>
    <row r="46" spans="2:28" x14ac:dyDescent="0.25">
      <c r="B46" s="388"/>
      <c r="C46" s="388"/>
      <c r="D46" s="388"/>
      <c r="E46" s="388"/>
      <c r="F46" s="388"/>
      <c r="G46" s="388"/>
      <c r="H46" s="388"/>
      <c r="I46" s="388"/>
      <c r="J46" s="388"/>
      <c r="K46" s="388"/>
      <c r="L46" s="388"/>
      <c r="M46" s="388"/>
      <c r="N46" s="388"/>
      <c r="O46" s="388"/>
      <c r="P46" s="388"/>
      <c r="Q46" s="388"/>
      <c r="R46" s="388"/>
      <c r="S46" s="388"/>
    </row>
    <row r="47" spans="2:28" x14ac:dyDescent="0.25">
      <c r="B47" s="388"/>
      <c r="C47" s="388"/>
      <c r="D47" s="388"/>
      <c r="E47" s="388"/>
      <c r="F47" s="388"/>
      <c r="G47" s="388"/>
      <c r="H47" s="388"/>
      <c r="I47" s="388"/>
      <c r="J47" s="388"/>
      <c r="K47" s="388"/>
      <c r="L47" s="388"/>
      <c r="M47" s="388"/>
      <c r="N47" s="388"/>
      <c r="O47" s="388"/>
      <c r="P47" s="388"/>
      <c r="Q47" s="388"/>
      <c r="R47" s="388"/>
      <c r="S47" s="388"/>
    </row>
    <row r="48" spans="2:28" x14ac:dyDescent="0.25">
      <c r="B48" s="388"/>
      <c r="C48" s="388"/>
      <c r="D48" s="388"/>
      <c r="E48" s="388"/>
      <c r="F48" s="388"/>
      <c r="G48" s="388"/>
      <c r="H48" s="388"/>
      <c r="I48" s="388"/>
      <c r="J48" s="388"/>
      <c r="K48" s="388"/>
      <c r="L48" s="388"/>
      <c r="M48" s="388"/>
      <c r="N48" s="388"/>
      <c r="O48" s="388"/>
      <c r="P48" s="388"/>
      <c r="Q48" s="388"/>
      <c r="R48" s="388"/>
      <c r="S48" s="388"/>
    </row>
    <row r="49" spans="2:19" x14ac:dyDescent="0.25">
      <c r="B49" s="388"/>
      <c r="C49" s="388"/>
      <c r="D49" s="388"/>
      <c r="E49" s="388"/>
      <c r="F49" s="388"/>
      <c r="G49" s="388"/>
      <c r="H49" s="388"/>
      <c r="I49" s="388"/>
      <c r="J49" s="388"/>
      <c r="K49" s="388"/>
      <c r="L49" s="388"/>
      <c r="M49" s="388"/>
      <c r="N49" s="388"/>
      <c r="O49" s="388"/>
      <c r="P49" s="388"/>
      <c r="Q49" s="388"/>
      <c r="R49" s="388"/>
      <c r="S49" s="388"/>
    </row>
    <row r="50" spans="2:19" x14ac:dyDescent="0.25">
      <c r="B50" s="388"/>
      <c r="C50" s="388"/>
      <c r="D50" s="388"/>
      <c r="E50" s="388"/>
      <c r="F50" s="388"/>
      <c r="G50" s="388"/>
      <c r="H50" s="388"/>
      <c r="I50" s="388"/>
      <c r="J50" s="388"/>
      <c r="K50" s="388"/>
      <c r="L50" s="388"/>
      <c r="M50" s="388"/>
      <c r="N50" s="388"/>
      <c r="O50" s="388"/>
      <c r="P50" s="388"/>
      <c r="Q50" s="388"/>
      <c r="R50" s="388"/>
      <c r="S50" s="388"/>
    </row>
    <row r="51" spans="2:19" x14ac:dyDescent="0.25">
      <c r="B51" s="388"/>
      <c r="C51" s="388"/>
      <c r="D51" s="388"/>
      <c r="E51" s="388"/>
      <c r="F51" s="388"/>
      <c r="G51" s="388"/>
      <c r="H51" s="388"/>
      <c r="I51" s="388"/>
      <c r="J51" s="388"/>
      <c r="K51" s="388"/>
      <c r="L51" s="388"/>
      <c r="M51" s="388"/>
      <c r="N51" s="388"/>
      <c r="O51" s="388"/>
      <c r="P51" s="388"/>
      <c r="Q51" s="388"/>
      <c r="R51" s="388"/>
      <c r="S51" s="388"/>
    </row>
    <row r="52" spans="2:19" x14ac:dyDescent="0.25">
      <c r="B52" s="388"/>
      <c r="C52" s="388"/>
      <c r="D52" s="388"/>
      <c r="E52" s="388"/>
      <c r="F52" s="388"/>
      <c r="G52" s="388"/>
      <c r="H52" s="388"/>
      <c r="I52" s="388"/>
      <c r="J52" s="388"/>
      <c r="K52" s="388"/>
      <c r="L52" s="388"/>
      <c r="M52" s="388"/>
      <c r="N52" s="388"/>
      <c r="O52" s="388"/>
      <c r="P52" s="388"/>
      <c r="Q52" s="388"/>
      <c r="R52" s="388"/>
      <c r="S52" s="388"/>
    </row>
    <row r="53" spans="2:19" x14ac:dyDescent="0.25">
      <c r="B53" s="388"/>
      <c r="C53" s="388"/>
      <c r="D53" s="388"/>
      <c r="E53" s="388"/>
      <c r="F53" s="388"/>
      <c r="G53" s="388"/>
      <c r="H53" s="388"/>
      <c r="I53" s="388"/>
      <c r="J53" s="388"/>
      <c r="K53" s="388"/>
      <c r="L53" s="388"/>
      <c r="M53" s="388"/>
      <c r="N53" s="388"/>
      <c r="O53" s="388"/>
      <c r="P53" s="388"/>
      <c r="Q53" s="388"/>
      <c r="R53" s="388"/>
      <c r="S53" s="388"/>
    </row>
    <row r="54" spans="2:19" x14ac:dyDescent="0.25">
      <c r="B54" s="388"/>
      <c r="C54" s="388"/>
      <c r="D54" s="388"/>
      <c r="E54" s="388"/>
      <c r="F54" s="388"/>
      <c r="G54" s="388"/>
      <c r="H54" s="388"/>
      <c r="I54" s="388"/>
      <c r="J54" s="388"/>
      <c r="K54" s="388"/>
      <c r="L54" s="388"/>
      <c r="M54" s="388"/>
      <c r="N54" s="388"/>
      <c r="O54" s="388"/>
      <c r="P54" s="388"/>
      <c r="Q54" s="388"/>
      <c r="R54" s="388"/>
      <c r="S54" s="388"/>
    </row>
    <row r="55" spans="2:19" x14ac:dyDescent="0.25">
      <c r="B55" s="388"/>
      <c r="C55" s="388"/>
      <c r="D55" s="388"/>
      <c r="E55" s="388"/>
      <c r="F55" s="388"/>
      <c r="G55" s="388"/>
      <c r="H55" s="388"/>
      <c r="I55" s="388"/>
      <c r="J55" s="388"/>
      <c r="K55" s="388"/>
      <c r="L55" s="388"/>
      <c r="M55" s="388"/>
      <c r="N55" s="388"/>
      <c r="O55" s="388"/>
      <c r="P55" s="388"/>
      <c r="Q55" s="388"/>
      <c r="R55" s="388"/>
      <c r="S55" s="388"/>
    </row>
    <row r="56" spans="2:19" x14ac:dyDescent="0.25">
      <c r="B56" s="388"/>
      <c r="C56" s="388"/>
      <c r="D56" s="388"/>
      <c r="E56" s="388"/>
      <c r="F56" s="388"/>
      <c r="G56" s="388"/>
      <c r="H56" s="388"/>
      <c r="I56" s="388"/>
      <c r="J56" s="388"/>
      <c r="K56" s="388"/>
      <c r="L56" s="388"/>
      <c r="M56" s="388"/>
      <c r="N56" s="388"/>
      <c r="O56" s="388"/>
      <c r="P56" s="388"/>
      <c r="Q56" s="388"/>
      <c r="R56" s="388"/>
      <c r="S56" s="388"/>
    </row>
    <row r="57" spans="2:19" x14ac:dyDescent="0.25">
      <c r="B57" s="388"/>
      <c r="C57" s="388"/>
      <c r="D57" s="388"/>
      <c r="E57" s="388"/>
      <c r="F57" s="388"/>
      <c r="G57" s="388"/>
      <c r="H57" s="388"/>
      <c r="I57" s="388"/>
      <c r="J57" s="388"/>
      <c r="K57" s="388"/>
      <c r="L57" s="388"/>
      <c r="M57" s="388"/>
      <c r="N57" s="388"/>
      <c r="O57" s="388"/>
      <c r="P57" s="388"/>
      <c r="Q57" s="388"/>
      <c r="R57" s="388"/>
      <c r="S57" s="388"/>
    </row>
    <row r="58" spans="2:19" x14ac:dyDescent="0.25">
      <c r="B58" s="388"/>
      <c r="C58" s="388"/>
      <c r="D58" s="388"/>
      <c r="E58" s="388"/>
      <c r="F58" s="388"/>
      <c r="G58" s="388"/>
      <c r="H58" s="388"/>
      <c r="I58" s="388"/>
      <c r="J58" s="388"/>
      <c r="K58" s="388"/>
      <c r="L58" s="388"/>
      <c r="M58" s="388"/>
      <c r="N58" s="388"/>
      <c r="O58" s="388"/>
      <c r="P58" s="388"/>
      <c r="Q58" s="388"/>
      <c r="R58" s="388"/>
      <c r="S58" s="388"/>
    </row>
    <row r="59" spans="2:19" x14ac:dyDescent="0.25">
      <c r="B59" s="388"/>
      <c r="C59" s="388"/>
      <c r="D59" s="388"/>
      <c r="E59" s="388"/>
      <c r="F59" s="388"/>
      <c r="G59" s="388"/>
      <c r="H59" s="388"/>
      <c r="I59" s="388"/>
      <c r="J59" s="388"/>
      <c r="K59" s="388"/>
      <c r="L59" s="388"/>
      <c r="M59" s="388"/>
      <c r="N59" s="388"/>
      <c r="O59" s="388"/>
      <c r="P59" s="388"/>
      <c r="Q59" s="388"/>
      <c r="R59" s="388"/>
      <c r="S59" s="388"/>
    </row>
    <row r="60" spans="2:19" x14ac:dyDescent="0.25">
      <c r="B60" s="388"/>
      <c r="C60" s="388"/>
      <c r="D60" s="388"/>
      <c r="E60" s="388"/>
      <c r="F60" s="388"/>
      <c r="G60" s="388"/>
      <c r="H60" s="388"/>
      <c r="I60" s="388"/>
      <c r="J60" s="388"/>
      <c r="K60" s="388"/>
      <c r="L60" s="388"/>
      <c r="M60" s="388"/>
      <c r="N60" s="388"/>
      <c r="O60" s="388"/>
      <c r="P60" s="388"/>
      <c r="Q60" s="388"/>
      <c r="R60" s="388"/>
      <c r="S60" s="388"/>
    </row>
    <row r="61" spans="2:19" x14ac:dyDescent="0.25">
      <c r="B61" s="388"/>
      <c r="C61" s="388"/>
      <c r="D61" s="388"/>
      <c r="E61" s="388"/>
      <c r="F61" s="388"/>
      <c r="G61" s="388"/>
      <c r="H61" s="388"/>
      <c r="I61" s="388"/>
      <c r="J61" s="388"/>
      <c r="K61" s="388"/>
      <c r="L61" s="388"/>
      <c r="M61" s="388"/>
      <c r="N61" s="388"/>
      <c r="O61" s="388"/>
      <c r="P61" s="388"/>
      <c r="Q61" s="388"/>
      <c r="R61" s="388"/>
      <c r="S61" s="388"/>
    </row>
    <row r="62" spans="2:19" x14ac:dyDescent="0.25">
      <c r="B62" s="388"/>
      <c r="C62" s="388"/>
      <c r="D62" s="388"/>
      <c r="E62" s="388"/>
      <c r="F62" s="388"/>
      <c r="G62" s="388"/>
      <c r="H62" s="388"/>
      <c r="I62" s="388"/>
      <c r="J62" s="388"/>
      <c r="K62" s="388"/>
      <c r="L62" s="388"/>
      <c r="M62" s="388"/>
      <c r="N62" s="388"/>
      <c r="O62" s="388"/>
      <c r="P62" s="388"/>
      <c r="Q62" s="388"/>
      <c r="R62" s="388"/>
      <c r="S62" s="388"/>
    </row>
    <row r="63" spans="2:19" x14ac:dyDescent="0.25">
      <c r="B63" s="388"/>
      <c r="C63" s="388"/>
      <c r="D63" s="388"/>
      <c r="E63" s="388"/>
      <c r="F63" s="388"/>
      <c r="G63" s="388"/>
      <c r="H63" s="388"/>
      <c r="I63" s="388"/>
      <c r="J63" s="388"/>
      <c r="K63" s="388"/>
      <c r="L63" s="388"/>
      <c r="M63" s="388"/>
      <c r="N63" s="388"/>
      <c r="O63" s="388"/>
      <c r="P63" s="388"/>
      <c r="Q63" s="388"/>
      <c r="R63" s="388"/>
      <c r="S63" s="388"/>
    </row>
    <row r="64" spans="2:19" x14ac:dyDescent="0.25">
      <c r="B64" s="388"/>
      <c r="C64" s="388"/>
      <c r="D64" s="388"/>
      <c r="E64" s="388"/>
      <c r="F64" s="388"/>
      <c r="G64" s="388"/>
      <c r="H64" s="388"/>
      <c r="I64" s="388"/>
      <c r="J64" s="388"/>
      <c r="K64" s="388"/>
      <c r="L64" s="388"/>
      <c r="M64" s="388"/>
      <c r="N64" s="388"/>
      <c r="O64" s="388"/>
      <c r="P64" s="388"/>
      <c r="Q64" s="388"/>
      <c r="R64" s="388"/>
      <c r="S64" s="388"/>
    </row>
    <row r="65" spans="2:19" x14ac:dyDescent="0.25">
      <c r="B65" s="388"/>
      <c r="C65" s="388"/>
      <c r="D65" s="388"/>
      <c r="E65" s="388"/>
      <c r="F65" s="388"/>
      <c r="G65" s="388"/>
      <c r="H65" s="388"/>
      <c r="I65" s="388"/>
      <c r="J65" s="388"/>
      <c r="K65" s="388"/>
      <c r="L65" s="388"/>
      <c r="M65" s="388"/>
      <c r="N65" s="388"/>
      <c r="O65" s="388"/>
      <c r="P65" s="388"/>
      <c r="Q65" s="388"/>
      <c r="R65" s="388"/>
      <c r="S65" s="388"/>
    </row>
    <row r="66" spans="2:19" x14ac:dyDescent="0.25">
      <c r="B66" s="388"/>
      <c r="C66" s="388"/>
      <c r="D66" s="388"/>
      <c r="E66" s="388"/>
      <c r="F66" s="388"/>
      <c r="G66" s="388"/>
      <c r="H66" s="388"/>
      <c r="I66" s="388"/>
      <c r="J66" s="388"/>
      <c r="K66" s="388"/>
      <c r="L66" s="388"/>
      <c r="M66" s="388"/>
      <c r="N66" s="388"/>
      <c r="O66" s="388"/>
      <c r="P66" s="388"/>
      <c r="Q66" s="388"/>
      <c r="R66" s="388"/>
      <c r="S66" s="388"/>
    </row>
    <row r="67" spans="2:19" x14ac:dyDescent="0.25">
      <c r="B67" s="388"/>
      <c r="C67" s="388"/>
      <c r="D67" s="388"/>
      <c r="E67" s="388"/>
      <c r="F67" s="388"/>
      <c r="G67" s="388"/>
      <c r="H67" s="388"/>
      <c r="I67" s="388"/>
      <c r="J67" s="388"/>
      <c r="K67" s="388"/>
      <c r="L67" s="388"/>
      <c r="M67" s="388"/>
      <c r="N67" s="388"/>
      <c r="O67" s="388"/>
      <c r="P67" s="388"/>
      <c r="Q67" s="388"/>
      <c r="R67" s="388"/>
      <c r="S67" s="388"/>
    </row>
    <row r="68" spans="2:19" x14ac:dyDescent="0.25">
      <c r="B68" s="388"/>
      <c r="C68" s="388"/>
      <c r="D68" s="388"/>
      <c r="E68" s="388"/>
      <c r="F68" s="388"/>
      <c r="G68" s="388"/>
      <c r="H68" s="388"/>
      <c r="I68" s="388"/>
      <c r="J68" s="388"/>
      <c r="K68" s="388"/>
      <c r="L68" s="388"/>
      <c r="M68" s="388"/>
      <c r="N68" s="388"/>
      <c r="O68" s="388"/>
      <c r="P68" s="388"/>
      <c r="Q68" s="388"/>
      <c r="R68" s="388"/>
      <c r="S68" s="388"/>
    </row>
    <row r="69" spans="2:19" x14ac:dyDescent="0.25">
      <c r="B69" s="388"/>
      <c r="C69" s="388"/>
      <c r="D69" s="388"/>
      <c r="E69" s="388"/>
      <c r="F69" s="388"/>
      <c r="G69" s="388"/>
      <c r="H69" s="388"/>
      <c r="I69" s="388"/>
      <c r="J69" s="388"/>
      <c r="K69" s="388"/>
      <c r="L69" s="388"/>
      <c r="M69" s="388"/>
      <c r="N69" s="388"/>
      <c r="O69" s="388"/>
      <c r="P69" s="388"/>
      <c r="Q69" s="388"/>
      <c r="R69" s="388"/>
      <c r="S69" s="388"/>
    </row>
    <row r="70" spans="2:19" x14ac:dyDescent="0.25">
      <c r="B70" s="388"/>
      <c r="C70" s="388"/>
      <c r="D70" s="388"/>
      <c r="E70" s="388"/>
      <c r="F70" s="388"/>
      <c r="G70" s="388"/>
      <c r="H70" s="388"/>
      <c r="I70" s="388"/>
      <c r="J70" s="388"/>
      <c r="K70" s="388"/>
      <c r="L70" s="388"/>
      <c r="M70" s="388"/>
      <c r="N70" s="388"/>
      <c r="O70" s="388"/>
      <c r="P70" s="388"/>
      <c r="Q70" s="388"/>
      <c r="R70" s="388"/>
      <c r="S70" s="388"/>
    </row>
    <row r="71" spans="2:19" x14ac:dyDescent="0.25">
      <c r="B71" s="388"/>
      <c r="C71" s="388"/>
      <c r="D71" s="388"/>
      <c r="E71" s="388"/>
      <c r="F71" s="388"/>
      <c r="G71" s="388"/>
      <c r="H71" s="388"/>
      <c r="I71" s="388"/>
      <c r="J71" s="388"/>
      <c r="K71" s="388"/>
      <c r="L71" s="388"/>
      <c r="M71" s="388"/>
      <c r="N71" s="388"/>
      <c r="O71" s="388"/>
      <c r="P71" s="388"/>
      <c r="Q71" s="388"/>
      <c r="R71" s="388"/>
      <c r="S71" s="388"/>
    </row>
    <row r="72" spans="2:19" x14ac:dyDescent="0.25">
      <c r="B72" s="388"/>
      <c r="C72" s="388"/>
      <c r="D72" s="388"/>
      <c r="E72" s="388"/>
      <c r="F72" s="388"/>
      <c r="G72" s="388"/>
      <c r="H72" s="388"/>
      <c r="I72" s="388"/>
      <c r="J72" s="388"/>
      <c r="K72" s="388"/>
      <c r="L72" s="388"/>
      <c r="M72" s="388"/>
      <c r="N72" s="388"/>
      <c r="O72" s="388"/>
      <c r="P72" s="388"/>
      <c r="Q72" s="388"/>
      <c r="R72" s="388"/>
      <c r="S72" s="388"/>
    </row>
    <row r="73" spans="2:19" x14ac:dyDescent="0.25">
      <c r="B73" s="388"/>
      <c r="C73" s="388"/>
      <c r="D73" s="388"/>
      <c r="E73" s="388"/>
      <c r="F73" s="388"/>
      <c r="G73" s="388"/>
      <c r="H73" s="388"/>
      <c r="I73" s="388"/>
      <c r="J73" s="388"/>
      <c r="K73" s="388"/>
      <c r="L73" s="388"/>
      <c r="M73" s="388"/>
      <c r="N73" s="388"/>
      <c r="O73" s="388"/>
      <c r="P73" s="388"/>
      <c r="Q73" s="388"/>
      <c r="R73" s="388"/>
      <c r="S73" s="388"/>
    </row>
    <row r="74" spans="2:19" x14ac:dyDescent="0.25">
      <c r="B74" s="388"/>
      <c r="C74" s="388"/>
      <c r="D74" s="388"/>
      <c r="E74" s="388"/>
      <c r="F74" s="388"/>
      <c r="G74" s="388"/>
      <c r="H74" s="388"/>
      <c r="I74" s="388"/>
      <c r="J74" s="388"/>
      <c r="K74" s="388"/>
      <c r="L74" s="388"/>
      <c r="M74" s="388"/>
      <c r="N74" s="388"/>
      <c r="O74" s="388"/>
      <c r="P74" s="388"/>
      <c r="Q74" s="388"/>
      <c r="R74" s="388"/>
      <c r="S74" s="388"/>
    </row>
    <row r="75" spans="2:19" x14ac:dyDescent="0.25">
      <c r="B75" s="388"/>
      <c r="C75" s="388"/>
      <c r="D75" s="388"/>
      <c r="E75" s="388"/>
      <c r="F75" s="388"/>
      <c r="G75" s="388"/>
      <c r="H75" s="388"/>
      <c r="I75" s="388"/>
      <c r="J75" s="388"/>
      <c r="K75" s="388"/>
      <c r="L75" s="388"/>
      <c r="M75" s="388"/>
      <c r="N75" s="388"/>
      <c r="O75" s="388"/>
      <c r="P75" s="388"/>
      <c r="Q75" s="388"/>
      <c r="R75" s="388"/>
      <c r="S75" s="388"/>
    </row>
    <row r="76" spans="2:19" x14ac:dyDescent="0.25">
      <c r="B76" s="388"/>
      <c r="C76" s="388"/>
      <c r="D76" s="388"/>
      <c r="E76" s="388"/>
      <c r="F76" s="388"/>
      <c r="G76" s="388"/>
      <c r="H76" s="388"/>
      <c r="I76" s="388"/>
      <c r="J76" s="388"/>
      <c r="K76" s="388"/>
      <c r="L76" s="388"/>
      <c r="M76" s="388"/>
      <c r="N76" s="388"/>
      <c r="O76" s="388"/>
      <c r="P76" s="388"/>
      <c r="Q76" s="388"/>
      <c r="R76" s="388"/>
      <c r="S76" s="388"/>
    </row>
    <row r="77" spans="2:19" x14ac:dyDescent="0.25">
      <c r="B77" s="388"/>
      <c r="C77" s="388"/>
      <c r="D77" s="388"/>
      <c r="E77" s="388"/>
      <c r="F77" s="388"/>
      <c r="G77" s="388"/>
      <c r="H77" s="388"/>
      <c r="I77" s="388"/>
      <c r="J77" s="388"/>
      <c r="K77" s="388"/>
      <c r="L77" s="388"/>
      <c r="M77" s="388"/>
      <c r="N77" s="388"/>
      <c r="O77" s="388"/>
      <c r="P77" s="388"/>
      <c r="Q77" s="388"/>
      <c r="R77" s="388"/>
      <c r="S77" s="388"/>
    </row>
    <row r="78" spans="2:19" x14ac:dyDescent="0.25">
      <c r="B78" s="388"/>
      <c r="C78" s="388"/>
      <c r="D78" s="388"/>
      <c r="E78" s="388"/>
      <c r="F78" s="388"/>
      <c r="G78" s="388"/>
      <c r="H78" s="388"/>
      <c r="I78" s="388"/>
      <c r="J78" s="388"/>
      <c r="K78" s="388"/>
      <c r="L78" s="388"/>
      <c r="M78" s="388"/>
      <c r="N78" s="388"/>
      <c r="O78" s="388"/>
      <c r="P78" s="388"/>
      <c r="Q78" s="388"/>
      <c r="R78" s="388"/>
      <c r="S78" s="388"/>
    </row>
    <row r="79" spans="2:19" x14ac:dyDescent="0.25">
      <c r="B79" s="388"/>
      <c r="C79" s="388"/>
      <c r="D79" s="388"/>
      <c r="E79" s="388"/>
      <c r="F79" s="388"/>
      <c r="G79" s="388"/>
      <c r="H79" s="388"/>
      <c r="I79" s="388"/>
      <c r="J79" s="388"/>
      <c r="K79" s="388"/>
      <c r="L79" s="388"/>
      <c r="M79" s="388"/>
      <c r="N79" s="388"/>
      <c r="O79" s="388"/>
      <c r="P79" s="388"/>
      <c r="Q79" s="388"/>
      <c r="R79" s="388"/>
      <c r="S79" s="388"/>
    </row>
    <row r="80" spans="2:19" x14ac:dyDescent="0.25">
      <c r="B80" s="388"/>
      <c r="C80" s="388"/>
      <c r="D80" s="388"/>
      <c r="E80" s="388"/>
      <c r="F80" s="388"/>
      <c r="G80" s="388"/>
      <c r="H80" s="388"/>
      <c r="I80" s="388"/>
      <c r="J80" s="388"/>
      <c r="K80" s="388"/>
      <c r="L80" s="388"/>
      <c r="M80" s="388"/>
      <c r="N80" s="388"/>
      <c r="O80" s="388"/>
      <c r="P80" s="388"/>
      <c r="Q80" s="388"/>
      <c r="R80" s="388"/>
      <c r="S80" s="388"/>
    </row>
    <row r="81" spans="2:19" x14ac:dyDescent="0.25">
      <c r="B81" s="388"/>
      <c r="C81" s="388"/>
      <c r="D81" s="388"/>
      <c r="E81" s="388"/>
      <c r="F81" s="388"/>
      <c r="G81" s="388"/>
      <c r="H81" s="388"/>
      <c r="I81" s="388"/>
      <c r="J81" s="388"/>
      <c r="K81" s="388"/>
      <c r="L81" s="388"/>
      <c r="M81" s="388"/>
      <c r="N81" s="388"/>
      <c r="O81" s="388"/>
      <c r="P81" s="388"/>
      <c r="Q81" s="388"/>
      <c r="R81" s="388"/>
      <c r="S81" s="388"/>
    </row>
    <row r="82" spans="2:19" x14ac:dyDescent="0.25">
      <c r="B82" s="388"/>
      <c r="C82" s="388"/>
      <c r="D82" s="388"/>
      <c r="E82" s="388"/>
      <c r="F82" s="388"/>
      <c r="G82" s="388"/>
      <c r="H82" s="388"/>
      <c r="I82" s="388"/>
      <c r="J82" s="388"/>
      <c r="K82" s="388"/>
      <c r="L82" s="388"/>
      <c r="M82" s="388"/>
      <c r="N82" s="388"/>
      <c r="O82" s="388"/>
      <c r="P82" s="388"/>
      <c r="Q82" s="388"/>
      <c r="R82" s="388"/>
      <c r="S82" s="388"/>
    </row>
    <row r="83" spans="2:19" x14ac:dyDescent="0.25">
      <c r="B83" s="388"/>
      <c r="C83" s="388"/>
      <c r="D83" s="388"/>
      <c r="E83" s="388"/>
      <c r="F83" s="388"/>
      <c r="G83" s="388"/>
      <c r="H83" s="388"/>
      <c r="I83" s="388"/>
      <c r="J83" s="388"/>
      <c r="K83" s="388"/>
      <c r="L83" s="388"/>
      <c r="M83" s="388"/>
      <c r="N83" s="388"/>
      <c r="O83" s="388"/>
      <c r="P83" s="388"/>
      <c r="Q83" s="388"/>
      <c r="R83" s="388"/>
      <c r="S83" s="388"/>
    </row>
    <row r="84" spans="2:19" x14ac:dyDescent="0.25">
      <c r="B84" s="388"/>
      <c r="C84" s="388"/>
      <c r="D84" s="388"/>
      <c r="E84" s="388"/>
      <c r="F84" s="388"/>
      <c r="G84" s="388"/>
      <c r="H84" s="388"/>
      <c r="I84" s="388"/>
      <c r="J84" s="388"/>
      <c r="K84" s="388"/>
      <c r="L84" s="388"/>
      <c r="M84" s="388"/>
      <c r="N84" s="388"/>
      <c r="O84" s="388"/>
      <c r="P84" s="388"/>
      <c r="Q84" s="388"/>
      <c r="R84" s="388"/>
      <c r="S84" s="388"/>
    </row>
    <row r="85" spans="2:19" x14ac:dyDescent="0.25">
      <c r="B85" s="388"/>
      <c r="C85" s="388"/>
      <c r="D85" s="388"/>
      <c r="E85" s="388"/>
      <c r="F85" s="388"/>
      <c r="G85" s="388"/>
      <c r="H85" s="388"/>
      <c r="I85" s="388"/>
      <c r="J85" s="388"/>
      <c r="K85" s="388"/>
      <c r="L85" s="388"/>
      <c r="M85" s="388"/>
      <c r="N85" s="388"/>
      <c r="O85" s="388"/>
      <c r="P85" s="388"/>
      <c r="Q85" s="388"/>
      <c r="R85" s="388"/>
      <c r="S85" s="388"/>
    </row>
    <row r="86" spans="2:19" x14ac:dyDescent="0.25">
      <c r="B86" s="388"/>
      <c r="C86" s="388"/>
      <c r="D86" s="388"/>
      <c r="E86" s="388"/>
      <c r="F86" s="388"/>
      <c r="G86" s="388"/>
      <c r="H86" s="388"/>
      <c r="I86" s="388"/>
      <c r="J86" s="388"/>
      <c r="K86" s="388"/>
      <c r="L86" s="388"/>
      <c r="M86" s="388"/>
      <c r="N86" s="388"/>
      <c r="O86" s="388"/>
      <c r="P86" s="388"/>
      <c r="Q86" s="388"/>
      <c r="R86" s="388"/>
      <c r="S86" s="388"/>
    </row>
    <row r="87" spans="2:19" x14ac:dyDescent="0.25">
      <c r="B87" s="388"/>
      <c r="C87" s="388"/>
      <c r="D87" s="388"/>
      <c r="E87" s="388"/>
      <c r="F87" s="388"/>
      <c r="G87" s="388"/>
      <c r="H87" s="388"/>
      <c r="I87" s="388"/>
      <c r="J87" s="388"/>
      <c r="K87" s="388"/>
      <c r="L87" s="388"/>
      <c r="M87" s="388"/>
      <c r="N87" s="388"/>
      <c r="O87" s="388"/>
      <c r="P87" s="388"/>
      <c r="Q87" s="388"/>
      <c r="R87" s="388"/>
      <c r="S87" s="388"/>
    </row>
    <row r="88" spans="2:19" x14ac:dyDescent="0.25">
      <c r="B88" s="388"/>
      <c r="C88" s="388"/>
      <c r="D88" s="388"/>
      <c r="E88" s="388"/>
      <c r="F88" s="388"/>
      <c r="G88" s="388"/>
      <c r="H88" s="388"/>
      <c r="I88" s="388"/>
      <c r="J88" s="388"/>
      <c r="K88" s="388"/>
      <c r="L88" s="388"/>
      <c r="M88" s="388"/>
      <c r="N88" s="388"/>
      <c r="O88" s="388"/>
      <c r="P88" s="388"/>
      <c r="Q88" s="388"/>
      <c r="R88" s="388"/>
      <c r="S88" s="388"/>
    </row>
    <row r="89" spans="2:19" x14ac:dyDescent="0.25">
      <c r="B89" s="388"/>
      <c r="C89" s="388"/>
      <c r="D89" s="388"/>
      <c r="E89" s="388"/>
      <c r="F89" s="388"/>
      <c r="G89" s="388"/>
      <c r="H89" s="388"/>
      <c r="I89" s="388"/>
      <c r="J89" s="388"/>
      <c r="K89" s="388"/>
      <c r="L89" s="388"/>
      <c r="M89" s="388"/>
      <c r="N89" s="388"/>
      <c r="O89" s="388"/>
      <c r="P89" s="388"/>
      <c r="Q89" s="388"/>
      <c r="R89" s="388"/>
      <c r="S89" s="388"/>
    </row>
    <row r="90" spans="2:19" x14ac:dyDescent="0.25">
      <c r="B90" s="388"/>
      <c r="C90" s="388"/>
      <c r="D90" s="388"/>
      <c r="E90" s="388"/>
      <c r="F90" s="388"/>
      <c r="G90" s="388"/>
      <c r="H90" s="388"/>
      <c r="I90" s="388"/>
      <c r="J90" s="388"/>
      <c r="K90" s="388"/>
      <c r="L90" s="388"/>
      <c r="M90" s="388"/>
      <c r="N90" s="388"/>
      <c r="O90" s="388"/>
      <c r="P90" s="388"/>
      <c r="Q90" s="388"/>
      <c r="R90" s="388"/>
      <c r="S90" s="388"/>
    </row>
    <row r="91" spans="2:19" x14ac:dyDescent="0.25">
      <c r="B91" s="388"/>
      <c r="C91" s="388"/>
      <c r="D91" s="388"/>
      <c r="E91" s="388"/>
      <c r="F91" s="388"/>
      <c r="G91" s="388"/>
      <c r="H91" s="388"/>
      <c r="I91" s="388"/>
      <c r="J91" s="388"/>
      <c r="K91" s="388"/>
      <c r="L91" s="388"/>
      <c r="M91" s="388"/>
      <c r="N91" s="388"/>
      <c r="O91" s="388"/>
      <c r="P91" s="388"/>
      <c r="Q91" s="388"/>
      <c r="R91" s="388"/>
      <c r="S91" s="388"/>
    </row>
    <row r="92" spans="2:19" x14ac:dyDescent="0.25">
      <c r="B92" s="388"/>
      <c r="C92" s="388"/>
      <c r="D92" s="388"/>
      <c r="E92" s="388"/>
      <c r="F92" s="388"/>
      <c r="G92" s="388"/>
      <c r="H92" s="388"/>
      <c r="I92" s="388"/>
      <c r="J92" s="388"/>
      <c r="K92" s="388"/>
      <c r="L92" s="388"/>
      <c r="M92" s="388"/>
      <c r="N92" s="388"/>
      <c r="O92" s="388"/>
      <c r="P92" s="388"/>
      <c r="Q92" s="388"/>
      <c r="R92" s="388"/>
      <c r="S92" s="388"/>
    </row>
    <row r="93" spans="2:19" x14ac:dyDescent="0.25">
      <c r="B93" s="388"/>
      <c r="C93" s="388"/>
      <c r="D93" s="388"/>
      <c r="E93" s="388"/>
      <c r="F93" s="388"/>
      <c r="G93" s="388"/>
      <c r="H93" s="388"/>
      <c r="I93" s="388"/>
      <c r="J93" s="388"/>
      <c r="K93" s="388"/>
      <c r="L93" s="388"/>
      <c r="M93" s="388"/>
      <c r="N93" s="388"/>
      <c r="O93" s="388"/>
      <c r="P93" s="388"/>
      <c r="Q93" s="388"/>
      <c r="R93" s="388"/>
      <c r="S93" s="388"/>
    </row>
    <row r="94" spans="2:19" x14ac:dyDescent="0.25">
      <c r="B94" s="388"/>
      <c r="C94" s="388"/>
      <c r="D94" s="388"/>
      <c r="E94" s="388"/>
      <c r="F94" s="388"/>
      <c r="G94" s="388"/>
      <c r="H94" s="388"/>
      <c r="I94" s="388"/>
      <c r="J94" s="388"/>
      <c r="K94" s="388"/>
      <c r="L94" s="388"/>
      <c r="M94" s="388"/>
      <c r="N94" s="388"/>
      <c r="O94" s="388"/>
      <c r="P94" s="388"/>
      <c r="Q94" s="388"/>
      <c r="R94" s="388"/>
      <c r="S94" s="388"/>
    </row>
    <row r="95" spans="2:19" x14ac:dyDescent="0.25">
      <c r="B95" s="388"/>
      <c r="C95" s="388"/>
      <c r="D95" s="388"/>
      <c r="E95" s="388"/>
      <c r="F95" s="388"/>
      <c r="G95" s="388"/>
      <c r="H95" s="388"/>
      <c r="I95" s="388"/>
      <c r="J95" s="388"/>
      <c r="K95" s="388"/>
      <c r="L95" s="388"/>
      <c r="M95" s="388"/>
      <c r="N95" s="388"/>
      <c r="O95" s="388"/>
      <c r="P95" s="388"/>
      <c r="Q95" s="388"/>
      <c r="R95" s="388"/>
      <c r="S95" s="388"/>
    </row>
    <row r="96" spans="2:19" x14ac:dyDescent="0.25">
      <c r="B96" s="388"/>
      <c r="C96" s="388"/>
      <c r="D96" s="388"/>
      <c r="E96" s="388"/>
      <c r="F96" s="388"/>
      <c r="G96" s="388"/>
      <c r="H96" s="388"/>
      <c r="I96" s="388"/>
      <c r="J96" s="388"/>
      <c r="K96" s="388"/>
      <c r="L96" s="388"/>
      <c r="M96" s="388"/>
      <c r="N96" s="388"/>
      <c r="O96" s="388"/>
      <c r="P96" s="388"/>
      <c r="Q96" s="388"/>
      <c r="R96" s="388"/>
      <c r="S96" s="388"/>
    </row>
    <row r="97" spans="2:19" x14ac:dyDescent="0.25">
      <c r="B97" s="388"/>
      <c r="C97" s="388"/>
      <c r="D97" s="388"/>
      <c r="E97" s="388"/>
      <c r="F97" s="388"/>
      <c r="G97" s="388"/>
      <c r="H97" s="388"/>
      <c r="I97" s="388"/>
      <c r="J97" s="388"/>
      <c r="K97" s="388"/>
      <c r="L97" s="388"/>
      <c r="M97" s="388"/>
      <c r="N97" s="388"/>
      <c r="O97" s="388"/>
      <c r="P97" s="388"/>
      <c r="Q97" s="388"/>
      <c r="R97" s="388"/>
      <c r="S97" s="388"/>
    </row>
    <row r="98" spans="2:19" x14ac:dyDescent="0.25">
      <c r="B98" s="388"/>
      <c r="C98" s="388"/>
      <c r="D98" s="388"/>
      <c r="E98" s="388"/>
      <c r="F98" s="388"/>
      <c r="G98" s="388"/>
      <c r="H98" s="388"/>
      <c r="I98" s="388"/>
      <c r="J98" s="388"/>
      <c r="K98" s="388"/>
      <c r="L98" s="388"/>
      <c r="M98" s="388"/>
      <c r="N98" s="388"/>
      <c r="O98" s="388"/>
      <c r="P98" s="388"/>
      <c r="Q98" s="388"/>
      <c r="R98" s="388"/>
      <c r="S98" s="388"/>
    </row>
    <row r="99" spans="2:19" x14ac:dyDescent="0.25">
      <c r="B99" s="388"/>
      <c r="C99" s="388"/>
      <c r="D99" s="388"/>
      <c r="E99" s="388"/>
      <c r="F99" s="388"/>
      <c r="G99" s="388"/>
      <c r="H99" s="388"/>
      <c r="I99" s="388"/>
      <c r="J99" s="388"/>
      <c r="K99" s="388"/>
      <c r="L99" s="388"/>
      <c r="M99" s="388"/>
      <c r="N99" s="388"/>
      <c r="O99" s="388"/>
      <c r="P99" s="388"/>
      <c r="Q99" s="388"/>
      <c r="R99" s="388"/>
      <c r="S99" s="388"/>
    </row>
    <row r="100" spans="2:19" x14ac:dyDescent="0.25">
      <c r="B100" s="388"/>
      <c r="C100" s="388"/>
      <c r="D100" s="388"/>
      <c r="E100" s="388"/>
      <c r="F100" s="388"/>
      <c r="G100" s="388"/>
      <c r="H100" s="388"/>
      <c r="I100" s="388"/>
      <c r="J100" s="388"/>
      <c r="K100" s="388"/>
      <c r="L100" s="388"/>
      <c r="M100" s="388"/>
      <c r="N100" s="388"/>
      <c r="O100" s="388"/>
      <c r="P100" s="388"/>
      <c r="Q100" s="388"/>
      <c r="R100" s="388"/>
      <c r="S100" s="388"/>
    </row>
    <row r="101" spans="2:19" x14ac:dyDescent="0.25">
      <c r="B101" s="388"/>
      <c r="C101" s="388"/>
      <c r="D101" s="388"/>
      <c r="E101" s="388"/>
      <c r="F101" s="388"/>
      <c r="G101" s="388"/>
      <c r="H101" s="388"/>
      <c r="I101" s="388"/>
      <c r="J101" s="388"/>
      <c r="K101" s="388"/>
      <c r="L101" s="388"/>
      <c r="M101" s="388"/>
      <c r="N101" s="388"/>
      <c r="O101" s="388"/>
      <c r="P101" s="388"/>
      <c r="Q101" s="388"/>
      <c r="R101" s="388"/>
      <c r="S101" s="388"/>
    </row>
    <row r="102" spans="2:19" x14ac:dyDescent="0.25">
      <c r="B102" s="388"/>
      <c r="C102" s="388"/>
      <c r="D102" s="388"/>
      <c r="E102" s="388"/>
      <c r="F102" s="388"/>
      <c r="G102" s="388"/>
      <c r="H102" s="388"/>
      <c r="I102" s="388"/>
      <c r="J102" s="388"/>
      <c r="K102" s="388"/>
      <c r="L102" s="388"/>
      <c r="M102" s="388"/>
      <c r="N102" s="388"/>
      <c r="O102" s="388"/>
      <c r="P102" s="388"/>
      <c r="Q102" s="388"/>
      <c r="R102" s="388"/>
      <c r="S102" s="388"/>
    </row>
    <row r="103" spans="2:19" x14ac:dyDescent="0.25">
      <c r="B103" s="388"/>
      <c r="C103" s="388"/>
      <c r="D103" s="388"/>
      <c r="E103" s="388"/>
      <c r="F103" s="388"/>
      <c r="G103" s="388"/>
      <c r="H103" s="388"/>
      <c r="I103" s="388"/>
      <c r="J103" s="388"/>
      <c r="K103" s="388"/>
      <c r="L103" s="388"/>
      <c r="M103" s="388"/>
      <c r="N103" s="388"/>
      <c r="O103" s="388"/>
      <c r="P103" s="388"/>
      <c r="Q103" s="388"/>
      <c r="R103" s="388"/>
      <c r="S103" s="388"/>
    </row>
    <row r="104" spans="2:19" x14ac:dyDescent="0.25">
      <c r="B104" s="388"/>
      <c r="C104" s="388"/>
      <c r="D104" s="388"/>
      <c r="E104" s="388"/>
      <c r="F104" s="388"/>
      <c r="G104" s="388"/>
      <c r="H104" s="388"/>
      <c r="I104" s="388"/>
      <c r="J104" s="388"/>
      <c r="K104" s="388"/>
      <c r="L104" s="388"/>
      <c r="M104" s="388"/>
      <c r="N104" s="388"/>
      <c r="O104" s="388"/>
      <c r="P104" s="388"/>
      <c r="Q104" s="388"/>
      <c r="R104" s="388"/>
      <c r="S104" s="388"/>
    </row>
    <row r="105" spans="2:19" x14ac:dyDescent="0.25">
      <c r="B105" s="388"/>
      <c r="C105" s="388"/>
      <c r="D105" s="388"/>
      <c r="E105" s="388"/>
      <c r="F105" s="388"/>
      <c r="G105" s="388"/>
      <c r="H105" s="388"/>
      <c r="I105" s="388"/>
      <c r="J105" s="388"/>
      <c r="K105" s="388"/>
      <c r="L105" s="388"/>
      <c r="M105" s="388"/>
      <c r="N105" s="388"/>
      <c r="O105" s="388"/>
      <c r="P105" s="388"/>
      <c r="Q105" s="388"/>
      <c r="R105" s="388"/>
      <c r="S105" s="388"/>
    </row>
    <row r="106" spans="2:19" x14ac:dyDescent="0.25">
      <c r="B106" s="388"/>
      <c r="C106" s="388"/>
      <c r="D106" s="388"/>
      <c r="E106" s="388"/>
      <c r="F106" s="388"/>
      <c r="G106" s="388"/>
      <c r="H106" s="388"/>
      <c r="I106" s="388"/>
      <c r="J106" s="388"/>
      <c r="K106" s="388"/>
      <c r="L106" s="388"/>
      <c r="M106" s="388"/>
      <c r="N106" s="388"/>
      <c r="O106" s="388"/>
      <c r="P106" s="388"/>
      <c r="Q106" s="388"/>
      <c r="R106" s="388"/>
      <c r="S106" s="388"/>
    </row>
    <row r="107" spans="2:19" x14ac:dyDescent="0.25">
      <c r="B107" s="388"/>
      <c r="C107" s="388"/>
      <c r="D107" s="388"/>
      <c r="E107" s="388"/>
      <c r="F107" s="388"/>
      <c r="G107" s="388"/>
      <c r="H107" s="388"/>
      <c r="I107" s="388"/>
      <c r="J107" s="388"/>
      <c r="K107" s="388"/>
      <c r="L107" s="388"/>
      <c r="M107" s="388"/>
      <c r="N107" s="388"/>
      <c r="O107" s="388"/>
      <c r="P107" s="388"/>
      <c r="Q107" s="388"/>
      <c r="R107" s="388"/>
      <c r="S107" s="388"/>
    </row>
    <row r="108" spans="2:19" x14ac:dyDescent="0.25">
      <c r="B108" s="388"/>
      <c r="C108" s="388"/>
      <c r="D108" s="388"/>
      <c r="E108" s="388"/>
      <c r="F108" s="388"/>
      <c r="G108" s="388"/>
      <c r="H108" s="388"/>
      <c r="I108" s="388"/>
      <c r="J108" s="388"/>
      <c r="K108" s="388"/>
      <c r="L108" s="388"/>
      <c r="M108" s="388"/>
      <c r="N108" s="388"/>
      <c r="O108" s="388"/>
      <c r="P108" s="388"/>
      <c r="Q108" s="388"/>
      <c r="R108" s="388"/>
      <c r="S108" s="388"/>
    </row>
    <row r="109" spans="2:19" x14ac:dyDescent="0.25">
      <c r="B109" s="388"/>
      <c r="C109" s="388"/>
      <c r="D109" s="388"/>
      <c r="E109" s="388"/>
      <c r="F109" s="388"/>
      <c r="G109" s="388"/>
      <c r="H109" s="388"/>
      <c r="I109" s="388"/>
      <c r="J109" s="388"/>
      <c r="K109" s="388"/>
      <c r="L109" s="388"/>
      <c r="M109" s="388"/>
      <c r="N109" s="388"/>
      <c r="O109" s="388"/>
      <c r="P109" s="388"/>
      <c r="Q109" s="388"/>
      <c r="R109" s="388"/>
      <c r="S109" s="388"/>
    </row>
    <row r="110" spans="2:19" x14ac:dyDescent="0.25">
      <c r="B110" s="388"/>
      <c r="C110" s="388"/>
      <c r="D110" s="388"/>
      <c r="E110" s="388"/>
      <c r="F110" s="388"/>
      <c r="G110" s="388"/>
      <c r="H110" s="388"/>
      <c r="I110" s="388"/>
      <c r="J110" s="388"/>
      <c r="K110" s="388"/>
      <c r="L110" s="388"/>
      <c r="M110" s="388"/>
      <c r="N110" s="388"/>
      <c r="O110" s="388"/>
      <c r="P110" s="388"/>
      <c r="Q110" s="388"/>
      <c r="R110" s="388"/>
      <c r="S110" s="388"/>
    </row>
    <row r="111" spans="2:19" x14ac:dyDescent="0.25">
      <c r="B111" s="388"/>
      <c r="C111" s="388"/>
      <c r="D111" s="388"/>
      <c r="E111" s="388"/>
      <c r="F111" s="388"/>
      <c r="G111" s="388"/>
      <c r="H111" s="388"/>
      <c r="I111" s="388"/>
      <c r="J111" s="388"/>
      <c r="K111" s="388"/>
      <c r="L111" s="388"/>
      <c r="M111" s="388"/>
      <c r="N111" s="388"/>
      <c r="O111" s="388"/>
      <c r="P111" s="388"/>
      <c r="Q111" s="388"/>
      <c r="R111" s="388"/>
      <c r="S111" s="388"/>
    </row>
    <row r="112" spans="2:19" x14ac:dyDescent="0.25">
      <c r="B112" s="388"/>
      <c r="C112" s="388"/>
      <c r="D112" s="388"/>
      <c r="E112" s="388"/>
      <c r="F112" s="388"/>
      <c r="G112" s="388"/>
      <c r="H112" s="388"/>
      <c r="I112" s="388"/>
      <c r="J112" s="388"/>
      <c r="K112" s="388"/>
      <c r="L112" s="388"/>
      <c r="M112" s="388"/>
      <c r="N112" s="388"/>
      <c r="O112" s="388"/>
      <c r="P112" s="388"/>
      <c r="Q112" s="388"/>
      <c r="R112" s="388"/>
      <c r="S112" s="388"/>
    </row>
    <row r="113" spans="2:19" x14ac:dyDescent="0.25">
      <c r="B113" s="388"/>
      <c r="C113" s="388"/>
      <c r="D113" s="388"/>
      <c r="E113" s="388"/>
      <c r="F113" s="388"/>
      <c r="G113" s="388"/>
      <c r="H113" s="388"/>
      <c r="I113" s="388"/>
      <c r="J113" s="388"/>
      <c r="K113" s="388"/>
      <c r="L113" s="388"/>
      <c r="M113" s="388"/>
      <c r="N113" s="388"/>
      <c r="O113" s="388"/>
      <c r="P113" s="388"/>
      <c r="Q113" s="388"/>
      <c r="R113" s="388"/>
      <c r="S113" s="388"/>
    </row>
    <row r="114" spans="2:19" x14ac:dyDescent="0.25">
      <c r="B114" s="388"/>
      <c r="C114" s="388"/>
      <c r="D114" s="388"/>
      <c r="E114" s="388"/>
      <c r="F114" s="388"/>
      <c r="G114" s="388"/>
      <c r="H114" s="388"/>
      <c r="I114" s="388"/>
      <c r="J114" s="388"/>
      <c r="K114" s="388"/>
      <c r="L114" s="388"/>
      <c r="M114" s="388"/>
      <c r="N114" s="388"/>
      <c r="O114" s="388"/>
      <c r="P114" s="388"/>
      <c r="Q114" s="388"/>
      <c r="R114" s="388"/>
      <c r="S114" s="388"/>
    </row>
    <row r="115" spans="2:19" x14ac:dyDescent="0.25">
      <c r="B115" s="388"/>
      <c r="C115" s="388"/>
      <c r="D115" s="388"/>
      <c r="E115" s="388"/>
      <c r="F115" s="388"/>
      <c r="G115" s="388"/>
      <c r="H115" s="388"/>
      <c r="I115" s="388"/>
      <c r="J115" s="388"/>
      <c r="K115" s="388"/>
      <c r="L115" s="388"/>
      <c r="M115" s="388"/>
      <c r="N115" s="388"/>
      <c r="O115" s="388"/>
      <c r="P115" s="388"/>
      <c r="Q115" s="388"/>
      <c r="R115" s="388"/>
      <c r="S115" s="388"/>
    </row>
    <row r="116" spans="2:19" x14ac:dyDescent="0.25">
      <c r="B116" s="388"/>
      <c r="C116" s="388"/>
      <c r="D116" s="388"/>
      <c r="E116" s="388"/>
      <c r="F116" s="388"/>
      <c r="G116" s="388"/>
      <c r="H116" s="388"/>
      <c r="I116" s="388"/>
      <c r="J116" s="388"/>
      <c r="K116" s="388"/>
      <c r="L116" s="388"/>
      <c r="M116" s="388"/>
      <c r="N116" s="388"/>
      <c r="O116" s="388"/>
      <c r="P116" s="388"/>
      <c r="Q116" s="388"/>
      <c r="R116" s="388"/>
      <c r="S116" s="388"/>
    </row>
    <row r="117" spans="2:19" x14ac:dyDescent="0.25">
      <c r="B117" s="388"/>
      <c r="C117" s="388"/>
      <c r="D117" s="388"/>
      <c r="E117" s="388"/>
      <c r="F117" s="388"/>
      <c r="G117" s="388"/>
      <c r="H117" s="388"/>
      <c r="I117" s="388"/>
      <c r="J117" s="388"/>
      <c r="K117" s="388"/>
      <c r="L117" s="388"/>
      <c r="M117" s="388"/>
      <c r="N117" s="388"/>
      <c r="O117" s="388"/>
      <c r="P117" s="388"/>
      <c r="Q117" s="388"/>
      <c r="R117" s="388"/>
      <c r="S117" s="388"/>
    </row>
    <row r="118" spans="2:19" x14ac:dyDescent="0.25">
      <c r="B118" s="388"/>
      <c r="C118" s="388"/>
      <c r="D118" s="388"/>
      <c r="E118" s="388"/>
      <c r="F118" s="388"/>
      <c r="G118" s="388"/>
      <c r="H118" s="388"/>
      <c r="I118" s="388"/>
      <c r="J118" s="388"/>
      <c r="K118" s="388"/>
      <c r="L118" s="388"/>
      <c r="M118" s="388"/>
      <c r="N118" s="388"/>
      <c r="O118" s="388"/>
      <c r="P118" s="388"/>
      <c r="Q118" s="388"/>
      <c r="R118" s="388"/>
      <c r="S118" s="388"/>
    </row>
    <row r="119" spans="2:19" x14ac:dyDescent="0.25">
      <c r="B119" s="388"/>
      <c r="C119" s="388"/>
      <c r="D119" s="388"/>
      <c r="E119" s="388"/>
      <c r="F119" s="388"/>
      <c r="G119" s="388"/>
      <c r="H119" s="388"/>
      <c r="I119" s="388"/>
      <c r="J119" s="388"/>
      <c r="K119" s="388"/>
      <c r="L119" s="388"/>
      <c r="M119" s="388"/>
      <c r="N119" s="388"/>
      <c r="O119" s="388"/>
      <c r="P119" s="388"/>
      <c r="Q119" s="388"/>
      <c r="R119" s="388"/>
      <c r="S119" s="388"/>
    </row>
    <row r="120" spans="2:19" x14ac:dyDescent="0.25">
      <c r="B120" s="388"/>
      <c r="C120" s="388"/>
      <c r="D120" s="388"/>
      <c r="E120" s="388"/>
      <c r="F120" s="388"/>
      <c r="G120" s="388"/>
      <c r="H120" s="388"/>
      <c r="I120" s="388"/>
      <c r="J120" s="388"/>
      <c r="K120" s="388"/>
      <c r="L120" s="388"/>
      <c r="M120" s="388"/>
      <c r="N120" s="388"/>
      <c r="O120" s="388"/>
      <c r="P120" s="388"/>
      <c r="Q120" s="388"/>
      <c r="R120" s="388"/>
      <c r="S120" s="388"/>
    </row>
    <row r="121" spans="2:19" x14ac:dyDescent="0.25">
      <c r="B121" s="388"/>
      <c r="C121" s="388"/>
      <c r="D121" s="388"/>
      <c r="E121" s="388"/>
      <c r="F121" s="388"/>
      <c r="G121" s="388"/>
      <c r="H121" s="388"/>
      <c r="I121" s="388"/>
      <c r="J121" s="388"/>
      <c r="K121" s="388"/>
      <c r="L121" s="388"/>
      <c r="M121" s="388"/>
      <c r="N121" s="388"/>
      <c r="O121" s="388"/>
      <c r="P121" s="388"/>
      <c r="Q121" s="388"/>
      <c r="R121" s="388"/>
      <c r="S121" s="388"/>
    </row>
    <row r="122" spans="2:19" x14ac:dyDescent="0.25">
      <c r="B122" s="388"/>
      <c r="C122" s="388"/>
      <c r="D122" s="388"/>
      <c r="E122" s="388"/>
      <c r="F122" s="388"/>
      <c r="G122" s="388"/>
      <c r="H122" s="388"/>
      <c r="I122" s="388"/>
      <c r="J122" s="388"/>
      <c r="K122" s="388"/>
      <c r="L122" s="388"/>
      <c r="M122" s="388"/>
      <c r="N122" s="388"/>
      <c r="O122" s="388"/>
      <c r="P122" s="388"/>
      <c r="Q122" s="388"/>
      <c r="R122" s="388"/>
      <c r="S122" s="388"/>
    </row>
    <row r="123" spans="2:19" x14ac:dyDescent="0.25">
      <c r="B123" s="388"/>
      <c r="C123" s="388"/>
      <c r="D123" s="388"/>
      <c r="E123" s="388"/>
      <c r="F123" s="388"/>
      <c r="G123" s="388"/>
      <c r="H123" s="388"/>
      <c r="I123" s="388"/>
      <c r="J123" s="388"/>
      <c r="K123" s="388"/>
      <c r="L123" s="388"/>
      <c r="M123" s="388"/>
      <c r="N123" s="388"/>
      <c r="O123" s="388"/>
      <c r="P123" s="388"/>
      <c r="Q123" s="388"/>
      <c r="R123" s="388"/>
      <c r="S123" s="388"/>
    </row>
    <row r="124" spans="2:19" x14ac:dyDescent="0.25">
      <c r="B124" s="388"/>
      <c r="C124" s="388"/>
      <c r="D124" s="388"/>
      <c r="E124" s="388"/>
      <c r="F124" s="388"/>
      <c r="G124" s="388"/>
      <c r="H124" s="388"/>
      <c r="I124" s="388"/>
      <c r="J124" s="388"/>
      <c r="K124" s="388"/>
      <c r="L124" s="388"/>
      <c r="M124" s="388"/>
      <c r="N124" s="388"/>
      <c r="O124" s="388"/>
      <c r="P124" s="388"/>
      <c r="Q124" s="388"/>
      <c r="R124" s="388"/>
      <c r="S124" s="388"/>
    </row>
    <row r="125" spans="2:19" x14ac:dyDescent="0.25">
      <c r="B125" s="388"/>
      <c r="C125" s="388"/>
      <c r="D125" s="388"/>
      <c r="E125" s="388"/>
      <c r="F125" s="388"/>
      <c r="G125" s="388"/>
      <c r="H125" s="388"/>
      <c r="I125" s="388"/>
      <c r="J125" s="388"/>
      <c r="K125" s="388"/>
      <c r="L125" s="388"/>
      <c r="M125" s="388"/>
      <c r="N125" s="388"/>
      <c r="O125" s="388"/>
      <c r="P125" s="388"/>
      <c r="Q125" s="388"/>
      <c r="R125" s="388"/>
      <c r="S125" s="388"/>
    </row>
    <row r="126" spans="2:19" x14ac:dyDescent="0.25">
      <c r="B126" s="388"/>
      <c r="C126" s="388"/>
      <c r="D126" s="388"/>
      <c r="E126" s="388"/>
      <c r="F126" s="388"/>
      <c r="G126" s="388"/>
      <c r="H126" s="388"/>
      <c r="I126" s="388"/>
      <c r="J126" s="388"/>
      <c r="K126" s="388"/>
      <c r="L126" s="388"/>
      <c r="M126" s="388"/>
      <c r="N126" s="388"/>
      <c r="O126" s="388"/>
      <c r="P126" s="388"/>
      <c r="Q126" s="388"/>
      <c r="R126" s="388"/>
      <c r="S126" s="388"/>
    </row>
    <row r="127" spans="2:19" x14ac:dyDescent="0.25">
      <c r="B127" s="388"/>
      <c r="C127" s="388"/>
      <c r="D127" s="388"/>
      <c r="E127" s="388"/>
      <c r="F127" s="388"/>
      <c r="G127" s="388"/>
      <c r="H127" s="388"/>
      <c r="I127" s="388"/>
      <c r="J127" s="388"/>
      <c r="K127" s="388"/>
      <c r="L127" s="388"/>
      <c r="M127" s="388"/>
      <c r="N127" s="388"/>
      <c r="O127" s="388"/>
      <c r="P127" s="388"/>
      <c r="Q127" s="388"/>
      <c r="R127" s="388"/>
      <c r="S127" s="388"/>
    </row>
    <row r="128" spans="2:19" x14ac:dyDescent="0.25">
      <c r="B128" s="388"/>
      <c r="C128" s="388"/>
      <c r="D128" s="388"/>
      <c r="E128" s="388"/>
      <c r="F128" s="388"/>
      <c r="G128" s="388"/>
      <c r="H128" s="388"/>
      <c r="I128" s="388"/>
      <c r="J128" s="388"/>
      <c r="K128" s="388"/>
      <c r="L128" s="388"/>
      <c r="M128" s="388"/>
      <c r="N128" s="388"/>
      <c r="O128" s="388"/>
      <c r="P128" s="388"/>
      <c r="Q128" s="388"/>
      <c r="R128" s="388"/>
      <c r="S128" s="388"/>
    </row>
    <row r="129" spans="2:19" x14ac:dyDescent="0.25">
      <c r="B129" s="388"/>
      <c r="C129" s="388"/>
      <c r="D129" s="388"/>
      <c r="E129" s="388"/>
      <c r="F129" s="388"/>
      <c r="G129" s="388"/>
      <c r="H129" s="388"/>
      <c r="I129" s="388"/>
      <c r="J129" s="388"/>
      <c r="K129" s="388"/>
      <c r="L129" s="388"/>
      <c r="M129" s="388"/>
      <c r="N129" s="388"/>
      <c r="O129" s="388"/>
      <c r="P129" s="388"/>
      <c r="Q129" s="388"/>
      <c r="R129" s="388"/>
      <c r="S129" s="388"/>
    </row>
    <row r="130" spans="2:19" x14ac:dyDescent="0.25">
      <c r="B130" s="388"/>
      <c r="C130" s="388"/>
      <c r="D130" s="388"/>
      <c r="E130" s="388"/>
      <c r="F130" s="388"/>
      <c r="G130" s="388"/>
      <c r="H130" s="388"/>
      <c r="I130" s="388"/>
      <c r="J130" s="388"/>
      <c r="K130" s="388"/>
      <c r="L130" s="388"/>
      <c r="M130" s="388"/>
      <c r="N130" s="388"/>
      <c r="O130" s="388"/>
      <c r="P130" s="388"/>
      <c r="Q130" s="388"/>
      <c r="R130" s="388"/>
      <c r="S130" s="388"/>
    </row>
    <row r="131" spans="2:19" x14ac:dyDescent="0.25">
      <c r="B131" s="388"/>
      <c r="C131" s="388"/>
      <c r="D131" s="388"/>
      <c r="E131" s="388"/>
      <c r="F131" s="388"/>
      <c r="G131" s="388"/>
      <c r="H131" s="388"/>
      <c r="I131" s="388"/>
      <c r="J131" s="388"/>
      <c r="K131" s="388"/>
      <c r="L131" s="388"/>
      <c r="M131" s="388"/>
      <c r="N131" s="388"/>
      <c r="O131" s="388"/>
      <c r="P131" s="388"/>
      <c r="Q131" s="388"/>
      <c r="R131" s="388"/>
      <c r="S131" s="388"/>
    </row>
    <row r="132" spans="2:19" x14ac:dyDescent="0.25">
      <c r="B132" s="388"/>
      <c r="C132" s="388"/>
      <c r="D132" s="388"/>
      <c r="E132" s="388"/>
      <c r="F132" s="388"/>
      <c r="G132" s="388"/>
      <c r="H132" s="388"/>
      <c r="I132" s="388"/>
      <c r="J132" s="388"/>
      <c r="K132" s="388"/>
      <c r="L132" s="388"/>
      <c r="M132" s="388"/>
      <c r="N132" s="388"/>
      <c r="O132" s="388"/>
      <c r="P132" s="388"/>
      <c r="Q132" s="388"/>
      <c r="R132" s="388"/>
      <c r="S132" s="388"/>
    </row>
    <row r="133" spans="2:19" x14ac:dyDescent="0.25">
      <c r="B133" s="388"/>
      <c r="C133" s="388"/>
      <c r="D133" s="388"/>
      <c r="E133" s="388"/>
      <c r="F133" s="388"/>
      <c r="G133" s="388"/>
      <c r="H133" s="388"/>
      <c r="I133" s="388"/>
      <c r="J133" s="388"/>
      <c r="K133" s="388"/>
      <c r="L133" s="388"/>
      <c r="M133" s="388"/>
      <c r="N133" s="388"/>
      <c r="O133" s="388"/>
      <c r="P133" s="388"/>
      <c r="Q133" s="388"/>
      <c r="R133" s="388"/>
      <c r="S133" s="388"/>
    </row>
    <row r="134" spans="2:19" x14ac:dyDescent="0.25">
      <c r="B134" s="388"/>
      <c r="C134" s="388"/>
      <c r="D134" s="388"/>
      <c r="E134" s="388"/>
      <c r="F134" s="388"/>
      <c r="G134" s="388"/>
      <c r="H134" s="388"/>
      <c r="I134" s="388"/>
      <c r="J134" s="388"/>
      <c r="K134" s="388"/>
      <c r="L134" s="388"/>
      <c r="M134" s="388"/>
      <c r="N134" s="388"/>
      <c r="O134" s="388"/>
      <c r="P134" s="388"/>
      <c r="Q134" s="388"/>
      <c r="R134" s="388"/>
      <c r="S134" s="388"/>
    </row>
    <row r="135" spans="2:19" x14ac:dyDescent="0.25">
      <c r="B135" s="388"/>
      <c r="C135" s="388"/>
      <c r="D135" s="388"/>
      <c r="E135" s="388"/>
      <c r="F135" s="388"/>
      <c r="G135" s="388"/>
      <c r="H135" s="388"/>
      <c r="I135" s="388"/>
      <c r="J135" s="388"/>
      <c r="K135" s="388"/>
      <c r="L135" s="388"/>
      <c r="M135" s="388"/>
      <c r="N135" s="388"/>
      <c r="O135" s="388"/>
      <c r="P135" s="388"/>
      <c r="Q135" s="388"/>
      <c r="R135" s="388"/>
      <c r="S135" s="388"/>
    </row>
    <row r="136" spans="2:19" x14ac:dyDescent="0.25">
      <c r="B136" s="388"/>
      <c r="C136" s="388"/>
      <c r="D136" s="388"/>
      <c r="E136" s="388"/>
      <c r="F136" s="388"/>
      <c r="G136" s="388"/>
      <c r="H136" s="388"/>
      <c r="I136" s="388"/>
      <c r="J136" s="388"/>
      <c r="K136" s="388"/>
      <c r="L136" s="388"/>
      <c r="M136" s="388"/>
      <c r="N136" s="388"/>
      <c r="O136" s="388"/>
      <c r="P136" s="388"/>
      <c r="Q136" s="388"/>
      <c r="R136" s="388"/>
      <c r="S136" s="388"/>
    </row>
    <row r="137" spans="2:19" x14ac:dyDescent="0.25">
      <c r="B137" s="388"/>
      <c r="C137" s="388"/>
      <c r="D137" s="388"/>
      <c r="E137" s="388"/>
      <c r="F137" s="388"/>
      <c r="G137" s="388"/>
      <c r="H137" s="388"/>
      <c r="I137" s="388"/>
      <c r="J137" s="388"/>
      <c r="K137" s="388"/>
      <c r="L137" s="388"/>
      <c r="M137" s="388"/>
      <c r="N137" s="388"/>
      <c r="O137" s="388"/>
      <c r="P137" s="388"/>
      <c r="Q137" s="388"/>
      <c r="R137" s="388"/>
      <c r="S137" s="388"/>
    </row>
    <row r="138" spans="2:19" x14ac:dyDescent="0.25">
      <c r="B138" s="388"/>
      <c r="C138" s="388"/>
      <c r="D138" s="388"/>
      <c r="E138" s="388"/>
      <c r="F138" s="388"/>
      <c r="G138" s="388"/>
      <c r="H138" s="388"/>
      <c r="I138" s="388"/>
      <c r="J138" s="388"/>
      <c r="K138" s="388"/>
      <c r="L138" s="388"/>
      <c r="M138" s="388"/>
      <c r="N138" s="388"/>
      <c r="O138" s="388"/>
      <c r="P138" s="388"/>
      <c r="Q138" s="388"/>
      <c r="R138" s="388"/>
      <c r="S138" s="388"/>
    </row>
    <row r="139" spans="2:19" x14ac:dyDescent="0.25">
      <c r="B139" s="388"/>
      <c r="C139" s="388"/>
      <c r="D139" s="388"/>
      <c r="E139" s="388"/>
      <c r="F139" s="388"/>
      <c r="G139" s="388"/>
      <c r="H139" s="388"/>
      <c r="I139" s="388"/>
      <c r="J139" s="388"/>
      <c r="K139" s="388"/>
      <c r="L139" s="388"/>
      <c r="M139" s="388"/>
      <c r="N139" s="388"/>
      <c r="O139" s="388"/>
      <c r="P139" s="388"/>
      <c r="Q139" s="388"/>
      <c r="R139" s="388"/>
      <c r="S139" s="388"/>
    </row>
    <row r="140" spans="2:19" x14ac:dyDescent="0.25">
      <c r="B140" s="388"/>
      <c r="C140" s="388"/>
      <c r="D140" s="388"/>
      <c r="E140" s="388"/>
      <c r="F140" s="388"/>
      <c r="G140" s="388"/>
      <c r="H140" s="388"/>
      <c r="I140" s="388"/>
      <c r="J140" s="388"/>
      <c r="K140" s="388"/>
      <c r="L140" s="388"/>
      <c r="M140" s="388"/>
      <c r="N140" s="388"/>
      <c r="O140" s="388"/>
      <c r="P140" s="388"/>
      <c r="Q140" s="388"/>
      <c r="R140" s="388"/>
      <c r="S140" s="388"/>
    </row>
    <row r="141" spans="2:19" x14ac:dyDescent="0.25">
      <c r="B141" s="388"/>
      <c r="C141" s="388"/>
      <c r="D141" s="388"/>
      <c r="E141" s="388"/>
      <c r="F141" s="388"/>
      <c r="G141" s="388"/>
      <c r="H141" s="388"/>
      <c r="I141" s="388"/>
      <c r="J141" s="388"/>
      <c r="K141" s="388"/>
      <c r="L141" s="388"/>
      <c r="M141" s="388"/>
      <c r="N141" s="388"/>
      <c r="O141" s="388"/>
      <c r="P141" s="388"/>
      <c r="Q141" s="388"/>
      <c r="R141" s="388"/>
      <c r="S141" s="388"/>
    </row>
    <row r="142" spans="2:19" x14ac:dyDescent="0.25">
      <c r="B142" s="388"/>
      <c r="C142" s="388"/>
      <c r="D142" s="388"/>
      <c r="E142" s="388"/>
      <c r="F142" s="388"/>
      <c r="G142" s="388"/>
      <c r="H142" s="388"/>
      <c r="I142" s="388"/>
      <c r="J142" s="388"/>
      <c r="K142" s="388"/>
      <c r="L142" s="388"/>
      <c r="M142" s="388"/>
      <c r="N142" s="388"/>
      <c r="O142" s="388"/>
      <c r="P142" s="388"/>
      <c r="Q142" s="388"/>
      <c r="R142" s="388"/>
      <c r="S142" s="388"/>
    </row>
    <row r="143" spans="2:19" x14ac:dyDescent="0.25">
      <c r="B143" s="388"/>
      <c r="C143" s="388"/>
      <c r="D143" s="388"/>
      <c r="E143" s="388"/>
      <c r="F143" s="388"/>
      <c r="G143" s="388"/>
      <c r="H143" s="388"/>
      <c r="I143" s="388"/>
      <c r="J143" s="388"/>
      <c r="K143" s="388"/>
      <c r="L143" s="388"/>
      <c r="M143" s="388"/>
      <c r="N143" s="388"/>
      <c r="O143" s="388"/>
      <c r="P143" s="388"/>
      <c r="Q143" s="388"/>
      <c r="R143" s="388"/>
      <c r="S143" s="388"/>
    </row>
    <row r="144" spans="2:19" x14ac:dyDescent="0.25">
      <c r="B144" s="388"/>
      <c r="C144" s="388"/>
      <c r="D144" s="388"/>
      <c r="E144" s="388"/>
      <c r="F144" s="388"/>
      <c r="G144" s="388"/>
      <c r="H144" s="388"/>
      <c r="I144" s="388"/>
      <c r="J144" s="388"/>
      <c r="K144" s="388"/>
      <c r="L144" s="388"/>
      <c r="M144" s="388"/>
      <c r="N144" s="388"/>
      <c r="O144" s="388"/>
      <c r="P144" s="388"/>
      <c r="Q144" s="388"/>
      <c r="R144" s="388"/>
      <c r="S144" s="388"/>
    </row>
    <row r="145" spans="2:19" x14ac:dyDescent="0.25">
      <c r="B145" s="388"/>
      <c r="C145" s="388"/>
      <c r="D145" s="388"/>
      <c r="E145" s="388"/>
      <c r="F145" s="388"/>
      <c r="G145" s="388"/>
      <c r="H145" s="388"/>
      <c r="I145" s="388"/>
      <c r="J145" s="388"/>
      <c r="K145" s="388"/>
      <c r="L145" s="388"/>
      <c r="M145" s="388"/>
      <c r="N145" s="388"/>
      <c r="O145" s="388"/>
      <c r="P145" s="388"/>
      <c r="Q145" s="388"/>
      <c r="R145" s="388"/>
      <c r="S145" s="388"/>
    </row>
    <row r="146" spans="2:19" x14ac:dyDescent="0.25">
      <c r="B146" s="388"/>
      <c r="C146" s="388"/>
      <c r="D146" s="388"/>
      <c r="E146" s="388"/>
      <c r="F146" s="388"/>
      <c r="G146" s="388"/>
      <c r="H146" s="388"/>
      <c r="I146" s="388"/>
      <c r="J146" s="388"/>
      <c r="K146" s="388"/>
      <c r="L146" s="388"/>
      <c r="M146" s="388"/>
      <c r="N146" s="388"/>
      <c r="O146" s="388"/>
      <c r="P146" s="388"/>
      <c r="Q146" s="388"/>
      <c r="R146" s="388"/>
      <c r="S146" s="388"/>
    </row>
    <row r="147" spans="2:19" x14ac:dyDescent="0.25">
      <c r="B147" s="388"/>
      <c r="C147" s="388"/>
      <c r="D147" s="388"/>
      <c r="E147" s="388"/>
      <c r="F147" s="388"/>
      <c r="G147" s="388"/>
      <c r="H147" s="388"/>
      <c r="I147" s="388"/>
      <c r="J147" s="388"/>
      <c r="K147" s="388"/>
      <c r="L147" s="388"/>
      <c r="M147" s="388"/>
      <c r="N147" s="388"/>
      <c r="O147" s="388"/>
      <c r="P147" s="388"/>
      <c r="Q147" s="388"/>
      <c r="R147" s="388"/>
      <c r="S147" s="388"/>
    </row>
    <row r="148" spans="2:19" x14ac:dyDescent="0.25">
      <c r="B148" s="388"/>
      <c r="C148" s="388"/>
      <c r="D148" s="388"/>
      <c r="E148" s="388"/>
      <c r="F148" s="388"/>
      <c r="G148" s="388"/>
      <c r="H148" s="388"/>
      <c r="I148" s="388"/>
      <c r="J148" s="388"/>
      <c r="K148" s="388"/>
      <c r="L148" s="388"/>
      <c r="M148" s="388"/>
      <c r="N148" s="388"/>
      <c r="O148" s="388"/>
      <c r="P148" s="388"/>
      <c r="Q148" s="388"/>
      <c r="R148" s="388"/>
      <c r="S148" s="388"/>
    </row>
    <row r="149" spans="2:19" x14ac:dyDescent="0.25">
      <c r="B149" s="388"/>
      <c r="C149" s="388"/>
      <c r="D149" s="388"/>
      <c r="E149" s="388"/>
      <c r="F149" s="388"/>
      <c r="G149" s="388"/>
      <c r="H149" s="388"/>
      <c r="I149" s="388"/>
      <c r="J149" s="388"/>
      <c r="K149" s="388"/>
      <c r="L149" s="388"/>
      <c r="M149" s="388"/>
      <c r="N149" s="388"/>
      <c r="O149" s="388"/>
      <c r="P149" s="388"/>
      <c r="Q149" s="388"/>
      <c r="R149" s="388"/>
      <c r="S149" s="388"/>
    </row>
    <row r="150" spans="2:19" x14ac:dyDescent="0.25">
      <c r="B150" s="388"/>
      <c r="C150" s="388"/>
      <c r="D150" s="388"/>
      <c r="E150" s="388"/>
      <c r="F150" s="388"/>
      <c r="G150" s="388"/>
      <c r="H150" s="388"/>
      <c r="I150" s="388"/>
      <c r="J150" s="388"/>
      <c r="K150" s="388"/>
      <c r="L150" s="388"/>
      <c r="M150" s="388"/>
      <c r="N150" s="388"/>
      <c r="O150" s="388"/>
      <c r="P150" s="388"/>
      <c r="Q150" s="388"/>
      <c r="R150" s="388"/>
      <c r="S150" s="388"/>
    </row>
    <row r="151" spans="2:19" x14ac:dyDescent="0.25">
      <c r="B151" s="388"/>
      <c r="C151" s="388"/>
      <c r="D151" s="388"/>
      <c r="E151" s="388"/>
      <c r="F151" s="388"/>
      <c r="G151" s="388"/>
      <c r="H151" s="388"/>
      <c r="I151" s="388"/>
      <c r="J151" s="388"/>
      <c r="K151" s="388"/>
      <c r="L151" s="388"/>
      <c r="M151" s="388"/>
      <c r="N151" s="388"/>
      <c r="O151" s="388"/>
      <c r="P151" s="388"/>
      <c r="Q151" s="388"/>
      <c r="R151" s="388"/>
      <c r="S151" s="388"/>
    </row>
    <row r="152" spans="2:19" x14ac:dyDescent="0.25">
      <c r="B152" s="388"/>
      <c r="C152" s="388"/>
      <c r="D152" s="388"/>
      <c r="E152" s="388"/>
      <c r="F152" s="388"/>
      <c r="G152" s="388"/>
      <c r="H152" s="388"/>
      <c r="I152" s="388"/>
      <c r="J152" s="388"/>
      <c r="K152" s="388"/>
      <c r="L152" s="388"/>
      <c r="M152" s="388"/>
      <c r="N152" s="388"/>
      <c r="O152" s="388"/>
      <c r="P152" s="388"/>
      <c r="Q152" s="388"/>
      <c r="R152" s="388"/>
      <c r="S152" s="388"/>
    </row>
    <row r="153" spans="2:19" x14ac:dyDescent="0.25">
      <c r="B153" s="388"/>
      <c r="C153" s="388"/>
      <c r="D153" s="388"/>
      <c r="E153" s="388"/>
      <c r="F153" s="388"/>
      <c r="G153" s="388"/>
      <c r="H153" s="388"/>
      <c r="I153" s="388"/>
      <c r="J153" s="388"/>
      <c r="K153" s="388"/>
      <c r="L153" s="388"/>
      <c r="M153" s="388"/>
      <c r="N153" s="388"/>
      <c r="O153" s="388"/>
      <c r="P153" s="388"/>
      <c r="Q153" s="388"/>
      <c r="R153" s="388"/>
      <c r="S153" s="388"/>
    </row>
    <row r="154" spans="2:19" x14ac:dyDescent="0.25">
      <c r="B154" s="388"/>
      <c r="C154" s="388"/>
      <c r="D154" s="388"/>
      <c r="E154" s="388"/>
      <c r="F154" s="388"/>
      <c r="G154" s="388"/>
      <c r="H154" s="388"/>
      <c r="I154" s="388"/>
      <c r="J154" s="388"/>
      <c r="K154" s="388"/>
      <c r="L154" s="388"/>
      <c r="M154" s="388"/>
      <c r="N154" s="388"/>
      <c r="O154" s="388"/>
      <c r="P154" s="388"/>
      <c r="Q154" s="388"/>
      <c r="R154" s="388"/>
      <c r="S154" s="388"/>
    </row>
    <row r="155" spans="2:19" x14ac:dyDescent="0.25">
      <c r="B155" s="388"/>
      <c r="C155" s="388"/>
      <c r="D155" s="388"/>
      <c r="E155" s="388"/>
      <c r="F155" s="388"/>
      <c r="G155" s="388"/>
      <c r="H155" s="388"/>
      <c r="I155" s="388"/>
      <c r="J155" s="388"/>
      <c r="K155" s="388"/>
      <c r="L155" s="388"/>
      <c r="M155" s="388"/>
      <c r="N155" s="388"/>
      <c r="O155" s="388"/>
      <c r="P155" s="388"/>
      <c r="Q155" s="388"/>
      <c r="R155" s="388"/>
      <c r="S155" s="388"/>
    </row>
    <row r="156" spans="2:19" x14ac:dyDescent="0.25">
      <c r="B156" s="388"/>
      <c r="C156" s="388"/>
      <c r="D156" s="388"/>
      <c r="E156" s="388"/>
      <c r="F156" s="388"/>
      <c r="G156" s="388"/>
      <c r="H156" s="388"/>
      <c r="I156" s="388"/>
      <c r="J156" s="388"/>
      <c r="K156" s="388"/>
      <c r="L156" s="388"/>
      <c r="M156" s="388"/>
      <c r="N156" s="388"/>
      <c r="O156" s="388"/>
      <c r="P156" s="388"/>
      <c r="Q156" s="388"/>
      <c r="R156" s="388"/>
      <c r="S156" s="388"/>
    </row>
    <row r="157" spans="2:19" x14ac:dyDescent="0.25">
      <c r="B157" s="388"/>
      <c r="C157" s="388"/>
      <c r="D157" s="388"/>
      <c r="E157" s="388"/>
      <c r="F157" s="388"/>
      <c r="G157" s="388"/>
      <c r="H157" s="388"/>
      <c r="I157" s="388"/>
      <c r="J157" s="388"/>
      <c r="K157" s="388"/>
      <c r="L157" s="388"/>
      <c r="M157" s="388"/>
      <c r="N157" s="388"/>
      <c r="O157" s="388"/>
      <c r="P157" s="388"/>
      <c r="Q157" s="388"/>
      <c r="R157" s="388"/>
      <c r="S157" s="38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U215"/>
  <sheetViews>
    <sheetView workbookViewId="0"/>
  </sheetViews>
  <sheetFormatPr defaultRowHeight="15" x14ac:dyDescent="0.25"/>
  <cols>
    <col min="1" max="1" width="9.140625" style="388"/>
    <col min="2" max="2" width="12.42578125" bestFit="1" customWidth="1"/>
    <col min="3" max="3" width="9.85546875" customWidth="1"/>
    <col min="4" max="4" width="10.28515625" customWidth="1"/>
    <col min="5" max="5" width="9.42578125" customWidth="1"/>
    <col min="6" max="6" width="10.85546875" customWidth="1"/>
    <col min="7" max="7" width="10.7109375" customWidth="1"/>
    <col min="8" max="8" width="9.5703125" customWidth="1"/>
    <col min="9" max="9" width="12.28515625" customWidth="1"/>
    <col min="10" max="10" width="9.5703125" customWidth="1"/>
    <col min="11" max="11" width="11" customWidth="1"/>
    <col min="12" max="12" width="10.42578125" bestFit="1" customWidth="1"/>
  </cols>
  <sheetData>
    <row r="1" spans="1:47" s="388" customFormat="1" ht="18" x14ac:dyDescent="0.25">
      <c r="A1" s="425" t="s">
        <v>453</v>
      </c>
    </row>
    <row r="2" spans="1:47" s="388" customFormat="1" x14ac:dyDescent="0.25"/>
    <row r="3" spans="1:47" s="388" customFormat="1" ht="18" x14ac:dyDescent="0.25">
      <c r="B3" s="406" t="s">
        <v>454</v>
      </c>
    </row>
    <row r="4" spans="1:47" x14ac:dyDescent="0.25">
      <c r="B4" s="8"/>
      <c r="C4" s="9" t="s">
        <v>136</v>
      </c>
      <c r="D4" s="10"/>
      <c r="E4" s="9" t="s">
        <v>137</v>
      </c>
      <c r="F4" s="9"/>
      <c r="G4" s="9"/>
      <c r="H4" s="9"/>
      <c r="I4" s="9" t="s">
        <v>1</v>
      </c>
      <c r="J4" s="9" t="s">
        <v>138</v>
      </c>
      <c r="K4" s="9"/>
      <c r="L4" s="10"/>
      <c r="M4" s="11"/>
      <c r="N4" s="388"/>
      <c r="O4" s="388"/>
      <c r="P4" s="388"/>
      <c r="Q4" s="388"/>
      <c r="R4" s="388"/>
      <c r="S4" s="388"/>
      <c r="T4" s="388"/>
      <c r="U4" s="388"/>
      <c r="V4" s="388"/>
      <c r="W4" s="388"/>
      <c r="X4" s="388"/>
      <c r="Y4" s="388"/>
      <c r="Z4" s="388"/>
      <c r="AA4" s="388"/>
      <c r="AB4" s="388"/>
      <c r="AC4" s="388"/>
      <c r="AD4" s="388"/>
      <c r="AE4" s="388"/>
      <c r="AF4" s="388"/>
      <c r="AG4" s="388"/>
      <c r="AH4" s="388"/>
      <c r="AI4" s="388"/>
      <c r="AJ4" s="388"/>
      <c r="AK4" s="388"/>
      <c r="AL4" s="388"/>
      <c r="AM4" s="388"/>
      <c r="AN4" s="388"/>
      <c r="AO4" s="388"/>
      <c r="AP4" s="388"/>
      <c r="AQ4" s="388"/>
      <c r="AR4" s="388"/>
      <c r="AS4" s="388"/>
      <c r="AT4" s="388"/>
      <c r="AU4" s="388"/>
    </row>
    <row r="5" spans="1:47" x14ac:dyDescent="0.25">
      <c r="B5" s="116" t="s">
        <v>455</v>
      </c>
      <c r="C5" s="3"/>
      <c r="D5" s="3"/>
      <c r="E5" s="3"/>
      <c r="F5" s="3"/>
      <c r="G5" s="3"/>
      <c r="H5" s="3"/>
      <c r="I5" s="3"/>
      <c r="J5" s="3"/>
      <c r="K5" s="3"/>
      <c r="L5" s="3"/>
      <c r="M5" s="71"/>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8"/>
      <c r="AP5" s="388"/>
      <c r="AQ5" s="388"/>
      <c r="AR5" s="388"/>
      <c r="AS5" s="388"/>
      <c r="AT5" s="388"/>
      <c r="AU5" s="388"/>
    </row>
    <row r="6" spans="1:47" x14ac:dyDescent="0.25">
      <c r="B6" s="15"/>
      <c r="C6" s="31" t="s">
        <v>2</v>
      </c>
      <c r="D6" s="48"/>
      <c r="E6" s="19">
        <v>1</v>
      </c>
      <c r="F6" s="206" t="s">
        <v>456</v>
      </c>
      <c r="G6" s="3"/>
      <c r="H6" s="3"/>
      <c r="I6" s="244">
        <f ca="1">10^(Titre_1-BOunit)</f>
        <v>4.6773514128725015E-3</v>
      </c>
      <c r="J6" s="75" t="s">
        <v>457</v>
      </c>
      <c r="K6" s="3"/>
      <c r="L6" s="3"/>
      <c r="M6" s="14"/>
      <c r="N6" s="388"/>
      <c r="O6" s="388"/>
      <c r="P6" s="388"/>
      <c r="Q6" s="388"/>
      <c r="R6" s="388"/>
      <c r="S6" s="388"/>
      <c r="T6" s="388"/>
      <c r="U6" s="388"/>
      <c r="V6" s="388"/>
      <c r="W6" s="388"/>
      <c r="X6" s="388"/>
      <c r="Y6" s="388"/>
      <c r="Z6" s="388"/>
      <c r="AA6" s="388"/>
      <c r="AB6" s="388"/>
      <c r="AC6" s="388"/>
      <c r="AD6" s="388"/>
      <c r="AE6" s="388"/>
      <c r="AF6" s="388"/>
      <c r="AG6" s="388"/>
      <c r="AH6" s="388"/>
      <c r="AI6" s="388"/>
      <c r="AJ6" s="388"/>
      <c r="AK6" s="388"/>
      <c r="AL6" s="388"/>
      <c r="AM6" s="388"/>
      <c r="AN6" s="388"/>
      <c r="AO6" s="388"/>
      <c r="AP6" s="388"/>
      <c r="AQ6" s="388"/>
      <c r="AR6" s="388"/>
      <c r="AS6" s="388"/>
      <c r="AT6" s="388"/>
      <c r="AU6" s="388"/>
    </row>
    <row r="7" spans="1:47" x14ac:dyDescent="0.25">
      <c r="B7" s="15"/>
      <c r="C7" s="31" t="s">
        <v>3</v>
      </c>
      <c r="D7" s="48"/>
      <c r="E7" s="206">
        <v>2</v>
      </c>
      <c r="F7" s="206" t="s">
        <v>458</v>
      </c>
      <c r="G7" s="3"/>
      <c r="H7" s="3"/>
      <c r="I7" s="244">
        <f ca="1">10^(Titre_2-BOunit)</f>
        <v>8.6752852687131695E-7</v>
      </c>
      <c r="J7" s="75" t="s">
        <v>457</v>
      </c>
      <c r="K7" s="3"/>
      <c r="L7" s="3"/>
      <c r="M7" s="14"/>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8"/>
      <c r="AP7" s="388"/>
      <c r="AQ7" s="388"/>
      <c r="AR7" s="388"/>
      <c r="AS7" s="388"/>
      <c r="AT7" s="388"/>
      <c r="AU7" s="388"/>
    </row>
    <row r="8" spans="1:47" x14ac:dyDescent="0.25">
      <c r="B8" s="15"/>
      <c r="C8" s="75" t="s">
        <v>206</v>
      </c>
      <c r="D8" s="48"/>
      <c r="E8" s="206" t="s">
        <v>207</v>
      </c>
      <c r="F8" s="206" t="s">
        <v>459</v>
      </c>
      <c r="G8" s="3"/>
      <c r="H8" s="3"/>
      <c r="I8" s="244">
        <f ca="1">10^(Titre_3i-BOunit)</f>
        <v>4.6773514128725015E-3</v>
      </c>
      <c r="J8" s="75" t="s">
        <v>457</v>
      </c>
      <c r="K8" s="3"/>
      <c r="L8" s="3"/>
      <c r="M8" s="14"/>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8"/>
      <c r="AP8" s="388"/>
      <c r="AQ8" s="388"/>
      <c r="AR8" s="388"/>
      <c r="AS8" s="388"/>
      <c r="AT8" s="388"/>
      <c r="AU8" s="388"/>
    </row>
    <row r="9" spans="1:47" x14ac:dyDescent="0.25">
      <c r="B9" s="15"/>
      <c r="C9" s="75" t="s">
        <v>209</v>
      </c>
      <c r="D9" s="48"/>
      <c r="E9" s="206" t="s">
        <v>210</v>
      </c>
      <c r="F9" s="206" t="s">
        <v>460</v>
      </c>
      <c r="G9" s="3"/>
      <c r="H9" s="3"/>
      <c r="I9" s="244">
        <f ca="1">10^(Titre_3ii-BOunit)</f>
        <v>8.6752852687131695E-7</v>
      </c>
      <c r="J9" s="75" t="s">
        <v>457</v>
      </c>
      <c r="K9" s="3"/>
      <c r="L9" s="3"/>
      <c r="M9" s="14"/>
      <c r="N9" s="388"/>
      <c r="O9" s="388"/>
      <c r="P9" s="388"/>
      <c r="Q9" s="388"/>
      <c r="R9" s="388"/>
      <c r="S9" s="388"/>
      <c r="T9" s="388"/>
      <c r="U9" s="388"/>
      <c r="V9" s="388"/>
      <c r="W9" s="388"/>
      <c r="X9" s="388"/>
      <c r="Y9" s="388"/>
      <c r="Z9" s="388"/>
      <c r="AA9" s="388"/>
      <c r="AB9" s="388"/>
      <c r="AC9" s="388"/>
      <c r="AD9" s="388"/>
      <c r="AE9" s="388"/>
      <c r="AF9" s="388"/>
      <c r="AG9" s="388"/>
      <c r="AH9" s="388"/>
      <c r="AI9" s="388"/>
      <c r="AJ9" s="388"/>
      <c r="AK9" s="388"/>
      <c r="AL9" s="388"/>
      <c r="AM9" s="388"/>
      <c r="AN9" s="388"/>
      <c r="AO9" s="388"/>
      <c r="AP9" s="388"/>
      <c r="AQ9" s="388"/>
      <c r="AR9" s="388"/>
      <c r="AS9" s="388"/>
      <c r="AT9" s="388"/>
      <c r="AU9" s="388"/>
    </row>
    <row r="10" spans="1:47" x14ac:dyDescent="0.25">
      <c r="B10" s="15"/>
      <c r="C10" s="31" t="s">
        <v>4</v>
      </c>
      <c r="D10" s="48"/>
      <c r="E10" s="206">
        <v>4</v>
      </c>
      <c r="F10" s="206" t="s">
        <v>461</v>
      </c>
      <c r="G10" s="3"/>
      <c r="H10" s="3"/>
      <c r="I10" s="244">
        <f ca="1">10^(Titre_4-BOunit)</f>
        <v>4.6773514128725015E-3</v>
      </c>
      <c r="J10" s="75" t="s">
        <v>457</v>
      </c>
      <c r="K10" s="3"/>
      <c r="L10" s="3"/>
      <c r="M10" s="14"/>
      <c r="N10" s="388"/>
      <c r="O10" s="388"/>
      <c r="P10" s="388"/>
      <c r="Q10" s="388"/>
      <c r="R10" s="388"/>
      <c r="S10" s="388"/>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row>
    <row r="11" spans="1:47" x14ac:dyDescent="0.25">
      <c r="B11" s="15"/>
      <c r="C11" s="31" t="s">
        <v>5</v>
      </c>
      <c r="D11" s="48"/>
      <c r="E11" s="19">
        <v>5</v>
      </c>
      <c r="F11" s="206" t="s">
        <v>462</v>
      </c>
      <c r="G11" s="3"/>
      <c r="H11" s="3"/>
      <c r="I11" s="244">
        <f ca="1">10^(Titre_5-BOunit)</f>
        <v>8.6752852687131695E-7</v>
      </c>
      <c r="J11" s="75" t="s">
        <v>457</v>
      </c>
      <c r="K11" s="3"/>
      <c r="L11" s="3"/>
      <c r="M11" s="14"/>
      <c r="N11" s="388"/>
      <c r="O11" s="388"/>
      <c r="P11" s="388"/>
      <c r="Q11" s="388"/>
      <c r="R11" s="388"/>
      <c r="S11" s="388"/>
      <c r="T11" s="388"/>
      <c r="U11" s="388"/>
      <c r="V11" s="388"/>
      <c r="W11" s="388"/>
      <c r="X11" s="388"/>
      <c r="Y11" s="388"/>
      <c r="Z11" s="388"/>
      <c r="AA11" s="388"/>
      <c r="AB11" s="388"/>
      <c r="AC11" s="388"/>
      <c r="AD11" s="388"/>
      <c r="AE11" s="388"/>
      <c r="AF11" s="388"/>
      <c r="AG11" s="388"/>
      <c r="AH11" s="388"/>
      <c r="AI11" s="388"/>
      <c r="AJ11" s="388"/>
      <c r="AK11" s="388"/>
      <c r="AL11" s="388"/>
      <c r="AM11" s="388"/>
      <c r="AN11" s="388"/>
      <c r="AO11" s="388"/>
      <c r="AP11" s="388"/>
      <c r="AQ11" s="388"/>
      <c r="AR11" s="388"/>
      <c r="AS11" s="388"/>
      <c r="AT11" s="388"/>
      <c r="AU11" s="388"/>
    </row>
    <row r="12" spans="1:47" x14ac:dyDescent="0.25">
      <c r="B12" s="15"/>
      <c r="C12" s="31" t="s">
        <v>214</v>
      </c>
      <c r="D12" s="48"/>
      <c r="E12" s="206">
        <v>6</v>
      </c>
      <c r="F12" s="206" t="s">
        <v>463</v>
      </c>
      <c r="G12" s="3"/>
      <c r="H12" s="3"/>
      <c r="I12" s="244">
        <f ca="1">10^(Titre_6-BOunit)</f>
        <v>1.9905358527676967E-10</v>
      </c>
      <c r="J12" s="75" t="s">
        <v>457</v>
      </c>
      <c r="K12" s="3"/>
      <c r="L12" s="3"/>
      <c r="M12" s="14"/>
      <c r="N12" s="388"/>
      <c r="O12" s="388"/>
      <c r="P12" s="388"/>
      <c r="Q12" s="388"/>
      <c r="R12" s="388"/>
      <c r="S12" s="38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row>
    <row r="13" spans="1:47" x14ac:dyDescent="0.25">
      <c r="B13" s="15"/>
      <c r="C13" s="31" t="s">
        <v>6</v>
      </c>
      <c r="D13" s="48"/>
      <c r="E13" s="19">
        <v>7</v>
      </c>
      <c r="F13" s="206" t="s">
        <v>464</v>
      </c>
      <c r="G13" s="3"/>
      <c r="H13" s="3"/>
      <c r="I13" s="244">
        <f ca="1">10^(Titre_7-BOunit)</f>
        <v>2.1122098743389859E-6</v>
      </c>
      <c r="J13" s="75" t="s">
        <v>457</v>
      </c>
      <c r="K13" s="3"/>
      <c r="L13" s="3"/>
      <c r="M13" s="14"/>
      <c r="N13" s="388"/>
      <c r="O13" s="388"/>
      <c r="P13" s="388"/>
      <c r="Q13" s="388"/>
      <c r="R13" s="388"/>
      <c r="S13" s="388"/>
      <c r="T13" s="388"/>
      <c r="U13" s="388"/>
      <c r="V13" s="388"/>
      <c r="W13" s="388"/>
      <c r="X13" s="388"/>
      <c r="Y13" s="388"/>
      <c r="Z13" s="388"/>
      <c r="AA13" s="388"/>
      <c r="AB13" s="388"/>
      <c r="AC13" s="388"/>
      <c r="AD13" s="388"/>
      <c r="AE13" s="388"/>
      <c r="AF13" s="388"/>
      <c r="AG13" s="388"/>
      <c r="AH13" s="388"/>
      <c r="AI13" s="388"/>
      <c r="AJ13" s="388"/>
      <c r="AK13" s="388"/>
      <c r="AL13" s="388"/>
      <c r="AM13" s="388"/>
      <c r="AN13" s="388"/>
      <c r="AO13" s="388"/>
      <c r="AP13" s="388"/>
      <c r="AQ13" s="388"/>
      <c r="AR13" s="388"/>
      <c r="AS13" s="388"/>
      <c r="AT13" s="388"/>
      <c r="AU13" s="388"/>
    </row>
    <row r="14" spans="1:47" x14ac:dyDescent="0.25">
      <c r="B14" s="20"/>
      <c r="C14" s="130" t="s">
        <v>217</v>
      </c>
      <c r="D14" s="225"/>
      <c r="E14" s="245">
        <v>8</v>
      </c>
      <c r="F14" s="245" t="s">
        <v>465</v>
      </c>
      <c r="G14" s="21"/>
      <c r="H14" s="21"/>
      <c r="I14" s="246">
        <f ca="1">10^(Titre_8-BOunit)</f>
        <v>1.0144436931224057E-5</v>
      </c>
      <c r="J14" s="80" t="s">
        <v>457</v>
      </c>
      <c r="K14" s="21"/>
      <c r="L14" s="21"/>
      <c r="M14" s="25"/>
      <c r="N14" s="388"/>
      <c r="O14" s="388"/>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8"/>
      <c r="AT14" s="388"/>
      <c r="AU14" s="388"/>
    </row>
    <row r="15" spans="1:47" x14ac:dyDescent="0.25">
      <c r="B15" s="247" t="s">
        <v>466</v>
      </c>
      <c r="C15" s="10"/>
      <c r="D15" s="57"/>
      <c r="E15" s="57"/>
      <c r="F15" s="248"/>
      <c r="G15" s="57"/>
      <c r="H15" s="57"/>
      <c r="I15" s="57"/>
      <c r="J15" s="249"/>
      <c r="K15" s="101" t="s">
        <v>467</v>
      </c>
      <c r="L15" s="48"/>
      <c r="M15" s="14"/>
      <c r="N15" s="388"/>
      <c r="O15" s="388"/>
      <c r="P15" s="388"/>
      <c r="Q15" s="388"/>
      <c r="R15" s="388"/>
      <c r="S15" s="388"/>
      <c r="T15" s="388"/>
      <c r="U15" s="388"/>
      <c r="V15" s="388"/>
      <c r="W15" s="388"/>
      <c r="X15" s="388"/>
      <c r="Y15" s="388"/>
      <c r="Z15" s="388"/>
      <c r="AA15" s="388"/>
      <c r="AB15" s="388"/>
      <c r="AC15" s="388"/>
      <c r="AD15" s="388"/>
      <c r="AE15" s="388"/>
      <c r="AF15" s="388"/>
      <c r="AG15" s="388"/>
      <c r="AH15" s="388"/>
      <c r="AI15" s="388"/>
      <c r="AJ15" s="388"/>
      <c r="AK15" s="388"/>
      <c r="AL15" s="388"/>
      <c r="AM15" s="388"/>
      <c r="AN15" s="388"/>
      <c r="AO15" s="388"/>
      <c r="AP15" s="388"/>
      <c r="AQ15" s="388"/>
      <c r="AR15" s="388"/>
      <c r="AS15" s="388"/>
      <c r="AT15" s="388"/>
      <c r="AU15" s="388"/>
    </row>
    <row r="16" spans="1:47" x14ac:dyDescent="0.25">
      <c r="B16" s="15"/>
      <c r="C16" s="31" t="s">
        <v>2</v>
      </c>
      <c r="D16" s="48"/>
      <c r="E16" s="19">
        <v>1</v>
      </c>
      <c r="F16" s="206" t="s">
        <v>468</v>
      </c>
      <c r="G16" s="3"/>
      <c r="H16" s="3"/>
      <c r="I16" s="77">
        <f ca="1">Titre_1_m</f>
        <v>0.37</v>
      </c>
      <c r="J16" s="250" t="s">
        <v>469</v>
      </c>
      <c r="K16" s="251">
        <f ca="1">Titre_1+Tgunit</f>
        <v>5.1306186288470279</v>
      </c>
      <c r="L16" s="75" t="s">
        <v>470</v>
      </c>
      <c r="M16" s="71"/>
      <c r="N16" s="388"/>
      <c r="O16" s="388"/>
      <c r="P16" s="388"/>
      <c r="Q16" s="388"/>
      <c r="R16" s="388"/>
      <c r="S16" s="388"/>
      <c r="T16" s="388"/>
      <c r="U16" s="388"/>
      <c r="V16" s="388"/>
      <c r="W16" s="388"/>
      <c r="X16" s="388"/>
      <c r="Y16" s="388"/>
      <c r="Z16" s="388"/>
      <c r="AA16" s="388"/>
      <c r="AB16" s="388"/>
      <c r="AC16" s="388"/>
      <c r="AD16" s="388"/>
      <c r="AE16" s="388"/>
      <c r="AF16" s="388"/>
      <c r="AG16" s="388"/>
      <c r="AH16" s="388"/>
      <c r="AI16" s="388"/>
      <c r="AJ16" s="388"/>
      <c r="AK16" s="388"/>
      <c r="AL16" s="388"/>
      <c r="AM16" s="388"/>
      <c r="AN16" s="388"/>
      <c r="AO16" s="388"/>
      <c r="AP16" s="388"/>
      <c r="AQ16" s="388"/>
      <c r="AR16" s="388"/>
      <c r="AS16" s="388"/>
      <c r="AT16" s="388"/>
      <c r="AU16" s="388"/>
    </row>
    <row r="17" spans="2:47" x14ac:dyDescent="0.25">
      <c r="B17" s="15"/>
      <c r="C17" s="31" t="s">
        <v>3</v>
      </c>
      <c r="D17" s="48"/>
      <c r="E17" s="206">
        <v>2</v>
      </c>
      <c r="F17" s="206" t="s">
        <v>471</v>
      </c>
      <c r="G17" s="3"/>
      <c r="H17" s="3"/>
      <c r="I17" s="252">
        <f ca="1">Titre_1_m-Titre_lower</f>
        <v>-3.3617162354315426</v>
      </c>
      <c r="J17" s="250" t="s">
        <v>469</v>
      </c>
      <c r="K17" s="251">
        <f ca="1">Titre_2+Tgunit</f>
        <v>1.3989023934154852</v>
      </c>
      <c r="L17" s="75" t="s">
        <v>470</v>
      </c>
      <c r="M17" s="14"/>
      <c r="N17" s="388"/>
      <c r="O17" s="388"/>
      <c r="P17" s="388"/>
      <c r="Q17" s="388"/>
      <c r="R17" s="388"/>
      <c r="S17" s="388"/>
      <c r="T17" s="388"/>
      <c r="U17" s="388"/>
      <c r="V17" s="388"/>
      <c r="W17" s="388"/>
      <c r="X17" s="388"/>
      <c r="Y17" s="388"/>
      <c r="Z17" s="388"/>
      <c r="AA17" s="388"/>
      <c r="AB17" s="388"/>
      <c r="AC17" s="388"/>
      <c r="AD17" s="388"/>
      <c r="AE17" s="388"/>
      <c r="AF17" s="388"/>
      <c r="AG17" s="388"/>
      <c r="AH17" s="388"/>
      <c r="AI17" s="388"/>
      <c r="AJ17" s="388"/>
      <c r="AK17" s="388"/>
      <c r="AL17" s="388"/>
      <c r="AM17" s="388"/>
      <c r="AN17" s="388"/>
      <c r="AO17" s="388"/>
      <c r="AP17" s="388"/>
      <c r="AQ17" s="388"/>
      <c r="AR17" s="388"/>
      <c r="AS17" s="388"/>
      <c r="AT17" s="388"/>
      <c r="AU17" s="388"/>
    </row>
    <row r="18" spans="2:47" x14ac:dyDescent="0.25">
      <c r="B18" s="15"/>
      <c r="C18" s="75" t="s">
        <v>206</v>
      </c>
      <c r="D18" s="48"/>
      <c r="E18" s="206" t="s">
        <v>207</v>
      </c>
      <c r="F18" s="206" t="s">
        <v>472</v>
      </c>
      <c r="G18" s="3"/>
      <c r="H18" s="3"/>
      <c r="I18" s="77">
        <f ca="1">Titre_1</f>
        <v>0.37</v>
      </c>
      <c r="J18" s="250" t="s">
        <v>469</v>
      </c>
      <c r="K18" s="251">
        <f ca="1">Titre_3i+Tgunit</f>
        <v>5.1306186288470279</v>
      </c>
      <c r="L18" s="75" t="s">
        <v>470</v>
      </c>
      <c r="M18" s="14"/>
      <c r="N18" s="388"/>
      <c r="O18" s="388"/>
      <c r="P18" s="388"/>
      <c r="Q18" s="388"/>
      <c r="R18" s="388"/>
      <c r="S18" s="388"/>
      <c r="T18" s="388"/>
      <c r="U18" s="388"/>
      <c r="V18" s="388"/>
      <c r="W18" s="388"/>
      <c r="X18" s="388"/>
      <c r="Y18" s="388"/>
      <c r="Z18" s="388"/>
      <c r="AA18" s="388"/>
      <c r="AB18" s="388"/>
      <c r="AC18" s="388"/>
      <c r="AD18" s="388"/>
      <c r="AE18" s="388"/>
      <c r="AF18" s="388"/>
      <c r="AG18" s="388"/>
      <c r="AH18" s="388"/>
      <c r="AI18" s="388"/>
      <c r="AJ18" s="388"/>
      <c r="AK18" s="388"/>
      <c r="AL18" s="388"/>
      <c r="AM18" s="388"/>
      <c r="AN18" s="388"/>
      <c r="AO18" s="388"/>
      <c r="AP18" s="388"/>
      <c r="AQ18" s="388"/>
      <c r="AR18" s="388"/>
      <c r="AS18" s="388"/>
      <c r="AT18" s="388"/>
      <c r="AU18" s="388"/>
    </row>
    <row r="19" spans="2:47" x14ac:dyDescent="0.25">
      <c r="B19" s="15"/>
      <c r="C19" s="75" t="s">
        <v>209</v>
      </c>
      <c r="D19" s="48"/>
      <c r="E19" s="206" t="s">
        <v>210</v>
      </c>
      <c r="F19" s="206" t="s">
        <v>473</v>
      </c>
      <c r="G19" s="3"/>
      <c r="H19" s="3"/>
      <c r="I19" s="77">
        <f ca="1">Titre_1_m-Titre_lower</f>
        <v>-3.3617162354315426</v>
      </c>
      <c r="J19" s="250" t="s">
        <v>469</v>
      </c>
      <c r="K19" s="251">
        <f ca="1">Titre_3ii+Tgunit</f>
        <v>1.3989023934154852</v>
      </c>
      <c r="L19" s="75" t="s">
        <v>470</v>
      </c>
      <c r="M19" s="14"/>
      <c r="N19" s="388"/>
      <c r="O19" s="388"/>
      <c r="P19" s="388"/>
      <c r="Q19" s="388"/>
      <c r="R19" s="388"/>
      <c r="S19" s="388"/>
      <c r="T19" s="388"/>
      <c r="U19" s="388"/>
      <c r="V19" s="388"/>
      <c r="W19" s="388"/>
      <c r="X19" s="388"/>
      <c r="Y19" s="388"/>
      <c r="Z19" s="388"/>
      <c r="AA19" s="388"/>
      <c r="AB19" s="388"/>
      <c r="AC19" s="388"/>
      <c r="AD19" s="388"/>
      <c r="AE19" s="388"/>
      <c r="AF19" s="388"/>
      <c r="AG19" s="388"/>
      <c r="AH19" s="388"/>
      <c r="AI19" s="388"/>
      <c r="AJ19" s="388"/>
      <c r="AK19" s="388"/>
      <c r="AL19" s="388"/>
      <c r="AM19" s="388"/>
      <c r="AN19" s="388"/>
      <c r="AO19" s="388"/>
      <c r="AP19" s="388"/>
      <c r="AQ19" s="388"/>
      <c r="AR19" s="388"/>
      <c r="AS19" s="388"/>
      <c r="AT19" s="388"/>
      <c r="AU19" s="388"/>
    </row>
    <row r="20" spans="2:47" x14ac:dyDescent="0.25">
      <c r="B20" s="15"/>
      <c r="C20" s="31" t="s">
        <v>4</v>
      </c>
      <c r="D20" s="48"/>
      <c r="E20" s="206">
        <v>4</v>
      </c>
      <c r="F20" s="206" t="s">
        <v>474</v>
      </c>
      <c r="G20" s="3"/>
      <c r="H20" s="3"/>
      <c r="I20" s="77">
        <f ca="1">Titre_1</f>
        <v>0.37</v>
      </c>
      <c r="J20" s="250" t="s">
        <v>469</v>
      </c>
      <c r="K20" s="251">
        <f ca="1">Titre_4+Tgunit</f>
        <v>5.1306186288470279</v>
      </c>
      <c r="L20" s="75" t="s">
        <v>470</v>
      </c>
      <c r="M20" s="14"/>
      <c r="N20" s="388"/>
      <c r="O20" s="388"/>
      <c r="P20" s="388"/>
      <c r="Q20" s="388"/>
      <c r="R20" s="388"/>
      <c r="S20" s="388"/>
      <c r="T20" s="388"/>
      <c r="U20" s="388"/>
      <c r="V20" s="388"/>
      <c r="W20" s="388"/>
      <c r="X20" s="388"/>
      <c r="Y20" s="388"/>
      <c r="Z20" s="388"/>
      <c r="AA20" s="388"/>
      <c r="AB20" s="388"/>
      <c r="AC20" s="388"/>
      <c r="AD20" s="388"/>
      <c r="AE20" s="388"/>
      <c r="AF20" s="388"/>
      <c r="AG20" s="388"/>
      <c r="AH20" s="388"/>
      <c r="AI20" s="388"/>
      <c r="AJ20" s="388"/>
      <c r="AK20" s="388"/>
      <c r="AL20" s="388"/>
      <c r="AM20" s="388"/>
      <c r="AN20" s="388"/>
      <c r="AO20" s="388"/>
      <c r="AP20" s="388"/>
      <c r="AQ20" s="388"/>
      <c r="AR20" s="388"/>
      <c r="AS20" s="388"/>
      <c r="AT20" s="388"/>
      <c r="AU20" s="388"/>
    </row>
    <row r="21" spans="2:47" x14ac:dyDescent="0.25">
      <c r="B21" s="15"/>
      <c r="C21" s="31" t="s">
        <v>5</v>
      </c>
      <c r="D21" s="48"/>
      <c r="E21" s="206">
        <v>5</v>
      </c>
      <c r="F21" s="206" t="s">
        <v>475</v>
      </c>
      <c r="G21" s="3"/>
      <c r="H21" s="3"/>
      <c r="I21" s="77">
        <f ca="1">Titre_1_m-Titre_lower</f>
        <v>-3.3617162354315426</v>
      </c>
      <c r="J21" s="250" t="s">
        <v>469</v>
      </c>
      <c r="K21" s="251">
        <f ca="1">Titre_5+Tgunit</f>
        <v>1.3989023934154852</v>
      </c>
      <c r="L21" s="75" t="s">
        <v>470</v>
      </c>
      <c r="M21" s="14"/>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row>
    <row r="22" spans="2:47" x14ac:dyDescent="0.25">
      <c r="B22" s="15"/>
      <c r="C22" s="31" t="s">
        <v>214</v>
      </c>
      <c r="D22" s="48"/>
      <c r="E22" s="206">
        <v>6</v>
      </c>
      <c r="F22" s="206" t="s">
        <v>476</v>
      </c>
      <c r="G22" s="3"/>
      <c r="H22" s="3"/>
      <c r="I22" s="77">
        <f ca="1">Titre_6_m</f>
        <v>-7.0010299956639814</v>
      </c>
      <c r="J22" s="250" t="s">
        <v>469</v>
      </c>
      <c r="K22" s="251">
        <f ca="1">Titre_6+Tgunit</f>
        <v>-2.2404113668169536</v>
      </c>
      <c r="L22" s="75" t="s">
        <v>470</v>
      </c>
      <c r="M22" s="14"/>
      <c r="N22" s="388"/>
      <c r="O22" s="388"/>
      <c r="P22" s="388"/>
      <c r="Q22" s="388"/>
      <c r="R22" s="388"/>
      <c r="S22" s="388"/>
      <c r="T22" s="388"/>
      <c r="U22" s="388"/>
      <c r="V22" s="388"/>
      <c r="W22" s="388"/>
      <c r="X22" s="388"/>
      <c r="Y22" s="388"/>
      <c r="Z22" s="388"/>
      <c r="AA22" s="388"/>
      <c r="AB22" s="388"/>
      <c r="AC22" s="388"/>
      <c r="AD22" s="388"/>
      <c r="AE22" s="388"/>
      <c r="AF22" s="388"/>
      <c r="AG22" s="388"/>
      <c r="AH22" s="388"/>
      <c r="AI22" s="388"/>
      <c r="AJ22" s="388"/>
      <c r="AK22" s="388"/>
      <c r="AL22" s="388"/>
      <c r="AM22" s="388"/>
      <c r="AN22" s="388"/>
      <c r="AO22" s="388"/>
      <c r="AP22" s="388"/>
      <c r="AQ22" s="388"/>
      <c r="AR22" s="388"/>
      <c r="AS22" s="388"/>
      <c r="AT22" s="388"/>
      <c r="AU22" s="388"/>
    </row>
    <row r="23" spans="2:47" x14ac:dyDescent="0.25">
      <c r="B23" s="15"/>
      <c r="C23" s="31" t="s">
        <v>6</v>
      </c>
      <c r="D23" s="48"/>
      <c r="E23" s="206">
        <v>7</v>
      </c>
      <c r="F23" s="206" t="s">
        <v>477</v>
      </c>
      <c r="G23" s="3"/>
      <c r="H23" s="3"/>
      <c r="I23" s="77">
        <f ca="1">Titre_7_m</f>
        <v>-2.9752629314323746</v>
      </c>
      <c r="J23" s="250" t="s">
        <v>469</v>
      </c>
      <c r="K23" s="251">
        <f ca="1">Titre_7+Tgunit</f>
        <v>1.7853556974146532</v>
      </c>
      <c r="L23" s="75" t="s">
        <v>470</v>
      </c>
      <c r="M23" s="14"/>
      <c r="N23" s="388"/>
      <c r="O23" s="388"/>
      <c r="P23" s="388"/>
      <c r="Q23" s="388"/>
      <c r="R23" s="388"/>
      <c r="S23" s="388"/>
      <c r="T23" s="388"/>
      <c r="U23" s="388"/>
      <c r="V23" s="388"/>
      <c r="W23" s="388"/>
      <c r="X23" s="388"/>
      <c r="Y23" s="388"/>
      <c r="Z23" s="388"/>
      <c r="AA23" s="388"/>
      <c r="AB23" s="388"/>
      <c r="AC23" s="388"/>
      <c r="AD23" s="388"/>
      <c r="AE23" s="388"/>
      <c r="AF23" s="388"/>
      <c r="AG23" s="388"/>
      <c r="AH23" s="388"/>
      <c r="AI23" s="388"/>
      <c r="AJ23" s="388"/>
      <c r="AK23" s="388"/>
      <c r="AL23" s="388"/>
      <c r="AM23" s="388"/>
      <c r="AN23" s="388"/>
      <c r="AO23" s="388"/>
      <c r="AP23" s="388"/>
      <c r="AQ23" s="388"/>
      <c r="AR23" s="388"/>
      <c r="AS23" s="388"/>
      <c r="AT23" s="388"/>
      <c r="AU23" s="388"/>
    </row>
    <row r="24" spans="2:47" x14ac:dyDescent="0.25">
      <c r="B24" s="20"/>
      <c r="C24" s="130" t="s">
        <v>217</v>
      </c>
      <c r="D24" s="225"/>
      <c r="E24" s="245">
        <v>8</v>
      </c>
      <c r="F24" s="245" t="s">
        <v>478</v>
      </c>
      <c r="G24" s="21"/>
      <c r="H24" s="21"/>
      <c r="I24" s="253">
        <f ca="1">Titre_8_m</f>
        <v>-2.2937720535541679</v>
      </c>
      <c r="J24" s="254" t="s">
        <v>469</v>
      </c>
      <c r="K24" s="255">
        <f ca="1">Titre_8+Tgunit</f>
        <v>2.4668465752928599</v>
      </c>
      <c r="L24" s="80" t="s">
        <v>470</v>
      </c>
      <c r="M24" s="25"/>
      <c r="N24" s="388"/>
      <c r="O24" s="388"/>
      <c r="P24" s="388"/>
      <c r="Q24" s="388"/>
      <c r="R24" s="388"/>
      <c r="S24" s="388"/>
      <c r="T24" s="388"/>
      <c r="U24" s="388"/>
      <c r="V24" s="388"/>
      <c r="W24" s="388"/>
      <c r="X24" s="388"/>
      <c r="Y24" s="388"/>
      <c r="Z24" s="388"/>
      <c r="AA24" s="388"/>
      <c r="AB24" s="388"/>
      <c r="AC24" s="388"/>
      <c r="AD24" s="388"/>
      <c r="AE24" s="388"/>
      <c r="AF24" s="388"/>
      <c r="AG24" s="388"/>
      <c r="AH24" s="388"/>
      <c r="AI24" s="388"/>
      <c r="AJ24" s="388"/>
      <c r="AK24" s="388"/>
      <c r="AL24" s="388"/>
      <c r="AM24" s="388"/>
      <c r="AN24" s="388"/>
      <c r="AO24" s="388"/>
      <c r="AP24" s="388"/>
      <c r="AQ24" s="388"/>
      <c r="AR24" s="388"/>
      <c r="AS24" s="388"/>
      <c r="AT24" s="388"/>
      <c r="AU24" s="388"/>
    </row>
    <row r="25" spans="2:47" s="388" customFormat="1" x14ac:dyDescent="0.25"/>
    <row r="26" spans="2:47" s="388" customFormat="1" ht="18" x14ac:dyDescent="0.25">
      <c r="B26" s="425" t="s">
        <v>219</v>
      </c>
      <c r="E26" s="407"/>
    </row>
    <row r="27" spans="2:47" s="388" customFormat="1" x14ac:dyDescent="0.25"/>
    <row r="28" spans="2:47" x14ac:dyDescent="0.25">
      <c r="B28" s="86" t="s">
        <v>479</v>
      </c>
      <c r="C28" s="256" t="s">
        <v>480</v>
      </c>
      <c r="D28" s="88" t="s">
        <v>481</v>
      </c>
      <c r="E28" s="88" t="s">
        <v>137</v>
      </c>
      <c r="F28" s="88" t="s">
        <v>153</v>
      </c>
      <c r="G28" s="9" t="s">
        <v>420</v>
      </c>
      <c r="H28" s="88" t="s">
        <v>481</v>
      </c>
      <c r="I28" s="88" t="s">
        <v>1</v>
      </c>
      <c r="J28" s="88" t="s">
        <v>138</v>
      </c>
      <c r="K28" s="10"/>
      <c r="L28" s="257" t="s">
        <v>139</v>
      </c>
      <c r="M28" s="388"/>
      <c r="N28" s="388"/>
      <c r="O28" s="388"/>
      <c r="P28" s="388"/>
      <c r="Q28" s="388"/>
      <c r="R28" s="388"/>
      <c r="S28" s="388"/>
      <c r="T28" s="388"/>
      <c r="U28" s="388"/>
      <c r="V28" s="388"/>
      <c r="W28" s="388"/>
      <c r="X28" s="388"/>
      <c r="Y28" s="388"/>
      <c r="Z28" s="388"/>
      <c r="AA28" s="388"/>
      <c r="AB28" s="388"/>
      <c r="AC28" s="388"/>
      <c r="AD28" s="388"/>
      <c r="AE28" s="388"/>
      <c r="AF28" s="388"/>
    </row>
    <row r="29" spans="2:47" x14ac:dyDescent="0.25">
      <c r="B29" s="101"/>
      <c r="C29" s="3"/>
      <c r="D29" s="3"/>
      <c r="E29" s="258"/>
      <c r="F29" s="258"/>
      <c r="G29" s="258"/>
      <c r="H29" s="258"/>
      <c r="I29" s="258"/>
      <c r="J29" s="258"/>
      <c r="K29" s="3"/>
      <c r="L29" s="259"/>
      <c r="M29" s="388"/>
      <c r="N29" s="388"/>
      <c r="O29" s="388"/>
      <c r="P29" s="388"/>
      <c r="Q29" s="388"/>
      <c r="R29" s="388"/>
      <c r="S29" s="388"/>
      <c r="T29" s="388"/>
      <c r="U29" s="388"/>
      <c r="V29" s="388"/>
      <c r="W29" s="388"/>
      <c r="X29" s="388"/>
      <c r="Y29" s="388"/>
      <c r="Z29" s="388"/>
      <c r="AA29" s="388"/>
      <c r="AB29" s="388"/>
      <c r="AC29" s="388"/>
      <c r="AD29" s="388"/>
      <c r="AE29" s="388"/>
      <c r="AF29" s="388"/>
    </row>
    <row r="30" spans="2:47" x14ac:dyDescent="0.25">
      <c r="B30" s="101" t="s">
        <v>482</v>
      </c>
      <c r="C30" s="3"/>
      <c r="D30" s="260"/>
      <c r="E30" s="261" t="s">
        <v>483</v>
      </c>
      <c r="F30" s="252"/>
      <c r="G30" s="252"/>
      <c r="H30" s="262"/>
      <c r="I30" s="77"/>
      <c r="J30" s="263" t="s">
        <v>484</v>
      </c>
      <c r="K30" s="264"/>
      <c r="L30" s="265"/>
      <c r="M30" s="388"/>
      <c r="N30" s="388"/>
      <c r="O30" s="388"/>
      <c r="P30" s="388"/>
      <c r="Q30" s="388"/>
      <c r="R30" s="388"/>
      <c r="S30" s="388"/>
      <c r="T30" s="388"/>
      <c r="U30" s="388"/>
      <c r="V30" s="388"/>
      <c r="W30" s="388"/>
      <c r="X30" s="388"/>
      <c r="Y30" s="388"/>
      <c r="Z30" s="388"/>
      <c r="AA30" s="388"/>
      <c r="AB30" s="388"/>
      <c r="AC30" s="388"/>
      <c r="AD30" s="388"/>
      <c r="AE30" s="388"/>
      <c r="AF30" s="388"/>
    </row>
    <row r="31" spans="2:47" ht="18" x14ac:dyDescent="0.35">
      <c r="B31" s="101"/>
      <c r="C31" s="55">
        <v>1</v>
      </c>
      <c r="D31" s="266" t="s">
        <v>426</v>
      </c>
      <c r="E31" s="267"/>
      <c r="F31" s="252" t="s">
        <v>425</v>
      </c>
      <c r="G31" s="252">
        <f ca="1">_xll.RiskNormal(E55,F55,_xll.RiskCollect())</f>
        <v>0.37</v>
      </c>
      <c r="H31" s="268" t="s">
        <v>426</v>
      </c>
      <c r="I31" s="77">
        <f ca="1">G31</f>
        <v>0.37</v>
      </c>
      <c r="J31" s="269" t="s">
        <v>485</v>
      </c>
      <c r="K31" s="264"/>
      <c r="L31" s="270" t="s">
        <v>486</v>
      </c>
      <c r="M31" s="388"/>
      <c r="N31" s="388"/>
      <c r="O31" s="388"/>
      <c r="P31" s="388"/>
      <c r="Q31" s="388"/>
      <c r="R31" s="388"/>
      <c r="S31" s="388"/>
      <c r="T31" s="388"/>
      <c r="U31" s="388"/>
      <c r="V31" s="388"/>
      <c r="W31" s="388"/>
      <c r="X31" s="388"/>
      <c r="Y31" s="388"/>
      <c r="Z31" s="388"/>
      <c r="AA31" s="388"/>
      <c r="AB31" s="388"/>
      <c r="AC31" s="388"/>
      <c r="AD31" s="388"/>
      <c r="AE31" s="388"/>
      <c r="AF31" s="388"/>
    </row>
    <row r="32" spans="2:47" x14ac:dyDescent="0.25">
      <c r="B32" s="101" t="s">
        <v>487</v>
      </c>
      <c r="C32" s="55"/>
      <c r="D32" s="271"/>
      <c r="E32" s="267" t="s">
        <v>488</v>
      </c>
      <c r="F32" s="272"/>
      <c r="G32" s="272"/>
      <c r="H32" s="273"/>
      <c r="I32" s="272"/>
      <c r="J32" s="267" t="s">
        <v>489</v>
      </c>
      <c r="K32" s="264"/>
      <c r="L32" s="270"/>
      <c r="M32" s="388"/>
      <c r="N32" s="388"/>
      <c r="O32" s="388"/>
      <c r="P32" s="388"/>
      <c r="Q32" s="388"/>
      <c r="R32" s="388"/>
      <c r="S32" s="388"/>
      <c r="T32" s="388"/>
      <c r="U32" s="388"/>
      <c r="V32" s="388"/>
      <c r="W32" s="388"/>
      <c r="X32" s="388"/>
      <c r="Y32" s="388"/>
      <c r="Z32" s="388"/>
      <c r="AA32" s="388"/>
      <c r="AB32" s="388"/>
      <c r="AC32" s="388"/>
      <c r="AD32" s="388"/>
      <c r="AE32" s="388"/>
      <c r="AF32" s="388"/>
    </row>
    <row r="33" spans="1:32" ht="18" x14ac:dyDescent="0.35">
      <c r="B33" s="15"/>
      <c r="C33" s="18" t="s">
        <v>490</v>
      </c>
      <c r="D33" s="266" t="s">
        <v>426</v>
      </c>
      <c r="E33" s="274"/>
      <c r="F33" s="272">
        <f ca="1">_xll.RiskPertAlt(2.5%,D60,"m. likely",F60,97.5%,E60,_xll.RiskCollect())</f>
        <v>3.7317162354315427</v>
      </c>
      <c r="G33" s="272">
        <f>C60</f>
        <v>3.7349999999999999</v>
      </c>
      <c r="H33" s="268" t="s">
        <v>426</v>
      </c>
      <c r="I33" s="77">
        <f ca="1">IF(Uncertainty=TRUE,F33,G33)</f>
        <v>3.7317162354315427</v>
      </c>
      <c r="J33" s="269" t="s">
        <v>491</v>
      </c>
      <c r="K33" s="264"/>
      <c r="L33" s="270" t="s">
        <v>492</v>
      </c>
      <c r="M33" s="388"/>
      <c r="N33" s="388"/>
      <c r="O33" s="388"/>
      <c r="P33" s="388"/>
      <c r="Q33" s="388"/>
      <c r="R33" s="388"/>
      <c r="S33" s="388"/>
      <c r="T33" s="388"/>
      <c r="U33" s="388"/>
      <c r="V33" s="388"/>
      <c r="W33" s="388"/>
      <c r="X33" s="388"/>
      <c r="Y33" s="388"/>
      <c r="Z33" s="388"/>
      <c r="AA33" s="388"/>
      <c r="AB33" s="388"/>
      <c r="AC33" s="388"/>
      <c r="AD33" s="388"/>
      <c r="AE33" s="388"/>
      <c r="AF33" s="388"/>
    </row>
    <row r="34" spans="1:32" s="2" customFormat="1" x14ac:dyDescent="0.25">
      <c r="A34" s="454"/>
      <c r="B34" s="101" t="s">
        <v>493</v>
      </c>
      <c r="C34" s="55"/>
      <c r="D34" s="271"/>
      <c r="E34" s="267" t="s">
        <v>494</v>
      </c>
      <c r="F34" s="275"/>
      <c r="G34" s="275"/>
      <c r="H34" s="271"/>
      <c r="I34" s="271"/>
      <c r="J34" s="267" t="s">
        <v>495</v>
      </c>
      <c r="K34" s="264"/>
      <c r="L34" s="276"/>
      <c r="M34" s="391"/>
      <c r="N34" s="455"/>
      <c r="O34" s="454"/>
      <c r="P34" s="454"/>
      <c r="Q34" s="454"/>
      <c r="R34" s="388"/>
      <c r="S34" s="388"/>
      <c r="T34" s="388"/>
      <c r="U34" s="388"/>
      <c r="V34" s="388"/>
      <c r="W34" s="388"/>
      <c r="X34" s="388"/>
      <c r="Y34" s="388"/>
      <c r="Z34" s="388"/>
      <c r="AA34" s="388"/>
      <c r="AB34" s="388"/>
      <c r="AC34" s="388"/>
      <c r="AD34" s="388"/>
      <c r="AE34" s="388"/>
      <c r="AF34" s="388"/>
    </row>
    <row r="35" spans="1:32" s="2" customFormat="1" ht="18" x14ac:dyDescent="0.35">
      <c r="A35" s="454"/>
      <c r="B35" s="15"/>
      <c r="C35" s="55">
        <v>6</v>
      </c>
      <c r="D35" s="266" t="s">
        <v>426</v>
      </c>
      <c r="E35" s="275"/>
      <c r="F35" s="277">
        <f ca="1">_xll.RiskUniform(C68,D68,_xll.RiskCollect())</f>
        <v>9.9763115748443803E-8</v>
      </c>
      <c r="G35" s="277">
        <f>E68</f>
        <v>9.9763115748443803E-8</v>
      </c>
      <c r="H35" s="17" t="s">
        <v>426</v>
      </c>
      <c r="I35" s="77">
        <f ca="1">IF(Uncertainty=TRUE,LOG(F35,10),LOG(G35,10))</f>
        <v>-7.0010299956639814</v>
      </c>
      <c r="J35" s="269" t="s">
        <v>485</v>
      </c>
      <c r="K35" s="264"/>
      <c r="L35" s="278" t="s">
        <v>496</v>
      </c>
      <c r="M35" s="391"/>
      <c r="N35" s="455"/>
      <c r="O35" s="454"/>
      <c r="P35" s="454"/>
      <c r="Q35" s="454"/>
      <c r="R35" s="388"/>
      <c r="S35" s="388"/>
      <c r="T35" s="388"/>
      <c r="U35" s="388"/>
      <c r="V35" s="388"/>
      <c r="W35" s="388"/>
      <c r="X35" s="388"/>
      <c r="Y35" s="388"/>
      <c r="Z35" s="388"/>
      <c r="AA35" s="388"/>
      <c r="AB35" s="388"/>
      <c r="AC35" s="388"/>
      <c r="AD35" s="388"/>
      <c r="AE35" s="388"/>
      <c r="AF35" s="388"/>
    </row>
    <row r="36" spans="1:32" s="2" customFormat="1" x14ac:dyDescent="0.25">
      <c r="A36" s="454"/>
      <c r="B36" s="101" t="s">
        <v>497</v>
      </c>
      <c r="C36" s="55"/>
      <c r="D36" s="266"/>
      <c r="E36" s="267" t="s">
        <v>498</v>
      </c>
      <c r="F36" s="252"/>
      <c r="G36" s="252"/>
      <c r="H36" s="17"/>
      <c r="I36" s="77"/>
      <c r="J36" s="269"/>
      <c r="K36" s="264"/>
      <c r="L36" s="278"/>
      <c r="M36" s="391"/>
      <c r="N36" s="455"/>
      <c r="O36" s="454"/>
      <c r="P36" s="454"/>
      <c r="Q36" s="454"/>
      <c r="R36" s="388"/>
      <c r="S36" s="388"/>
      <c r="T36" s="388"/>
      <c r="U36" s="388"/>
      <c r="V36" s="388"/>
      <c r="W36" s="388"/>
      <c r="X36" s="388"/>
      <c r="Y36" s="388"/>
      <c r="Z36" s="388"/>
      <c r="AA36" s="388"/>
      <c r="AB36" s="388"/>
      <c r="AC36" s="388"/>
      <c r="AD36" s="388"/>
      <c r="AE36" s="388"/>
      <c r="AF36" s="388"/>
    </row>
    <row r="37" spans="1:32" s="2" customFormat="1" ht="18" x14ac:dyDescent="0.35">
      <c r="A37" s="454"/>
      <c r="B37" s="101"/>
      <c r="C37" s="18" t="s">
        <v>499</v>
      </c>
      <c r="D37" s="266" t="s">
        <v>426</v>
      </c>
      <c r="E37" s="275"/>
      <c r="F37" s="277">
        <f ca="1">_xll.RiskPertAlt(2.5%,E78,"m. likely",D78,97.5%,F78,_xll.RiskCollect())*Age_postinf</f>
        <v>5.3908056516443059</v>
      </c>
      <c r="G37" s="252">
        <f ca="1">C78*Age_postinf</f>
        <v>5.3760000000000003</v>
      </c>
      <c r="H37" s="17" t="s">
        <v>426</v>
      </c>
      <c r="I37" s="77"/>
      <c r="J37" s="269" t="s">
        <v>485</v>
      </c>
      <c r="K37" s="264"/>
      <c r="L37" s="279" t="s">
        <v>500</v>
      </c>
      <c r="M37" s="391"/>
      <c r="N37" s="455"/>
      <c r="O37" s="454"/>
      <c r="P37" s="454"/>
      <c r="Q37" s="454"/>
      <c r="R37" s="388"/>
      <c r="S37" s="388"/>
      <c r="T37" s="388"/>
      <c r="U37" s="388"/>
      <c r="V37" s="388"/>
      <c r="W37" s="388"/>
      <c r="X37" s="388"/>
      <c r="Y37" s="388"/>
      <c r="Z37" s="388"/>
      <c r="AA37" s="388"/>
      <c r="AB37" s="388"/>
      <c r="AC37" s="388"/>
      <c r="AD37" s="388"/>
      <c r="AE37" s="388"/>
      <c r="AF37" s="388"/>
    </row>
    <row r="38" spans="1:32" s="2" customFormat="1" x14ac:dyDescent="0.25">
      <c r="A38" s="454"/>
      <c r="B38" s="140" t="s">
        <v>501</v>
      </c>
      <c r="C38" s="18"/>
      <c r="D38" s="266"/>
      <c r="E38" s="267" t="s">
        <v>502</v>
      </c>
      <c r="F38" s="252"/>
      <c r="G38" s="252"/>
      <c r="H38" s="17"/>
      <c r="I38" s="77"/>
      <c r="J38" s="269"/>
      <c r="K38" s="264"/>
      <c r="L38" s="279"/>
      <c r="M38" s="391"/>
      <c r="N38" s="455"/>
      <c r="O38" s="454"/>
      <c r="P38" s="454"/>
      <c r="Q38" s="454"/>
      <c r="R38" s="388"/>
      <c r="S38" s="388"/>
      <c r="T38" s="388"/>
      <c r="U38" s="388"/>
      <c r="V38" s="388"/>
      <c r="W38" s="388"/>
      <c r="X38" s="388"/>
      <c r="Y38" s="388"/>
      <c r="Z38" s="388"/>
      <c r="AA38" s="388"/>
      <c r="AB38" s="388"/>
      <c r="AC38" s="388"/>
      <c r="AD38" s="388"/>
      <c r="AE38" s="388"/>
      <c r="AF38" s="388"/>
    </row>
    <row r="39" spans="1:32" s="2" customFormat="1" ht="18" x14ac:dyDescent="0.35">
      <c r="A39" s="454"/>
      <c r="B39" s="101"/>
      <c r="C39" s="18">
        <v>7</v>
      </c>
      <c r="D39" s="266" t="s">
        <v>426</v>
      </c>
      <c r="E39" s="275"/>
      <c r="F39" s="280">
        <f ca="1">_xll.RiskPertAlt(2.5%,E79,"m. likely",D79,97.5%,F79,_xll.RiskCollect())</f>
        <v>-8.3660685830766806</v>
      </c>
      <c r="G39" s="252">
        <f>C79</f>
        <v>-8.4</v>
      </c>
      <c r="H39" s="17" t="s">
        <v>426</v>
      </c>
      <c r="I39" s="77"/>
      <c r="J39" s="269" t="s">
        <v>485</v>
      </c>
      <c r="K39" s="264"/>
      <c r="L39" s="279" t="s">
        <v>500</v>
      </c>
      <c r="M39" s="391"/>
      <c r="N39" s="455"/>
      <c r="O39" s="454"/>
      <c r="P39" s="454"/>
      <c r="Q39" s="454"/>
      <c r="R39" s="388"/>
      <c r="S39" s="388"/>
      <c r="T39" s="388"/>
      <c r="U39" s="388"/>
      <c r="V39" s="388"/>
      <c r="W39" s="388"/>
      <c r="X39" s="388"/>
      <c r="Y39" s="388"/>
      <c r="Z39" s="388"/>
      <c r="AA39" s="388"/>
      <c r="AB39" s="388"/>
      <c r="AC39" s="388"/>
      <c r="AD39" s="388"/>
      <c r="AE39" s="388"/>
      <c r="AF39" s="388"/>
    </row>
    <row r="40" spans="1:32" s="2" customFormat="1" x14ac:dyDescent="0.25">
      <c r="A40" s="454"/>
      <c r="B40" s="140" t="s">
        <v>503</v>
      </c>
      <c r="C40" s="55"/>
      <c r="D40" s="271"/>
      <c r="E40" s="267" t="s">
        <v>504</v>
      </c>
      <c r="F40" s="275"/>
      <c r="G40" s="275"/>
      <c r="H40" s="271"/>
      <c r="I40" s="271"/>
      <c r="J40" s="267" t="s">
        <v>505</v>
      </c>
      <c r="K40" s="264"/>
      <c r="L40" s="281"/>
      <c r="M40" s="454"/>
      <c r="N40" s="454"/>
      <c r="O40" s="454"/>
      <c r="P40" s="454"/>
      <c r="Q40" s="454"/>
      <c r="R40" s="388"/>
      <c r="S40" s="388"/>
      <c r="T40" s="388"/>
      <c r="U40" s="388"/>
      <c r="V40" s="388"/>
      <c r="W40" s="388"/>
      <c r="X40" s="388"/>
      <c r="Y40" s="388"/>
      <c r="Z40" s="388"/>
      <c r="AA40" s="388"/>
      <c r="AB40" s="388"/>
      <c r="AC40" s="388"/>
      <c r="AD40" s="388"/>
      <c r="AE40" s="388"/>
      <c r="AF40" s="388"/>
    </row>
    <row r="41" spans="1:32" s="2" customFormat="1" ht="18" x14ac:dyDescent="0.35">
      <c r="A41" s="454"/>
      <c r="B41" s="282"/>
      <c r="C41" s="55">
        <v>7</v>
      </c>
      <c r="D41" s="17" t="s">
        <v>426</v>
      </c>
      <c r="E41" s="283"/>
      <c r="F41" s="77">
        <f ca="1">IF((F37+F39)&gt;Infectivity!F68,Infectivity!F68,(F37+F39))</f>
        <v>-2.9752629314323746</v>
      </c>
      <c r="G41" s="77">
        <f ca="1">IF((G37+G39)&gt;Infectivity!F68,Infectivity!F68,(G37+G39))</f>
        <v>-3.024</v>
      </c>
      <c r="H41" s="17" t="s">
        <v>426</v>
      </c>
      <c r="I41" s="77">
        <f ca="1">IF(Uncertainty=TRUE,F41,G41)</f>
        <v>-2.9752629314323746</v>
      </c>
      <c r="J41" s="269" t="s">
        <v>485</v>
      </c>
      <c r="K41" s="264"/>
      <c r="L41" s="279" t="s">
        <v>506</v>
      </c>
      <c r="M41" s="454"/>
      <c r="N41" s="454"/>
      <c r="O41" s="454"/>
      <c r="P41" s="454"/>
      <c r="Q41" s="454"/>
      <c r="R41" s="388"/>
      <c r="S41" s="388"/>
      <c r="T41" s="388"/>
      <c r="U41" s="388"/>
      <c r="V41" s="388"/>
      <c r="W41" s="388"/>
      <c r="X41" s="388"/>
      <c r="Y41" s="388"/>
      <c r="Z41" s="388"/>
      <c r="AA41" s="388"/>
      <c r="AB41" s="388"/>
      <c r="AC41" s="388"/>
      <c r="AD41" s="388"/>
      <c r="AE41" s="388"/>
      <c r="AF41" s="388"/>
    </row>
    <row r="42" spans="1:32" s="2" customFormat="1" x14ac:dyDescent="0.25">
      <c r="A42" s="454"/>
      <c r="B42" s="140" t="s">
        <v>507</v>
      </c>
      <c r="C42" s="55"/>
      <c r="D42" s="17"/>
      <c r="E42" s="284" t="s">
        <v>508</v>
      </c>
      <c r="F42" s="77"/>
      <c r="G42" s="77"/>
      <c r="H42" s="17"/>
      <c r="I42" s="77"/>
      <c r="J42" s="269"/>
      <c r="K42" s="264"/>
      <c r="L42" s="279"/>
      <c r="M42" s="454"/>
      <c r="N42" s="454"/>
      <c r="O42" s="454"/>
      <c r="P42" s="454"/>
      <c r="Q42" s="454"/>
      <c r="R42" s="388"/>
      <c r="S42" s="388"/>
      <c r="T42" s="388"/>
      <c r="U42" s="388"/>
      <c r="V42" s="388"/>
      <c r="W42" s="388"/>
      <c r="X42" s="388"/>
      <c r="Y42" s="388"/>
      <c r="Z42" s="388"/>
      <c r="AA42" s="388"/>
      <c r="AB42" s="388"/>
      <c r="AC42" s="388"/>
      <c r="AD42" s="388"/>
      <c r="AE42" s="388"/>
      <c r="AF42" s="388"/>
    </row>
    <row r="43" spans="1:32" s="2" customFormat="1" x14ac:dyDescent="0.25">
      <c r="A43" s="454"/>
      <c r="B43" s="282"/>
      <c r="C43" s="55">
        <v>8</v>
      </c>
      <c r="D43" s="17" t="s">
        <v>426</v>
      </c>
      <c r="E43" s="283"/>
      <c r="F43" s="280">
        <f ca="1">_xll.RiskPertAlt(2.5%,E80,"m. likely",D80,97.5%,F80,_xll.RiskCollect())</f>
        <v>-7.6845777051984738</v>
      </c>
      <c r="G43" s="77">
        <f>C80</f>
        <v>-7.7</v>
      </c>
      <c r="H43" s="17" t="s">
        <v>426</v>
      </c>
      <c r="I43" s="77"/>
      <c r="J43" s="269"/>
      <c r="K43" s="264"/>
      <c r="L43" s="279"/>
      <c r="M43" s="454"/>
      <c r="N43" s="454"/>
      <c r="O43" s="454"/>
      <c r="P43" s="454"/>
      <c r="Q43" s="454"/>
      <c r="R43" s="388"/>
      <c r="S43" s="388"/>
      <c r="T43" s="388"/>
      <c r="U43" s="388"/>
      <c r="V43" s="388"/>
      <c r="W43" s="388"/>
      <c r="X43" s="388"/>
      <c r="Y43" s="388"/>
      <c r="Z43" s="388"/>
      <c r="AA43" s="388"/>
      <c r="AB43" s="388"/>
      <c r="AC43" s="388"/>
      <c r="AD43" s="388"/>
      <c r="AE43" s="388"/>
      <c r="AF43" s="388"/>
    </row>
    <row r="44" spans="1:32" s="2" customFormat="1" x14ac:dyDescent="0.25">
      <c r="A44" s="454"/>
      <c r="B44" s="114" t="s">
        <v>509</v>
      </c>
      <c r="C44" s="117"/>
      <c r="D44" s="285"/>
      <c r="E44" s="274" t="s">
        <v>510</v>
      </c>
      <c r="F44" s="264"/>
      <c r="G44" s="264"/>
      <c r="H44" s="285"/>
      <c r="I44" s="272"/>
      <c r="J44" s="274" t="s">
        <v>511</v>
      </c>
      <c r="K44" s="264"/>
      <c r="L44" s="286"/>
      <c r="M44" s="454"/>
      <c r="N44" s="454"/>
      <c r="O44" s="454"/>
      <c r="P44" s="454"/>
      <c r="Q44" s="454"/>
      <c r="R44" s="388"/>
      <c r="S44" s="388"/>
      <c r="T44" s="388"/>
      <c r="U44" s="388"/>
      <c r="V44" s="388"/>
      <c r="W44" s="388"/>
      <c r="X44" s="388"/>
      <c r="Y44" s="388"/>
      <c r="Z44" s="388"/>
      <c r="AA44" s="388"/>
      <c r="AB44" s="388"/>
      <c r="AC44" s="388"/>
      <c r="AD44" s="388"/>
      <c r="AE44" s="388"/>
      <c r="AF44" s="388"/>
    </row>
    <row r="45" spans="1:32" ht="18" x14ac:dyDescent="0.35">
      <c r="B45" s="141"/>
      <c r="C45" s="142">
        <v>8</v>
      </c>
      <c r="D45" s="287" t="s">
        <v>426</v>
      </c>
      <c r="E45" s="82"/>
      <c r="F45" s="253">
        <f ca="1">IF((F37+F43)&gt;Infectivity!G68,Infectivity!G68,(F37+F43))</f>
        <v>-2.2937720535541679</v>
      </c>
      <c r="G45" s="253">
        <f ca="1">IF((G37+G43)&gt;Infectivity!G68,Infectivity!G68,(G37+G43))</f>
        <v>-2.3239999999999998</v>
      </c>
      <c r="H45" s="288" t="s">
        <v>426</v>
      </c>
      <c r="I45" s="77">
        <f ca="1">IF(Uncertainty=TRUE,F45,G45)</f>
        <v>-2.2937720535541679</v>
      </c>
      <c r="J45" s="269" t="s">
        <v>485</v>
      </c>
      <c r="K45" s="289"/>
      <c r="L45" s="290" t="s">
        <v>506</v>
      </c>
      <c r="M45" s="388"/>
      <c r="N45" s="388"/>
      <c r="O45" s="388"/>
      <c r="P45" s="388"/>
      <c r="Q45" s="388"/>
      <c r="R45" s="388"/>
      <c r="S45" s="388"/>
      <c r="T45" s="388"/>
      <c r="U45" s="388"/>
      <c r="V45" s="388"/>
      <c r="W45" s="388"/>
      <c r="X45" s="388"/>
      <c r="Y45" s="388"/>
      <c r="Z45" s="388"/>
      <c r="AA45" s="388"/>
      <c r="AB45" s="388"/>
      <c r="AC45" s="388"/>
      <c r="AD45" s="388"/>
      <c r="AE45" s="388"/>
      <c r="AF45" s="388"/>
    </row>
    <row r="46" spans="1:32" x14ac:dyDescent="0.25">
      <c r="B46" s="232" t="s">
        <v>512</v>
      </c>
      <c r="C46" s="155"/>
      <c r="D46" s="291"/>
      <c r="E46" s="292" t="s">
        <v>513</v>
      </c>
      <c r="F46" s="293"/>
      <c r="G46" s="293"/>
      <c r="H46" s="294"/>
      <c r="I46" s="293"/>
      <c r="J46" s="295"/>
      <c r="K46" s="296"/>
      <c r="L46" s="297"/>
      <c r="M46" s="388"/>
      <c r="N46" s="388"/>
      <c r="O46" s="388"/>
      <c r="P46" s="388"/>
      <c r="Q46" s="388"/>
      <c r="R46" s="388"/>
      <c r="S46" s="388"/>
      <c r="T46" s="388"/>
      <c r="U46" s="388"/>
      <c r="V46" s="388"/>
      <c r="W46" s="388"/>
      <c r="X46" s="388"/>
      <c r="Y46" s="388"/>
      <c r="Z46" s="388"/>
      <c r="AA46" s="388"/>
      <c r="AB46" s="388"/>
      <c r="AC46" s="388"/>
      <c r="AD46" s="388"/>
      <c r="AE46" s="388"/>
      <c r="AF46" s="388"/>
    </row>
    <row r="47" spans="1:32" ht="18" x14ac:dyDescent="0.35">
      <c r="B47" s="141"/>
      <c r="C47" s="142"/>
      <c r="D47" s="287" t="s">
        <v>426</v>
      </c>
      <c r="E47" s="82"/>
      <c r="F47" s="253">
        <f ca="1">_xll.RiskPertAlt(2.5%,D88,"m. likely",C88,97.5%,E88,_xll.RiskCollect())</f>
        <v>2.6999999999999518</v>
      </c>
      <c r="G47" s="253">
        <f>C88</f>
        <v>2.7</v>
      </c>
      <c r="H47" s="288" t="s">
        <v>426</v>
      </c>
      <c r="I47" s="77">
        <f ca="1">IF(Uncertainty=TRUE,F47,G47)</f>
        <v>2.6999999999999518</v>
      </c>
      <c r="J47" s="269" t="s">
        <v>491</v>
      </c>
      <c r="K47" s="289"/>
      <c r="L47" s="290" t="s">
        <v>514</v>
      </c>
      <c r="M47" s="388"/>
      <c r="N47" s="388"/>
      <c r="O47" s="388"/>
      <c r="P47" s="388"/>
      <c r="Q47" s="388"/>
      <c r="R47" s="388"/>
      <c r="S47" s="388"/>
      <c r="T47" s="388"/>
      <c r="U47" s="388"/>
      <c r="V47" s="388"/>
      <c r="W47" s="388"/>
      <c r="X47" s="388"/>
      <c r="Y47" s="388"/>
      <c r="Z47" s="388"/>
      <c r="AA47" s="388"/>
      <c r="AB47" s="388"/>
      <c r="AC47" s="388"/>
      <c r="AD47" s="388"/>
      <c r="AE47" s="388"/>
      <c r="AF47" s="388"/>
    </row>
    <row r="48" spans="1:32" x14ac:dyDescent="0.25">
      <c r="B48" s="232" t="s">
        <v>515</v>
      </c>
      <c r="C48" s="155"/>
      <c r="D48" s="291"/>
      <c r="E48" s="298"/>
      <c r="F48" s="293"/>
      <c r="G48" s="293"/>
      <c r="H48" s="294"/>
      <c r="I48" s="293"/>
      <c r="J48" s="299"/>
      <c r="K48" s="296"/>
      <c r="L48" s="297"/>
      <c r="M48" s="388"/>
      <c r="N48" s="388"/>
      <c r="O48" s="388"/>
      <c r="P48" s="388"/>
      <c r="Q48" s="388"/>
      <c r="R48" s="388"/>
      <c r="S48" s="388"/>
      <c r="T48" s="388"/>
      <c r="U48" s="388"/>
      <c r="V48" s="388"/>
      <c r="W48" s="388"/>
      <c r="X48" s="388"/>
      <c r="Y48" s="388"/>
      <c r="Z48" s="388"/>
      <c r="AA48" s="388"/>
      <c r="AB48" s="388"/>
      <c r="AC48" s="388"/>
      <c r="AD48" s="388"/>
      <c r="AE48" s="388"/>
      <c r="AF48" s="388"/>
    </row>
    <row r="49" spans="1:39" ht="18" x14ac:dyDescent="0.35">
      <c r="B49" s="141"/>
      <c r="C49" s="142"/>
      <c r="D49" s="287"/>
      <c r="E49" s="300" t="s">
        <v>516</v>
      </c>
      <c r="F49" s="82">
        <f ca="1">_xll.RiskPertAlt(2.5%,D93,"m. likely",F93,97.5%,E93,_xll.RiskCollect())</f>
        <v>4.7606186288470278</v>
      </c>
      <c r="G49" s="253">
        <f>C93</f>
        <v>4.76</v>
      </c>
      <c r="H49" s="288" t="s">
        <v>426</v>
      </c>
      <c r="I49" s="253">
        <f ca="1">IF(Uncertainty=TRUE,F49,G49)</f>
        <v>4.7606186288470278</v>
      </c>
      <c r="J49" s="301" t="s">
        <v>491</v>
      </c>
      <c r="K49" s="289"/>
      <c r="L49" s="290" t="s">
        <v>517</v>
      </c>
      <c r="M49" s="388"/>
      <c r="N49" s="388"/>
      <c r="O49" s="388"/>
      <c r="P49" s="388"/>
      <c r="Q49" s="388"/>
      <c r="R49" s="388"/>
      <c r="S49" s="388"/>
      <c r="T49" s="388"/>
      <c r="U49" s="388"/>
      <c r="V49" s="388"/>
      <c r="W49" s="388"/>
      <c r="X49" s="388"/>
      <c r="Y49" s="388"/>
      <c r="Z49" s="388"/>
      <c r="AA49" s="388"/>
      <c r="AB49" s="388"/>
      <c r="AC49" s="388"/>
      <c r="AD49" s="388"/>
      <c r="AE49" s="388"/>
      <c r="AF49" s="388"/>
    </row>
    <row r="50" spans="1:39" s="388" customFormat="1" x14ac:dyDescent="0.25">
      <c r="B50" s="391"/>
      <c r="C50" s="392"/>
      <c r="D50" s="392"/>
      <c r="E50" s="391"/>
      <c r="F50" s="391"/>
      <c r="G50" s="391"/>
      <c r="H50" s="391"/>
      <c r="I50" s="391"/>
      <c r="J50" s="391"/>
      <c r="K50" s="390"/>
      <c r="L50" s="407"/>
    </row>
    <row r="51" spans="1:39" s="388" customFormat="1" ht="16.5" customHeight="1" x14ac:dyDescent="0.25">
      <c r="B51" s="425" t="s">
        <v>306</v>
      </c>
      <c r="O51" s="407"/>
    </row>
    <row r="52" spans="1:39" s="388" customFormat="1" x14ac:dyDescent="0.25"/>
    <row r="53" spans="1:39" s="388" customFormat="1" x14ac:dyDescent="0.25">
      <c r="A53" s="403" t="s">
        <v>147</v>
      </c>
      <c r="B53" s="429" t="s">
        <v>518</v>
      </c>
      <c r="C53" s="429"/>
      <c r="D53" s="390"/>
      <c r="E53" s="390"/>
      <c r="F53" s="390"/>
      <c r="G53" s="390"/>
      <c r="H53" s="390"/>
      <c r="I53" s="390"/>
      <c r="J53" s="390"/>
      <c r="K53" s="391"/>
    </row>
    <row r="54" spans="1:39" x14ac:dyDescent="0.25">
      <c r="A54" s="403"/>
      <c r="B54" s="302"/>
      <c r="C54" s="303"/>
      <c r="D54" s="304"/>
      <c r="E54" s="154" t="s">
        <v>197</v>
      </c>
      <c r="F54" s="154" t="s">
        <v>519</v>
      </c>
      <c r="G54" s="57"/>
      <c r="H54" s="305"/>
      <c r="I54" s="388"/>
      <c r="J54" s="388"/>
      <c r="K54" s="388"/>
      <c r="L54" s="388"/>
      <c r="M54" s="388"/>
      <c r="N54" s="388"/>
      <c r="O54" s="388"/>
      <c r="P54" s="388"/>
      <c r="Q54" s="388"/>
      <c r="R54" s="388"/>
      <c r="S54" s="388"/>
      <c r="T54" s="388"/>
      <c r="U54" s="388"/>
      <c r="V54" s="388"/>
      <c r="W54" s="388"/>
      <c r="X54" s="388"/>
      <c r="Y54" s="388"/>
      <c r="Z54" s="388"/>
      <c r="AA54" s="388"/>
      <c r="AB54" s="388"/>
      <c r="AC54" s="388"/>
      <c r="AD54" s="388"/>
      <c r="AE54" s="388"/>
      <c r="AF54" s="388"/>
      <c r="AG54" s="388"/>
      <c r="AH54" s="388"/>
      <c r="AI54" s="388"/>
      <c r="AJ54" s="388"/>
      <c r="AK54" s="388"/>
      <c r="AL54" s="388"/>
      <c r="AM54" s="388"/>
    </row>
    <row r="55" spans="1:39" ht="15.75" x14ac:dyDescent="0.3">
      <c r="A55" s="403"/>
      <c r="B55" s="204" t="s">
        <v>520</v>
      </c>
      <c r="C55" s="130"/>
      <c r="D55" s="306"/>
      <c r="E55" s="124">
        <v>0.37</v>
      </c>
      <c r="F55" s="124">
        <v>0.81</v>
      </c>
      <c r="G55" s="130" t="s">
        <v>521</v>
      </c>
      <c r="H55" s="172"/>
      <c r="I55" s="388"/>
      <c r="J55" s="388"/>
      <c r="K55" s="388"/>
      <c r="L55" s="388"/>
      <c r="M55" s="388"/>
      <c r="N55" s="388"/>
      <c r="O55" s="388"/>
      <c r="P55" s="388"/>
      <c r="Q55" s="388"/>
      <c r="R55" s="388"/>
      <c r="S55" s="388"/>
      <c r="T55" s="388"/>
      <c r="U55" s="388"/>
      <c r="V55" s="388"/>
      <c r="W55" s="388"/>
      <c r="X55" s="388"/>
      <c r="Y55" s="388"/>
      <c r="Z55" s="388"/>
      <c r="AA55" s="388"/>
      <c r="AB55" s="388"/>
      <c r="AC55" s="388"/>
      <c r="AD55" s="388"/>
      <c r="AE55" s="388"/>
      <c r="AF55" s="388"/>
      <c r="AG55" s="388"/>
      <c r="AH55" s="388"/>
      <c r="AI55" s="388"/>
      <c r="AJ55" s="388"/>
      <c r="AK55" s="388"/>
      <c r="AL55" s="388"/>
      <c r="AM55" s="388"/>
    </row>
    <row r="56" spans="1:39" s="388" customFormat="1" x14ac:dyDescent="0.25"/>
    <row r="57" spans="1:39" s="388" customFormat="1" x14ac:dyDescent="0.25">
      <c r="A57" s="403" t="s">
        <v>159</v>
      </c>
      <c r="B57" s="403" t="s">
        <v>522</v>
      </c>
    </row>
    <row r="58" spans="1:39" s="388" customFormat="1" x14ac:dyDescent="0.25">
      <c r="A58" s="407"/>
      <c r="B58" s="407"/>
    </row>
    <row r="59" spans="1:39" s="2" customFormat="1" ht="39" x14ac:dyDescent="0.25">
      <c r="A59" s="407"/>
      <c r="B59" s="302"/>
      <c r="C59" s="173" t="s">
        <v>523</v>
      </c>
      <c r="D59" s="173" t="s">
        <v>524</v>
      </c>
      <c r="E59" s="173" t="s">
        <v>525</v>
      </c>
      <c r="F59" s="174" t="s">
        <v>526</v>
      </c>
      <c r="G59" s="432"/>
      <c r="H59" s="432"/>
      <c r="I59" s="388"/>
      <c r="J59" s="388"/>
      <c r="K59" s="388"/>
      <c r="L59" s="388"/>
      <c r="M59" s="388"/>
      <c r="N59" s="388"/>
      <c r="O59" s="388"/>
      <c r="P59" s="388"/>
      <c r="Q59" s="388"/>
      <c r="R59" s="388"/>
      <c r="S59" s="388"/>
      <c r="T59" s="388"/>
      <c r="U59" s="388"/>
      <c r="V59" s="388"/>
      <c r="W59" s="388"/>
      <c r="X59" s="388"/>
      <c r="Y59" s="388"/>
      <c r="Z59" s="388"/>
      <c r="AA59" s="388"/>
      <c r="AB59" s="388"/>
      <c r="AC59" s="388"/>
      <c r="AD59" s="388"/>
      <c r="AE59" s="388"/>
      <c r="AF59" s="388"/>
      <c r="AG59" s="388"/>
      <c r="AH59" s="388"/>
    </row>
    <row r="60" spans="1:39" s="2" customFormat="1" x14ac:dyDescent="0.25">
      <c r="A60" s="407"/>
      <c r="B60" s="204" t="s">
        <v>527</v>
      </c>
      <c r="C60" s="307">
        <v>3.7349999999999999</v>
      </c>
      <c r="D60" s="307">
        <v>3.0720000000000001</v>
      </c>
      <c r="E60" s="307">
        <v>4.3840000000000003</v>
      </c>
      <c r="F60" s="172">
        <v>3.7376999999999998</v>
      </c>
      <c r="G60" s="392"/>
      <c r="H60" s="392"/>
      <c r="I60" s="388"/>
      <c r="J60" s="388"/>
      <c r="K60" s="388"/>
      <c r="L60" s="388"/>
      <c r="M60" s="388"/>
      <c r="N60" s="388"/>
      <c r="O60" s="388"/>
      <c r="P60" s="388"/>
      <c r="Q60" s="388"/>
      <c r="R60" s="388"/>
      <c r="S60" s="388"/>
      <c r="T60" s="388"/>
      <c r="U60" s="388"/>
      <c r="V60" s="388"/>
      <c r="W60" s="388"/>
      <c r="X60" s="388"/>
      <c r="Y60" s="388"/>
      <c r="Z60" s="388"/>
      <c r="AA60" s="388"/>
      <c r="AB60" s="388"/>
      <c r="AC60" s="388"/>
      <c r="AD60" s="388"/>
      <c r="AE60" s="388"/>
      <c r="AF60" s="388"/>
      <c r="AG60" s="388"/>
      <c r="AH60" s="388"/>
    </row>
    <row r="61" spans="1:39" s="388" customFormat="1" x14ac:dyDescent="0.25">
      <c r="B61" s="390" t="s">
        <v>528</v>
      </c>
    </row>
    <row r="62" spans="1:39" s="388" customFormat="1" x14ac:dyDescent="0.25">
      <c r="B62" s="390"/>
    </row>
    <row r="63" spans="1:39" s="388" customFormat="1" x14ac:dyDescent="0.25">
      <c r="A63" s="403" t="s">
        <v>179</v>
      </c>
      <c r="B63" s="403" t="s">
        <v>529</v>
      </c>
      <c r="L63" s="410"/>
    </row>
    <row r="64" spans="1:39" ht="25.5" x14ac:dyDescent="0.25">
      <c r="B64" s="232"/>
      <c r="C64" s="155" t="s">
        <v>356</v>
      </c>
      <c r="D64" s="155" t="s">
        <v>356</v>
      </c>
      <c r="E64" s="155" t="s">
        <v>356</v>
      </c>
      <c r="F64" s="50" t="s">
        <v>530</v>
      </c>
      <c r="G64" s="308" t="s">
        <v>20</v>
      </c>
      <c r="H64" s="395"/>
      <c r="I64" s="388"/>
      <c r="J64" s="395"/>
      <c r="K64" s="388"/>
      <c r="L64" s="388"/>
      <c r="M64" s="388"/>
      <c r="N64" s="388"/>
      <c r="O64" s="388"/>
      <c r="P64" s="388"/>
      <c r="Q64" s="388"/>
      <c r="R64" s="388"/>
      <c r="S64" s="388"/>
      <c r="T64" s="388"/>
      <c r="U64" s="388"/>
      <c r="V64" s="388"/>
      <c r="W64" s="388"/>
      <c r="X64" s="388"/>
      <c r="Y64" s="388"/>
      <c r="Z64" s="388"/>
      <c r="AA64" s="388"/>
      <c r="AB64" s="388"/>
      <c r="AC64" s="388"/>
      <c r="AD64" s="388"/>
      <c r="AE64" s="388"/>
      <c r="AF64" s="388"/>
      <c r="AG64" s="388"/>
    </row>
    <row r="65" spans="1:37" x14ac:dyDescent="0.25">
      <c r="B65" s="114"/>
      <c r="C65" s="117">
        <v>6</v>
      </c>
      <c r="D65" s="117">
        <v>6</v>
      </c>
      <c r="E65" s="117">
        <v>6</v>
      </c>
      <c r="F65" s="55">
        <v>7</v>
      </c>
      <c r="G65" s="208">
        <v>8</v>
      </c>
      <c r="H65" s="392"/>
      <c r="I65" s="392"/>
      <c r="J65" s="392"/>
      <c r="K65" s="388"/>
      <c r="L65" s="388"/>
      <c r="M65" s="388"/>
      <c r="N65" s="388"/>
      <c r="O65" s="388"/>
      <c r="P65" s="388"/>
      <c r="Q65" s="388"/>
      <c r="R65" s="388"/>
      <c r="S65" s="388"/>
      <c r="T65" s="388"/>
      <c r="U65" s="388"/>
      <c r="V65" s="388"/>
      <c r="W65" s="388"/>
      <c r="X65" s="388"/>
      <c r="Y65" s="388"/>
      <c r="Z65" s="388"/>
      <c r="AA65" s="388"/>
      <c r="AB65" s="388"/>
      <c r="AC65" s="388"/>
      <c r="AD65" s="388"/>
      <c r="AE65" s="388"/>
      <c r="AF65" s="388"/>
      <c r="AG65" s="388"/>
    </row>
    <row r="66" spans="1:37" ht="69.75" x14ac:dyDescent="0.25">
      <c r="B66" s="176" t="s">
        <v>531</v>
      </c>
      <c r="C66" s="113" t="s">
        <v>532</v>
      </c>
      <c r="D66" s="117" t="s">
        <v>533</v>
      </c>
      <c r="E66" s="117" t="s">
        <v>534</v>
      </c>
      <c r="F66" s="117" t="s">
        <v>535</v>
      </c>
      <c r="G66" s="158" t="s">
        <v>536</v>
      </c>
      <c r="H66" s="432"/>
      <c r="I66" s="432"/>
      <c r="J66" s="432"/>
      <c r="K66" s="388"/>
      <c r="L66" s="388"/>
      <c r="M66" s="388"/>
      <c r="N66" s="388"/>
      <c r="O66" s="388"/>
      <c r="P66" s="388"/>
      <c r="Q66" s="388"/>
      <c r="R66" s="388"/>
      <c r="S66" s="388"/>
      <c r="T66" s="388"/>
      <c r="U66" s="388"/>
      <c r="V66" s="388"/>
      <c r="W66" s="388"/>
      <c r="X66" s="388"/>
      <c r="Y66" s="388"/>
      <c r="Z66" s="388"/>
      <c r="AA66" s="388"/>
      <c r="AB66" s="388"/>
      <c r="AC66" s="388"/>
      <c r="AD66" s="388"/>
      <c r="AE66" s="388"/>
      <c r="AF66" s="388"/>
      <c r="AG66" s="388"/>
    </row>
    <row r="67" spans="1:37" ht="25.5" x14ac:dyDescent="0.25">
      <c r="B67" s="176"/>
      <c r="C67" s="161" t="s">
        <v>537</v>
      </c>
      <c r="D67" s="161" t="s">
        <v>538</v>
      </c>
      <c r="E67" s="161" t="s">
        <v>539</v>
      </c>
      <c r="F67" s="161" t="s">
        <v>540</v>
      </c>
      <c r="G67" s="162" t="s">
        <v>541</v>
      </c>
      <c r="H67" s="395"/>
      <c r="I67" s="395"/>
      <c r="J67" s="395"/>
      <c r="K67" s="388"/>
      <c r="L67" s="388"/>
      <c r="M67" s="388"/>
      <c r="N67" s="388"/>
      <c r="O67" s="388"/>
      <c r="P67" s="388"/>
      <c r="Q67" s="388"/>
      <c r="R67" s="388"/>
      <c r="S67" s="388"/>
      <c r="T67" s="388"/>
      <c r="U67" s="388"/>
      <c r="V67" s="388"/>
      <c r="W67" s="388"/>
      <c r="X67" s="388"/>
      <c r="Y67" s="388"/>
      <c r="Z67" s="388"/>
      <c r="AA67" s="388"/>
      <c r="AB67" s="388"/>
      <c r="AC67" s="388"/>
      <c r="AD67" s="388"/>
      <c r="AE67" s="388"/>
      <c r="AF67" s="388"/>
      <c r="AG67" s="388"/>
    </row>
    <row r="68" spans="1:37" x14ac:dyDescent="0.25">
      <c r="B68" s="309" t="s">
        <v>426</v>
      </c>
      <c r="C68" s="310">
        <v>0</v>
      </c>
      <c r="D68" s="205">
        <f>10^-6.7</f>
        <v>1.9952623149688761E-7</v>
      </c>
      <c r="E68" s="205">
        <f>(C68+D68)/2</f>
        <v>9.9763115748443803E-8</v>
      </c>
      <c r="F68" s="66">
        <v>-1.2999999999999999E-2</v>
      </c>
      <c r="G68" s="172">
        <v>-0.01</v>
      </c>
      <c r="H68" s="392"/>
      <c r="I68" s="392"/>
      <c r="J68" s="392"/>
      <c r="K68" s="388"/>
      <c r="L68" s="388"/>
      <c r="M68" s="388"/>
      <c r="N68" s="388"/>
      <c r="O68" s="388"/>
      <c r="P68" s="388"/>
      <c r="Q68" s="388"/>
      <c r="R68" s="388"/>
      <c r="S68" s="388"/>
      <c r="T68" s="388"/>
      <c r="U68" s="388"/>
      <c r="V68" s="388"/>
      <c r="W68" s="388"/>
      <c r="X68" s="388"/>
      <c r="Y68" s="388"/>
      <c r="Z68" s="388"/>
      <c r="AA68" s="388"/>
      <c r="AB68" s="388"/>
      <c r="AC68" s="388"/>
      <c r="AD68" s="388"/>
      <c r="AE68" s="388"/>
      <c r="AF68" s="388"/>
      <c r="AG68" s="388"/>
    </row>
    <row r="69" spans="1:37" s="388" customFormat="1" x14ac:dyDescent="0.25">
      <c r="B69" s="407" t="s">
        <v>542</v>
      </c>
    </row>
    <row r="70" spans="1:37" s="388" customFormat="1" x14ac:dyDescent="0.25">
      <c r="B70" s="407" t="s">
        <v>543</v>
      </c>
    </row>
    <row r="71" spans="1:37" s="388" customFormat="1" x14ac:dyDescent="0.25">
      <c r="B71" s="407" t="s">
        <v>544</v>
      </c>
    </row>
    <row r="72" spans="1:37" s="388" customFormat="1" x14ac:dyDescent="0.25">
      <c r="B72" s="390" t="s">
        <v>545</v>
      </c>
    </row>
    <row r="73" spans="1:37" s="388" customFormat="1" x14ac:dyDescent="0.25"/>
    <row r="74" spans="1:37" s="388" customFormat="1" x14ac:dyDescent="0.25">
      <c r="A74" s="403" t="s">
        <v>185</v>
      </c>
      <c r="B74" s="403" t="s">
        <v>546</v>
      </c>
      <c r="G74" s="388" t="s">
        <v>547</v>
      </c>
    </row>
    <row r="75" spans="1:37" s="388" customFormat="1" x14ac:dyDescent="0.25">
      <c r="B75" s="407" t="s">
        <v>548</v>
      </c>
    </row>
    <row r="76" spans="1:37" s="388" customFormat="1" x14ac:dyDescent="0.25">
      <c r="B76" s="407"/>
    </row>
    <row r="77" spans="1:37" ht="39" x14ac:dyDescent="0.25">
      <c r="B77" s="26"/>
      <c r="C77" s="153" t="s">
        <v>549</v>
      </c>
      <c r="D77" s="173" t="s">
        <v>550</v>
      </c>
      <c r="E77" s="153" t="s">
        <v>551</v>
      </c>
      <c r="F77" s="153" t="s">
        <v>552</v>
      </c>
      <c r="G77" s="153"/>
      <c r="H77" s="173"/>
      <c r="I77" s="153"/>
      <c r="J77" s="311"/>
      <c r="K77" s="388"/>
      <c r="L77" s="391"/>
      <c r="M77" s="432"/>
      <c r="N77" s="432"/>
      <c r="O77" s="388"/>
      <c r="P77" s="388"/>
      <c r="Q77" s="388"/>
      <c r="R77" s="388"/>
      <c r="S77" s="388"/>
      <c r="T77" s="388"/>
      <c r="U77" s="388"/>
      <c r="V77" s="388"/>
      <c r="W77" s="388"/>
      <c r="X77" s="388"/>
      <c r="Y77" s="388"/>
      <c r="Z77" s="388"/>
      <c r="AA77" s="388"/>
      <c r="AB77" s="388"/>
      <c r="AC77" s="388"/>
      <c r="AD77" s="388"/>
      <c r="AE77" s="388"/>
      <c r="AF77" s="388"/>
      <c r="AG77" s="388"/>
      <c r="AH77" s="388"/>
      <c r="AI77" s="388"/>
      <c r="AJ77" s="388"/>
      <c r="AK77" s="388"/>
    </row>
    <row r="78" spans="1:37" x14ac:dyDescent="0.25">
      <c r="B78" s="203" t="s">
        <v>553</v>
      </c>
      <c r="C78" s="157">
        <v>0.224</v>
      </c>
      <c r="D78" s="63">
        <v>0.224</v>
      </c>
      <c r="E78" s="157">
        <v>0.2</v>
      </c>
      <c r="F78" s="157">
        <v>0.25</v>
      </c>
      <c r="G78" s="157"/>
      <c r="H78" s="63"/>
      <c r="I78" s="157"/>
      <c r="J78" s="312"/>
      <c r="K78" s="388"/>
      <c r="L78" s="391"/>
      <c r="M78" s="432"/>
      <c r="N78" s="432"/>
      <c r="O78" s="388"/>
      <c r="P78" s="388"/>
      <c r="Q78" s="388"/>
      <c r="R78" s="388"/>
      <c r="S78" s="388"/>
      <c r="T78" s="388"/>
      <c r="U78" s="388"/>
      <c r="V78" s="388"/>
      <c r="W78" s="388"/>
      <c r="X78" s="388"/>
      <c r="Y78" s="388"/>
      <c r="Z78" s="388"/>
      <c r="AA78" s="388"/>
      <c r="AB78" s="388"/>
      <c r="AC78" s="388"/>
      <c r="AD78" s="388"/>
      <c r="AE78" s="388"/>
      <c r="AF78" s="388"/>
      <c r="AG78" s="388"/>
      <c r="AH78" s="388"/>
      <c r="AI78" s="388"/>
      <c r="AJ78" s="388"/>
      <c r="AK78" s="388"/>
    </row>
    <row r="79" spans="1:37" x14ac:dyDescent="0.25">
      <c r="B79" s="313" t="s">
        <v>357</v>
      </c>
      <c r="C79" s="55">
        <v>-8.4</v>
      </c>
      <c r="D79" s="165">
        <v>-8.4</v>
      </c>
      <c r="E79" s="55">
        <v>-9.2200000000000006</v>
      </c>
      <c r="F79" s="165">
        <v>-7.47</v>
      </c>
      <c r="G79" s="55"/>
      <c r="H79" s="19"/>
      <c r="I79" s="55"/>
      <c r="J79" s="202"/>
      <c r="K79" s="388"/>
      <c r="L79" s="391"/>
      <c r="M79" s="392"/>
      <c r="N79" s="392"/>
      <c r="O79" s="388"/>
      <c r="P79" s="388"/>
      <c r="Q79" s="388"/>
      <c r="R79" s="388"/>
      <c r="S79" s="388"/>
      <c r="T79" s="388"/>
      <c r="U79" s="388"/>
      <c r="V79" s="388"/>
      <c r="W79" s="388"/>
      <c r="X79" s="388"/>
      <c r="Y79" s="388"/>
      <c r="Z79" s="388"/>
      <c r="AA79" s="388"/>
      <c r="AB79" s="388"/>
      <c r="AC79" s="388"/>
      <c r="AD79" s="388"/>
      <c r="AE79" s="388"/>
      <c r="AF79" s="388"/>
      <c r="AG79" s="388"/>
      <c r="AH79" s="388"/>
      <c r="AI79" s="388"/>
      <c r="AJ79" s="388"/>
      <c r="AK79" s="388"/>
    </row>
    <row r="80" spans="1:37" x14ac:dyDescent="0.25">
      <c r="B80" s="231" t="s">
        <v>217</v>
      </c>
      <c r="C80" s="84">
        <v>-7.7</v>
      </c>
      <c r="D80" s="171">
        <v>-7.7</v>
      </c>
      <c r="E80" s="84">
        <v>-8.5299999999999994</v>
      </c>
      <c r="F80" s="84">
        <v>-6.82</v>
      </c>
      <c r="G80" s="84"/>
      <c r="H80" s="170"/>
      <c r="I80" s="84"/>
      <c r="J80" s="236"/>
      <c r="K80" s="388"/>
      <c r="L80" s="391"/>
      <c r="M80" s="392"/>
      <c r="N80" s="392"/>
      <c r="O80" s="388"/>
      <c r="P80" s="388"/>
      <c r="Q80" s="388"/>
      <c r="R80" s="388"/>
      <c r="S80" s="388"/>
      <c r="T80" s="388"/>
      <c r="U80" s="388"/>
      <c r="V80" s="388"/>
      <c r="W80" s="388"/>
      <c r="X80" s="388"/>
      <c r="Y80" s="388"/>
      <c r="Z80" s="388"/>
      <c r="AA80" s="388"/>
      <c r="AB80" s="388"/>
      <c r="AC80" s="388"/>
      <c r="AD80" s="388"/>
      <c r="AE80" s="388"/>
      <c r="AF80" s="388"/>
      <c r="AG80" s="388"/>
      <c r="AH80" s="388"/>
      <c r="AI80" s="388"/>
      <c r="AJ80" s="388"/>
      <c r="AK80" s="388"/>
    </row>
    <row r="81" spans="1:27" s="388" customFormat="1" x14ac:dyDescent="0.25">
      <c r="B81" s="390" t="s">
        <v>554</v>
      </c>
      <c r="C81" s="392"/>
      <c r="D81" s="394"/>
      <c r="E81" s="392"/>
      <c r="F81" s="392"/>
      <c r="G81" s="392"/>
      <c r="H81" s="394"/>
      <c r="I81" s="392"/>
      <c r="J81" s="392"/>
      <c r="L81" s="391"/>
      <c r="M81" s="392"/>
      <c r="N81" s="392"/>
    </row>
    <row r="82" spans="1:27" s="388" customFormat="1" x14ac:dyDescent="0.25">
      <c r="B82" s="407" t="s">
        <v>555</v>
      </c>
    </row>
    <row r="83" spans="1:27" s="388" customFormat="1" x14ac:dyDescent="0.25">
      <c r="B83" s="390" t="s">
        <v>556</v>
      </c>
    </row>
    <row r="84" spans="1:27" s="388" customFormat="1" x14ac:dyDescent="0.25">
      <c r="B84" s="390"/>
    </row>
    <row r="85" spans="1:27" s="388" customFormat="1" x14ac:dyDescent="0.25">
      <c r="A85" s="403" t="s">
        <v>195</v>
      </c>
      <c r="B85" s="403" t="s">
        <v>557</v>
      </c>
    </row>
    <row r="86" spans="1:27" s="388" customFormat="1" x14ac:dyDescent="0.25">
      <c r="A86" s="403"/>
      <c r="B86" s="388" t="s">
        <v>558</v>
      </c>
    </row>
    <row r="87" spans="1:27" ht="26.25" x14ac:dyDescent="0.25">
      <c r="A87" s="403"/>
      <c r="B87" s="314"/>
      <c r="C87" s="173" t="s">
        <v>559</v>
      </c>
      <c r="D87" s="173" t="s">
        <v>560</v>
      </c>
      <c r="E87" s="174" t="s">
        <v>561</v>
      </c>
      <c r="F87" s="315" t="s">
        <v>562</v>
      </c>
      <c r="G87" s="432"/>
      <c r="H87" s="432"/>
      <c r="I87" s="388"/>
      <c r="J87" s="388"/>
      <c r="K87" s="388"/>
      <c r="L87" s="388"/>
      <c r="M87" s="388"/>
      <c r="N87" s="388"/>
      <c r="O87" s="388"/>
      <c r="P87" s="388"/>
      <c r="Q87" s="388"/>
      <c r="R87" s="388"/>
      <c r="S87" s="388"/>
      <c r="T87" s="388"/>
      <c r="U87" s="388"/>
      <c r="V87" s="388"/>
      <c r="W87" s="388"/>
      <c r="X87" s="388"/>
      <c r="Y87" s="388"/>
    </row>
    <row r="88" spans="1:27" x14ac:dyDescent="0.25">
      <c r="A88" s="403"/>
      <c r="B88" s="316" t="s">
        <v>563</v>
      </c>
      <c r="C88" s="66">
        <v>2.7</v>
      </c>
      <c r="D88" s="66">
        <v>2</v>
      </c>
      <c r="E88" s="172">
        <v>3.4</v>
      </c>
      <c r="F88" s="317">
        <v>2.7</v>
      </c>
      <c r="G88" s="392"/>
      <c r="H88" s="388"/>
      <c r="I88" s="388"/>
      <c r="J88" s="388"/>
      <c r="K88" s="388"/>
      <c r="L88" s="388"/>
      <c r="M88" s="388"/>
      <c r="N88" s="388"/>
      <c r="O88" s="388"/>
      <c r="P88" s="388"/>
      <c r="Q88" s="388"/>
      <c r="R88" s="388"/>
      <c r="S88" s="388"/>
      <c r="T88" s="388"/>
      <c r="U88" s="388"/>
      <c r="V88" s="388"/>
      <c r="W88" s="388"/>
      <c r="X88" s="388"/>
      <c r="Y88" s="388"/>
    </row>
    <row r="89" spans="1:27" s="388" customFormat="1" x14ac:dyDescent="0.25">
      <c r="A89" s="403"/>
      <c r="G89" s="423"/>
    </row>
    <row r="90" spans="1:27" s="388" customFormat="1" x14ac:dyDescent="0.25">
      <c r="A90" s="403" t="s">
        <v>401</v>
      </c>
      <c r="B90" s="453" t="s">
        <v>515</v>
      </c>
    </row>
    <row r="91" spans="1:27" s="388" customFormat="1" x14ac:dyDescent="0.25">
      <c r="B91" s="398" t="s">
        <v>564</v>
      </c>
    </row>
    <row r="92" spans="1:27" ht="26.25" x14ac:dyDescent="0.25">
      <c r="B92" s="314"/>
      <c r="C92" s="173" t="s">
        <v>559</v>
      </c>
      <c r="D92" s="173" t="s">
        <v>560</v>
      </c>
      <c r="E92" s="174" t="s">
        <v>561</v>
      </c>
      <c r="F92" s="315" t="s">
        <v>562</v>
      </c>
      <c r="G92" s="388"/>
      <c r="H92" s="388"/>
      <c r="I92" s="388"/>
      <c r="J92" s="388"/>
      <c r="K92" s="388"/>
      <c r="L92" s="388"/>
      <c r="M92" s="388"/>
      <c r="N92" s="388"/>
      <c r="O92" s="388"/>
      <c r="P92" s="388"/>
      <c r="Q92" s="388"/>
      <c r="R92" s="388"/>
      <c r="S92" s="388"/>
      <c r="T92" s="388"/>
      <c r="U92" s="388"/>
      <c r="V92" s="388"/>
      <c r="W92" s="388"/>
      <c r="X92" s="388"/>
      <c r="Y92" s="388"/>
      <c r="Z92" s="388"/>
      <c r="AA92" s="388"/>
    </row>
    <row r="93" spans="1:27" x14ac:dyDescent="0.25">
      <c r="B93" s="316" t="s">
        <v>563</v>
      </c>
      <c r="C93" s="66">
        <v>4.76</v>
      </c>
      <c r="D93" s="66">
        <v>4.25</v>
      </c>
      <c r="E93" s="172">
        <v>5.21</v>
      </c>
      <c r="F93" s="318">
        <v>4.8099999999999996</v>
      </c>
      <c r="G93" s="456"/>
      <c r="H93" s="392"/>
      <c r="I93" s="388"/>
      <c r="J93" s="388"/>
      <c r="K93" s="388"/>
      <c r="L93" s="388"/>
      <c r="M93" s="388"/>
      <c r="N93" s="388"/>
      <c r="O93" s="388"/>
      <c r="P93" s="388"/>
      <c r="Q93" s="388"/>
      <c r="R93" s="388"/>
      <c r="S93" s="388"/>
      <c r="T93" s="388"/>
      <c r="U93" s="388"/>
      <c r="V93" s="388"/>
      <c r="W93" s="388"/>
      <c r="X93" s="388"/>
      <c r="Y93" s="388"/>
      <c r="Z93" s="388"/>
      <c r="AA93" s="388"/>
    </row>
    <row r="94" spans="1:27" x14ac:dyDescent="0.25">
      <c r="B94" s="388"/>
      <c r="C94" s="388"/>
      <c r="D94" s="388"/>
      <c r="E94" s="388"/>
      <c r="F94" s="388"/>
      <c r="G94" s="388"/>
      <c r="H94" s="388"/>
      <c r="I94" s="388"/>
      <c r="J94" s="388"/>
      <c r="K94" s="388"/>
      <c r="L94" s="388"/>
      <c r="M94" s="388"/>
      <c r="N94" s="388"/>
      <c r="O94" s="388"/>
      <c r="P94" s="388"/>
      <c r="Q94" s="388"/>
      <c r="R94" s="388"/>
      <c r="S94" s="388"/>
      <c r="T94" s="388"/>
      <c r="U94" s="388"/>
      <c r="V94" s="388"/>
      <c r="W94" s="388"/>
      <c r="X94" s="388"/>
      <c r="Y94" s="388"/>
      <c r="Z94" s="388"/>
      <c r="AA94" s="388"/>
    </row>
    <row r="95" spans="1:27" x14ac:dyDescent="0.25">
      <c r="B95" s="388"/>
      <c r="C95" s="388"/>
      <c r="D95" s="388"/>
      <c r="E95" s="388"/>
      <c r="F95" s="388"/>
      <c r="G95" s="388"/>
      <c r="H95" s="388"/>
      <c r="I95" s="388"/>
      <c r="J95" s="388"/>
      <c r="K95" s="388"/>
      <c r="L95" s="388"/>
      <c r="M95" s="388"/>
      <c r="N95" s="388"/>
      <c r="O95" s="388"/>
      <c r="P95" s="388"/>
      <c r="Q95" s="388"/>
      <c r="R95" s="388"/>
      <c r="S95" s="388"/>
      <c r="T95" s="388"/>
      <c r="U95" s="388"/>
      <c r="V95" s="388"/>
      <c r="W95" s="388"/>
      <c r="X95" s="388"/>
      <c r="Y95" s="388"/>
      <c r="Z95" s="388"/>
      <c r="AA95" s="388"/>
    </row>
    <row r="96" spans="1:27" x14ac:dyDescent="0.25">
      <c r="B96" s="388"/>
      <c r="C96" s="388"/>
      <c r="D96" s="388"/>
      <c r="E96" s="388"/>
      <c r="F96" s="388"/>
      <c r="G96" s="388"/>
      <c r="H96" s="388"/>
      <c r="I96" s="388"/>
      <c r="J96" s="388"/>
      <c r="K96" s="388"/>
      <c r="L96" s="388"/>
      <c r="M96" s="388"/>
      <c r="N96" s="388"/>
      <c r="O96" s="388"/>
      <c r="P96" s="388"/>
      <c r="Q96" s="388"/>
      <c r="R96" s="388"/>
      <c r="S96" s="388"/>
      <c r="T96" s="388"/>
    </row>
    <row r="97" spans="2:20" x14ac:dyDescent="0.25">
      <c r="B97" s="388"/>
      <c r="C97" s="388"/>
      <c r="D97" s="388"/>
      <c r="E97" s="388"/>
      <c r="F97" s="388"/>
      <c r="G97" s="388"/>
      <c r="H97" s="388"/>
      <c r="I97" s="388"/>
      <c r="J97" s="388"/>
      <c r="K97" s="388"/>
      <c r="L97" s="388"/>
      <c r="M97" s="388"/>
      <c r="N97" s="388"/>
      <c r="O97" s="388"/>
      <c r="P97" s="388"/>
      <c r="Q97" s="388"/>
      <c r="R97" s="388"/>
      <c r="S97" s="388"/>
      <c r="T97" s="388"/>
    </row>
    <row r="98" spans="2:20" x14ac:dyDescent="0.25">
      <c r="B98" s="388"/>
      <c r="C98" s="388"/>
      <c r="D98" s="388"/>
      <c r="E98" s="388"/>
      <c r="F98" s="388"/>
      <c r="G98" s="388"/>
      <c r="H98" s="388"/>
      <c r="I98" s="388"/>
      <c r="J98" s="388"/>
      <c r="K98" s="388"/>
      <c r="L98" s="388"/>
      <c r="M98" s="388"/>
      <c r="N98" s="388"/>
      <c r="O98" s="388"/>
      <c r="P98" s="388"/>
      <c r="Q98" s="388"/>
      <c r="R98" s="388"/>
      <c r="S98" s="388"/>
      <c r="T98" s="388"/>
    </row>
    <row r="99" spans="2:20" x14ac:dyDescent="0.25">
      <c r="B99" s="388"/>
      <c r="C99" s="388"/>
      <c r="D99" s="388"/>
      <c r="E99" s="388"/>
      <c r="F99" s="388"/>
      <c r="G99" s="388"/>
      <c r="H99" s="388"/>
      <c r="I99" s="388"/>
      <c r="J99" s="388"/>
      <c r="K99" s="388"/>
      <c r="L99" s="388"/>
      <c r="M99" s="388"/>
      <c r="N99" s="388"/>
      <c r="O99" s="388"/>
      <c r="P99" s="388"/>
      <c r="Q99" s="388"/>
      <c r="R99" s="388"/>
      <c r="S99" s="388"/>
      <c r="T99" s="388"/>
    </row>
    <row r="100" spans="2:20" x14ac:dyDescent="0.25">
      <c r="B100" s="388"/>
      <c r="C100" s="388"/>
      <c r="D100" s="388"/>
      <c r="E100" s="388"/>
      <c r="F100" s="388"/>
      <c r="G100" s="388"/>
      <c r="H100" s="388"/>
      <c r="I100" s="388"/>
      <c r="J100" s="388"/>
      <c r="K100" s="388"/>
      <c r="L100" s="388"/>
      <c r="M100" s="388"/>
      <c r="N100" s="388"/>
      <c r="O100" s="388"/>
      <c r="P100" s="388"/>
      <c r="Q100" s="388"/>
      <c r="R100" s="388"/>
      <c r="S100" s="388"/>
      <c r="T100" s="388"/>
    </row>
    <row r="101" spans="2:20" x14ac:dyDescent="0.25">
      <c r="B101" s="388"/>
      <c r="C101" s="388"/>
      <c r="D101" s="388"/>
      <c r="E101" s="388"/>
      <c r="F101" s="388"/>
      <c r="G101" s="388"/>
      <c r="H101" s="388"/>
      <c r="I101" s="388"/>
      <c r="J101" s="388"/>
      <c r="K101" s="388"/>
      <c r="L101" s="388"/>
      <c r="M101" s="388"/>
      <c r="N101" s="388"/>
      <c r="O101" s="388"/>
      <c r="P101" s="388"/>
      <c r="Q101" s="388"/>
      <c r="R101" s="388"/>
      <c r="S101" s="388"/>
      <c r="T101" s="388"/>
    </row>
    <row r="102" spans="2:20" x14ac:dyDescent="0.25">
      <c r="B102" s="388"/>
      <c r="C102" s="388"/>
      <c r="D102" s="388"/>
      <c r="E102" s="388"/>
      <c r="F102" s="388"/>
      <c r="G102" s="388"/>
      <c r="H102" s="388"/>
      <c r="I102" s="388"/>
      <c r="J102" s="388"/>
      <c r="K102" s="388"/>
      <c r="L102" s="388"/>
      <c r="M102" s="388"/>
      <c r="N102" s="388"/>
      <c r="O102" s="388"/>
      <c r="P102" s="388"/>
      <c r="Q102" s="388"/>
      <c r="R102" s="388"/>
      <c r="S102" s="388"/>
      <c r="T102" s="388"/>
    </row>
    <row r="103" spans="2:20" x14ac:dyDescent="0.25">
      <c r="B103" s="388"/>
      <c r="C103" s="388"/>
      <c r="D103" s="388"/>
      <c r="E103" s="388"/>
      <c r="F103" s="388"/>
      <c r="G103" s="388"/>
      <c r="H103" s="388"/>
      <c r="I103" s="388"/>
      <c r="J103" s="388"/>
      <c r="K103" s="388"/>
      <c r="L103" s="388"/>
      <c r="M103" s="388"/>
      <c r="N103" s="388"/>
      <c r="O103" s="388"/>
      <c r="P103" s="388"/>
      <c r="Q103" s="388"/>
      <c r="R103" s="388"/>
      <c r="S103" s="388"/>
      <c r="T103" s="388"/>
    </row>
    <row r="104" spans="2:20" x14ac:dyDescent="0.25">
      <c r="B104" s="388"/>
      <c r="C104" s="388"/>
      <c r="D104" s="388"/>
      <c r="E104" s="388"/>
      <c r="F104" s="388"/>
      <c r="G104" s="388"/>
      <c r="H104" s="388"/>
      <c r="I104" s="388"/>
      <c r="J104" s="388"/>
      <c r="K104" s="388"/>
      <c r="L104" s="388"/>
      <c r="M104" s="388"/>
      <c r="N104" s="388"/>
      <c r="O104" s="388"/>
      <c r="P104" s="388"/>
      <c r="Q104" s="388"/>
      <c r="R104" s="388"/>
      <c r="S104" s="388"/>
      <c r="T104" s="388"/>
    </row>
    <row r="105" spans="2:20" x14ac:dyDescent="0.25">
      <c r="B105" s="388"/>
      <c r="C105" s="388"/>
      <c r="D105" s="388"/>
      <c r="E105" s="388"/>
      <c r="F105" s="388"/>
      <c r="G105" s="388"/>
      <c r="H105" s="388"/>
      <c r="I105" s="388"/>
      <c r="J105" s="388"/>
      <c r="K105" s="388"/>
      <c r="L105" s="388"/>
      <c r="M105" s="388"/>
      <c r="N105" s="388"/>
      <c r="O105" s="388"/>
      <c r="P105" s="388"/>
      <c r="Q105" s="388"/>
      <c r="R105" s="388"/>
      <c r="S105" s="388"/>
      <c r="T105" s="388"/>
    </row>
    <row r="106" spans="2:20" x14ac:dyDescent="0.25">
      <c r="B106" s="388"/>
      <c r="C106" s="388"/>
      <c r="D106" s="388"/>
      <c r="E106" s="388"/>
      <c r="F106" s="388"/>
      <c r="G106" s="388"/>
      <c r="H106" s="388"/>
      <c r="I106" s="388"/>
      <c r="J106" s="388"/>
      <c r="K106" s="388"/>
      <c r="L106" s="388"/>
      <c r="M106" s="388"/>
      <c r="N106" s="388"/>
      <c r="O106" s="388"/>
      <c r="P106" s="388"/>
      <c r="Q106" s="388"/>
      <c r="R106" s="388"/>
      <c r="S106" s="388"/>
      <c r="T106" s="388"/>
    </row>
    <row r="107" spans="2:20" x14ac:dyDescent="0.25">
      <c r="B107" s="388"/>
      <c r="C107" s="388"/>
      <c r="D107" s="388"/>
      <c r="E107" s="388"/>
      <c r="F107" s="388"/>
      <c r="G107" s="388"/>
      <c r="H107" s="388"/>
      <c r="I107" s="388"/>
      <c r="J107" s="388"/>
      <c r="K107" s="388"/>
      <c r="L107" s="388"/>
      <c r="M107" s="388"/>
      <c r="N107" s="388"/>
      <c r="O107" s="388"/>
      <c r="P107" s="388"/>
      <c r="Q107" s="388"/>
      <c r="R107" s="388"/>
      <c r="S107" s="388"/>
      <c r="T107" s="388"/>
    </row>
    <row r="108" spans="2:20" x14ac:dyDescent="0.25">
      <c r="B108" s="388"/>
      <c r="C108" s="388"/>
      <c r="D108" s="388"/>
      <c r="E108" s="388"/>
      <c r="F108" s="388"/>
      <c r="G108" s="388"/>
      <c r="H108" s="388"/>
      <c r="I108" s="388"/>
      <c r="J108" s="388"/>
      <c r="K108" s="388"/>
      <c r="L108" s="388"/>
      <c r="M108" s="388"/>
      <c r="N108" s="388"/>
      <c r="O108" s="388"/>
      <c r="P108" s="388"/>
      <c r="Q108" s="388"/>
      <c r="R108" s="388"/>
      <c r="S108" s="388"/>
      <c r="T108" s="388"/>
    </row>
    <row r="109" spans="2:20" x14ac:dyDescent="0.25">
      <c r="B109" s="388"/>
      <c r="C109" s="388"/>
      <c r="D109" s="388"/>
      <c r="E109" s="388"/>
      <c r="F109" s="388"/>
      <c r="G109" s="388"/>
      <c r="H109" s="388"/>
      <c r="I109" s="388"/>
      <c r="J109" s="388"/>
      <c r="K109" s="388"/>
      <c r="L109" s="388"/>
      <c r="M109" s="388"/>
      <c r="N109" s="388"/>
      <c r="O109" s="388"/>
      <c r="P109" s="388"/>
      <c r="Q109" s="388"/>
      <c r="R109" s="388"/>
      <c r="S109" s="388"/>
      <c r="T109" s="388"/>
    </row>
    <row r="110" spans="2:20" x14ac:dyDescent="0.25">
      <c r="B110" s="388"/>
      <c r="C110" s="388"/>
      <c r="D110" s="388"/>
      <c r="E110" s="388"/>
      <c r="F110" s="388"/>
      <c r="G110" s="388"/>
      <c r="H110" s="388"/>
      <c r="I110" s="388"/>
      <c r="J110" s="388"/>
      <c r="K110" s="388"/>
      <c r="L110" s="388"/>
      <c r="M110" s="388"/>
      <c r="N110" s="388"/>
      <c r="O110" s="388"/>
      <c r="P110" s="388"/>
      <c r="Q110" s="388"/>
      <c r="R110" s="388"/>
      <c r="S110" s="388"/>
      <c r="T110" s="388"/>
    </row>
    <row r="111" spans="2:20" x14ac:dyDescent="0.25">
      <c r="B111" s="388"/>
      <c r="C111" s="388"/>
      <c r="D111" s="388"/>
      <c r="E111" s="388"/>
      <c r="F111" s="388"/>
      <c r="G111" s="388"/>
      <c r="H111" s="388"/>
      <c r="I111" s="388"/>
      <c r="J111" s="388"/>
      <c r="K111" s="388"/>
      <c r="L111" s="388"/>
      <c r="M111" s="388"/>
      <c r="N111" s="388"/>
      <c r="O111" s="388"/>
      <c r="P111" s="388"/>
      <c r="Q111" s="388"/>
      <c r="R111" s="388"/>
      <c r="S111" s="388"/>
      <c r="T111" s="388"/>
    </row>
    <row r="112" spans="2:20" x14ac:dyDescent="0.25">
      <c r="B112" s="388"/>
      <c r="C112" s="388"/>
      <c r="D112" s="388"/>
      <c r="E112" s="388"/>
      <c r="F112" s="388"/>
      <c r="G112" s="388"/>
      <c r="H112" s="388"/>
      <c r="I112" s="388"/>
      <c r="J112" s="388"/>
      <c r="K112" s="388"/>
      <c r="L112" s="388"/>
      <c r="M112" s="388"/>
      <c r="N112" s="388"/>
      <c r="O112" s="388"/>
      <c r="P112" s="388"/>
      <c r="Q112" s="388"/>
      <c r="R112" s="388"/>
      <c r="S112" s="388"/>
      <c r="T112" s="388"/>
    </row>
    <row r="113" spans="2:20" x14ac:dyDescent="0.25">
      <c r="B113" s="388"/>
      <c r="C113" s="388"/>
      <c r="D113" s="388"/>
      <c r="E113" s="388"/>
      <c r="F113" s="388"/>
      <c r="G113" s="388"/>
      <c r="H113" s="388"/>
      <c r="I113" s="388"/>
      <c r="J113" s="388"/>
      <c r="K113" s="388"/>
      <c r="L113" s="388"/>
      <c r="M113" s="388"/>
      <c r="N113" s="388"/>
      <c r="O113" s="388"/>
      <c r="P113" s="388"/>
      <c r="Q113" s="388"/>
      <c r="R113" s="388"/>
      <c r="S113" s="388"/>
      <c r="T113" s="388"/>
    </row>
    <row r="114" spans="2:20" x14ac:dyDescent="0.25">
      <c r="B114" s="388"/>
      <c r="C114" s="388"/>
      <c r="D114" s="388"/>
      <c r="E114" s="388"/>
      <c r="F114" s="388"/>
      <c r="G114" s="388"/>
      <c r="H114" s="388"/>
      <c r="I114" s="388"/>
      <c r="J114" s="388"/>
      <c r="K114" s="388"/>
      <c r="L114" s="388"/>
      <c r="M114" s="388"/>
      <c r="N114" s="388"/>
      <c r="O114" s="388"/>
      <c r="P114" s="388"/>
      <c r="Q114" s="388"/>
      <c r="R114" s="388"/>
      <c r="S114" s="388"/>
      <c r="T114" s="388"/>
    </row>
    <row r="115" spans="2:20" x14ac:dyDescent="0.25">
      <c r="B115" s="388"/>
      <c r="C115" s="388"/>
      <c r="D115" s="388"/>
      <c r="E115" s="388"/>
      <c r="F115" s="388"/>
      <c r="G115" s="388"/>
      <c r="H115" s="388"/>
      <c r="I115" s="388"/>
      <c r="J115" s="388"/>
      <c r="K115" s="388"/>
      <c r="L115" s="388"/>
      <c r="M115" s="388"/>
      <c r="N115" s="388"/>
      <c r="O115" s="388"/>
      <c r="P115" s="388"/>
      <c r="Q115" s="388"/>
      <c r="R115" s="388"/>
      <c r="S115" s="388"/>
      <c r="T115" s="388"/>
    </row>
    <row r="116" spans="2:20" x14ac:dyDescent="0.25">
      <c r="B116" s="388"/>
      <c r="C116" s="388"/>
      <c r="D116" s="388"/>
      <c r="E116" s="388"/>
      <c r="F116" s="388"/>
      <c r="G116" s="388"/>
      <c r="H116" s="388"/>
      <c r="I116" s="388"/>
      <c r="J116" s="388"/>
      <c r="K116" s="388"/>
      <c r="L116" s="388"/>
      <c r="M116" s="388"/>
      <c r="N116" s="388"/>
      <c r="O116" s="388"/>
      <c r="P116" s="388"/>
      <c r="Q116" s="388"/>
      <c r="R116" s="388"/>
      <c r="S116" s="388"/>
      <c r="T116" s="388"/>
    </row>
    <row r="117" spans="2:20" x14ac:dyDescent="0.25">
      <c r="B117" s="388"/>
      <c r="C117" s="388"/>
      <c r="D117" s="388"/>
      <c r="E117" s="388"/>
      <c r="F117" s="388"/>
      <c r="G117" s="388"/>
      <c r="H117" s="388"/>
      <c r="I117" s="388"/>
      <c r="J117" s="388"/>
      <c r="K117" s="388"/>
      <c r="L117" s="388"/>
      <c r="M117" s="388"/>
      <c r="N117" s="388"/>
      <c r="O117" s="388"/>
      <c r="P117" s="388"/>
      <c r="Q117" s="388"/>
      <c r="R117" s="388"/>
      <c r="S117" s="388"/>
      <c r="T117" s="388"/>
    </row>
    <row r="118" spans="2:20" x14ac:dyDescent="0.25">
      <c r="B118" s="388"/>
      <c r="C118" s="388"/>
      <c r="D118" s="388"/>
      <c r="E118" s="388"/>
      <c r="F118" s="388"/>
      <c r="G118" s="388"/>
      <c r="H118" s="388"/>
      <c r="I118" s="388"/>
      <c r="J118" s="388"/>
      <c r="K118" s="388"/>
      <c r="L118" s="388"/>
      <c r="M118" s="388"/>
      <c r="N118" s="388"/>
      <c r="O118" s="388"/>
      <c r="P118" s="388"/>
      <c r="Q118" s="388"/>
      <c r="R118" s="388"/>
      <c r="S118" s="388"/>
      <c r="T118" s="388"/>
    </row>
    <row r="119" spans="2:20" x14ac:dyDescent="0.25">
      <c r="B119" s="388"/>
      <c r="C119" s="388"/>
      <c r="D119" s="388"/>
      <c r="E119" s="388"/>
      <c r="F119" s="388"/>
      <c r="G119" s="388"/>
      <c r="H119" s="388"/>
      <c r="I119" s="388"/>
      <c r="J119" s="388"/>
      <c r="K119" s="388"/>
      <c r="L119" s="388"/>
      <c r="M119" s="388"/>
      <c r="N119" s="388"/>
      <c r="O119" s="388"/>
      <c r="P119" s="388"/>
      <c r="Q119" s="388"/>
      <c r="R119" s="388"/>
      <c r="S119" s="388"/>
      <c r="T119" s="388"/>
    </row>
    <row r="120" spans="2:20" x14ac:dyDescent="0.25">
      <c r="B120" s="388"/>
      <c r="C120" s="388"/>
      <c r="D120" s="388"/>
      <c r="E120" s="388"/>
      <c r="F120" s="388"/>
      <c r="G120" s="388"/>
      <c r="H120" s="388"/>
      <c r="I120" s="388"/>
      <c r="J120" s="388"/>
      <c r="K120" s="388"/>
      <c r="L120" s="388"/>
      <c r="M120" s="388"/>
      <c r="N120" s="388"/>
      <c r="O120" s="388"/>
      <c r="P120" s="388"/>
      <c r="Q120" s="388"/>
      <c r="R120" s="388"/>
      <c r="S120" s="388"/>
      <c r="T120" s="388"/>
    </row>
    <row r="121" spans="2:20" x14ac:dyDescent="0.25">
      <c r="B121" s="388"/>
      <c r="C121" s="388"/>
      <c r="D121" s="388"/>
      <c r="E121" s="388"/>
      <c r="F121" s="388"/>
      <c r="G121" s="388"/>
      <c r="H121" s="388"/>
      <c r="I121" s="388"/>
      <c r="J121" s="388"/>
      <c r="K121" s="388"/>
      <c r="L121" s="388"/>
      <c r="M121" s="388"/>
      <c r="N121" s="388"/>
      <c r="O121" s="388"/>
      <c r="P121" s="388"/>
      <c r="Q121" s="388"/>
      <c r="R121" s="388"/>
      <c r="S121" s="388"/>
      <c r="T121" s="388"/>
    </row>
    <row r="122" spans="2:20" x14ac:dyDescent="0.25">
      <c r="B122" s="388"/>
      <c r="C122" s="388"/>
      <c r="D122" s="388"/>
      <c r="E122" s="388"/>
      <c r="F122" s="388"/>
      <c r="G122" s="388"/>
      <c r="H122" s="388"/>
      <c r="I122" s="388"/>
      <c r="J122" s="388"/>
      <c r="K122" s="388"/>
      <c r="L122" s="388"/>
      <c r="M122" s="388"/>
      <c r="N122" s="388"/>
      <c r="O122" s="388"/>
      <c r="P122" s="388"/>
      <c r="Q122" s="388"/>
      <c r="R122" s="388"/>
      <c r="S122" s="388"/>
      <c r="T122" s="388"/>
    </row>
    <row r="123" spans="2:20" x14ac:dyDescent="0.25">
      <c r="B123" s="388"/>
      <c r="C123" s="388"/>
      <c r="D123" s="388"/>
      <c r="E123" s="388"/>
      <c r="F123" s="388"/>
      <c r="G123" s="388"/>
      <c r="H123" s="388"/>
      <c r="I123" s="388"/>
      <c r="J123" s="388"/>
      <c r="K123" s="388"/>
      <c r="L123" s="388"/>
      <c r="M123" s="388"/>
      <c r="N123" s="388"/>
      <c r="O123" s="388"/>
      <c r="P123" s="388"/>
      <c r="Q123" s="388"/>
      <c r="R123" s="388"/>
      <c r="S123" s="388"/>
      <c r="T123" s="388"/>
    </row>
    <row r="124" spans="2:20" x14ac:dyDescent="0.25">
      <c r="B124" s="388"/>
      <c r="C124" s="388"/>
      <c r="D124" s="388"/>
      <c r="E124" s="388"/>
      <c r="F124" s="388"/>
      <c r="G124" s="388"/>
      <c r="H124" s="388"/>
      <c r="I124" s="388"/>
      <c r="J124" s="388"/>
      <c r="K124" s="388"/>
      <c r="L124" s="388"/>
      <c r="M124" s="388"/>
      <c r="N124" s="388"/>
      <c r="O124" s="388"/>
      <c r="P124" s="388"/>
      <c r="Q124" s="388"/>
      <c r="R124" s="388"/>
      <c r="S124" s="388"/>
      <c r="T124" s="388"/>
    </row>
    <row r="125" spans="2:20" x14ac:dyDescent="0.25">
      <c r="B125" s="388"/>
      <c r="C125" s="388"/>
      <c r="D125" s="388"/>
      <c r="E125" s="388"/>
      <c r="F125" s="388"/>
      <c r="G125" s="388"/>
      <c r="H125" s="388"/>
      <c r="I125" s="388"/>
      <c r="J125" s="388"/>
      <c r="K125" s="388"/>
      <c r="L125" s="388"/>
      <c r="M125" s="388"/>
      <c r="N125" s="388"/>
      <c r="O125" s="388"/>
      <c r="P125" s="388"/>
      <c r="Q125" s="388"/>
      <c r="R125" s="388"/>
      <c r="S125" s="388"/>
      <c r="T125" s="388"/>
    </row>
    <row r="126" spans="2:20" x14ac:dyDescent="0.25">
      <c r="B126" s="388"/>
      <c r="C126" s="388"/>
      <c r="D126" s="388"/>
      <c r="E126" s="388"/>
      <c r="F126" s="388"/>
      <c r="G126" s="388"/>
      <c r="H126" s="388"/>
      <c r="I126" s="388"/>
      <c r="J126" s="388"/>
      <c r="K126" s="388"/>
      <c r="L126" s="388"/>
      <c r="M126" s="388"/>
      <c r="N126" s="388"/>
      <c r="O126" s="388"/>
      <c r="P126" s="388"/>
      <c r="Q126" s="388"/>
      <c r="R126" s="388"/>
      <c r="S126" s="388"/>
      <c r="T126" s="388"/>
    </row>
    <row r="127" spans="2:20" x14ac:dyDescent="0.25">
      <c r="B127" s="388"/>
      <c r="C127" s="388"/>
      <c r="D127" s="388"/>
      <c r="E127" s="388"/>
      <c r="F127" s="388"/>
      <c r="G127" s="388"/>
      <c r="H127" s="388"/>
      <c r="I127" s="388"/>
      <c r="J127" s="388"/>
      <c r="K127" s="388"/>
      <c r="L127" s="388"/>
      <c r="M127" s="388"/>
      <c r="N127" s="388"/>
      <c r="O127" s="388"/>
      <c r="P127" s="388"/>
      <c r="Q127" s="388"/>
      <c r="R127" s="388"/>
      <c r="S127" s="388"/>
      <c r="T127" s="388"/>
    </row>
    <row r="128" spans="2:20" x14ac:dyDescent="0.25">
      <c r="B128" s="388"/>
      <c r="C128" s="388"/>
      <c r="D128" s="388"/>
      <c r="E128" s="388"/>
      <c r="F128" s="388"/>
      <c r="G128" s="388"/>
      <c r="H128" s="388"/>
      <c r="I128" s="388"/>
      <c r="J128" s="388"/>
      <c r="K128" s="388"/>
      <c r="L128" s="388"/>
      <c r="M128" s="388"/>
      <c r="N128" s="388"/>
      <c r="O128" s="388"/>
      <c r="P128" s="388"/>
      <c r="Q128" s="388"/>
      <c r="R128" s="388"/>
      <c r="S128" s="388"/>
      <c r="T128" s="388"/>
    </row>
    <row r="129" spans="2:20" x14ac:dyDescent="0.25">
      <c r="B129" s="388"/>
      <c r="C129" s="388"/>
      <c r="D129" s="388"/>
      <c r="E129" s="388"/>
      <c r="F129" s="388"/>
      <c r="G129" s="388"/>
      <c r="H129" s="388"/>
      <c r="I129" s="388"/>
      <c r="J129" s="388"/>
      <c r="K129" s="388"/>
      <c r="L129" s="388"/>
      <c r="M129" s="388"/>
      <c r="N129" s="388"/>
      <c r="O129" s="388"/>
      <c r="P129" s="388"/>
      <c r="Q129" s="388"/>
      <c r="R129" s="388"/>
      <c r="S129" s="388"/>
      <c r="T129" s="388"/>
    </row>
    <row r="130" spans="2:20" x14ac:dyDescent="0.25">
      <c r="B130" s="388"/>
      <c r="C130" s="388"/>
      <c r="D130" s="388"/>
      <c r="E130" s="388"/>
      <c r="F130" s="388"/>
      <c r="G130" s="388"/>
      <c r="H130" s="388"/>
      <c r="I130" s="388"/>
      <c r="J130" s="388"/>
      <c r="K130" s="388"/>
      <c r="L130" s="388"/>
      <c r="M130" s="388"/>
      <c r="N130" s="388"/>
      <c r="O130" s="388"/>
      <c r="P130" s="388"/>
      <c r="Q130" s="388"/>
      <c r="R130" s="388"/>
      <c r="S130" s="388"/>
      <c r="T130" s="388"/>
    </row>
    <row r="131" spans="2:20" x14ac:dyDescent="0.25">
      <c r="B131" s="388"/>
      <c r="C131" s="388"/>
      <c r="D131" s="388"/>
      <c r="E131" s="388"/>
      <c r="F131" s="388"/>
      <c r="G131" s="388"/>
      <c r="H131" s="388"/>
      <c r="I131" s="388"/>
      <c r="J131" s="388"/>
      <c r="K131" s="388"/>
      <c r="L131" s="388"/>
      <c r="M131" s="388"/>
      <c r="N131" s="388"/>
      <c r="O131" s="388"/>
      <c r="P131" s="388"/>
      <c r="Q131" s="388"/>
      <c r="R131" s="388"/>
      <c r="S131" s="388"/>
      <c r="T131" s="388"/>
    </row>
    <row r="132" spans="2:20" x14ac:dyDescent="0.25">
      <c r="B132" s="388"/>
      <c r="C132" s="388"/>
      <c r="D132" s="388"/>
      <c r="E132" s="388"/>
      <c r="F132" s="388"/>
      <c r="G132" s="388"/>
      <c r="H132" s="388"/>
      <c r="I132" s="388"/>
      <c r="J132" s="388"/>
      <c r="K132" s="388"/>
      <c r="L132" s="388"/>
      <c r="M132" s="388"/>
      <c r="N132" s="388"/>
      <c r="O132" s="388"/>
      <c r="P132" s="388"/>
      <c r="Q132" s="388"/>
      <c r="R132" s="388"/>
      <c r="S132" s="388"/>
      <c r="T132" s="388"/>
    </row>
    <row r="133" spans="2:20" x14ac:dyDescent="0.25">
      <c r="B133" s="388"/>
      <c r="C133" s="388"/>
      <c r="D133" s="388"/>
      <c r="E133" s="388"/>
      <c r="F133" s="388"/>
      <c r="G133" s="388"/>
      <c r="H133" s="388"/>
      <c r="I133" s="388"/>
      <c r="J133" s="388"/>
      <c r="K133" s="388"/>
      <c r="L133" s="388"/>
      <c r="M133" s="388"/>
      <c r="N133" s="388"/>
      <c r="O133" s="388"/>
      <c r="P133" s="388"/>
      <c r="Q133" s="388"/>
      <c r="R133" s="388"/>
      <c r="S133" s="388"/>
      <c r="T133" s="388"/>
    </row>
    <row r="134" spans="2:20" x14ac:dyDescent="0.25">
      <c r="B134" s="388"/>
      <c r="C134" s="388"/>
      <c r="D134" s="388"/>
      <c r="E134" s="388"/>
      <c r="F134" s="388"/>
      <c r="G134" s="388"/>
      <c r="H134" s="388"/>
      <c r="I134" s="388"/>
      <c r="J134" s="388"/>
      <c r="K134" s="388"/>
      <c r="L134" s="388"/>
      <c r="M134" s="388"/>
      <c r="N134" s="388"/>
      <c r="O134" s="388"/>
      <c r="P134" s="388"/>
      <c r="Q134" s="388"/>
      <c r="R134" s="388"/>
      <c r="S134" s="388"/>
      <c r="T134" s="388"/>
    </row>
    <row r="135" spans="2:20" x14ac:dyDescent="0.25">
      <c r="B135" s="388"/>
      <c r="C135" s="388"/>
      <c r="D135" s="388"/>
      <c r="E135" s="388"/>
      <c r="F135" s="388"/>
      <c r="G135" s="388"/>
      <c r="H135" s="388"/>
      <c r="I135" s="388"/>
      <c r="J135" s="388"/>
      <c r="K135" s="388"/>
      <c r="L135" s="388"/>
      <c r="M135" s="388"/>
      <c r="N135" s="388"/>
      <c r="O135" s="388"/>
      <c r="P135" s="388"/>
      <c r="Q135" s="388"/>
      <c r="R135" s="388"/>
      <c r="S135" s="388"/>
      <c r="T135" s="388"/>
    </row>
    <row r="136" spans="2:20" x14ac:dyDescent="0.25">
      <c r="B136" s="388"/>
      <c r="C136" s="388"/>
      <c r="D136" s="388"/>
      <c r="E136" s="388"/>
      <c r="F136" s="388"/>
      <c r="G136" s="388"/>
      <c r="H136" s="388"/>
      <c r="I136" s="388"/>
      <c r="J136" s="388"/>
      <c r="K136" s="388"/>
      <c r="L136" s="388"/>
      <c r="M136" s="388"/>
      <c r="N136" s="388"/>
      <c r="O136" s="388"/>
      <c r="P136" s="388"/>
      <c r="Q136" s="388"/>
      <c r="R136" s="388"/>
      <c r="S136" s="388"/>
      <c r="T136" s="388"/>
    </row>
    <row r="137" spans="2:20" x14ac:dyDescent="0.25">
      <c r="B137" s="388"/>
      <c r="C137" s="388"/>
      <c r="D137" s="388"/>
      <c r="E137" s="388"/>
      <c r="F137" s="388"/>
      <c r="G137" s="388"/>
      <c r="H137" s="388"/>
      <c r="I137" s="388"/>
      <c r="J137" s="388"/>
      <c r="K137" s="388"/>
      <c r="L137" s="388"/>
      <c r="M137" s="388"/>
      <c r="N137" s="388"/>
      <c r="O137" s="388"/>
      <c r="P137" s="388"/>
      <c r="Q137" s="388"/>
      <c r="R137" s="388"/>
      <c r="S137" s="388"/>
      <c r="T137" s="388"/>
    </row>
    <row r="138" spans="2:20" x14ac:dyDescent="0.25">
      <c r="B138" s="388"/>
      <c r="C138" s="388"/>
      <c r="D138" s="388"/>
      <c r="E138" s="388"/>
      <c r="F138" s="388"/>
      <c r="G138" s="388"/>
      <c r="H138" s="388"/>
      <c r="I138" s="388"/>
      <c r="J138" s="388"/>
      <c r="K138" s="388"/>
      <c r="L138" s="388"/>
      <c r="M138" s="388"/>
      <c r="N138" s="388"/>
      <c r="O138" s="388"/>
      <c r="P138" s="388"/>
      <c r="Q138" s="388"/>
      <c r="R138" s="388"/>
      <c r="S138" s="388"/>
      <c r="T138" s="388"/>
    </row>
    <row r="139" spans="2:20" x14ac:dyDescent="0.25">
      <c r="B139" s="388"/>
      <c r="C139" s="388"/>
      <c r="D139" s="388"/>
      <c r="E139" s="388"/>
      <c r="F139" s="388"/>
      <c r="G139" s="388"/>
      <c r="H139" s="388"/>
      <c r="I139" s="388"/>
      <c r="J139" s="388"/>
      <c r="K139" s="388"/>
      <c r="L139" s="388"/>
      <c r="M139" s="388"/>
      <c r="N139" s="388"/>
      <c r="O139" s="388"/>
      <c r="P139" s="388"/>
      <c r="Q139" s="388"/>
      <c r="R139" s="388"/>
      <c r="S139" s="388"/>
      <c r="T139" s="388"/>
    </row>
    <row r="140" spans="2:20" x14ac:dyDescent="0.25">
      <c r="B140" s="388"/>
      <c r="C140" s="388"/>
      <c r="D140" s="388"/>
      <c r="E140" s="388"/>
      <c r="F140" s="388"/>
      <c r="G140" s="388"/>
      <c r="H140" s="388"/>
      <c r="I140" s="388"/>
      <c r="J140" s="388"/>
      <c r="K140" s="388"/>
      <c r="L140" s="388"/>
      <c r="M140" s="388"/>
      <c r="N140" s="388"/>
      <c r="O140" s="388"/>
      <c r="P140" s="388"/>
      <c r="Q140" s="388"/>
      <c r="R140" s="388"/>
      <c r="S140" s="388"/>
      <c r="T140" s="388"/>
    </row>
    <row r="141" spans="2:20" x14ac:dyDescent="0.25">
      <c r="B141" s="388"/>
      <c r="C141" s="388"/>
      <c r="D141" s="388"/>
      <c r="E141" s="388"/>
      <c r="F141" s="388"/>
      <c r="G141" s="388"/>
      <c r="H141" s="388"/>
      <c r="I141" s="388"/>
      <c r="J141" s="388"/>
      <c r="K141" s="388"/>
      <c r="L141" s="388"/>
      <c r="M141" s="388"/>
      <c r="N141" s="388"/>
      <c r="O141" s="388"/>
      <c r="P141" s="388"/>
      <c r="Q141" s="388"/>
      <c r="R141" s="388"/>
      <c r="S141" s="388"/>
      <c r="T141" s="388"/>
    </row>
    <row r="142" spans="2:20" x14ac:dyDescent="0.25">
      <c r="B142" s="388"/>
      <c r="C142" s="388"/>
      <c r="D142" s="388"/>
      <c r="E142" s="388"/>
      <c r="F142" s="388"/>
      <c r="G142" s="388"/>
      <c r="H142" s="388"/>
      <c r="I142" s="388"/>
      <c r="J142" s="388"/>
      <c r="K142" s="388"/>
      <c r="L142" s="388"/>
      <c r="M142" s="388"/>
      <c r="N142" s="388"/>
      <c r="O142" s="388"/>
      <c r="P142" s="388"/>
      <c r="Q142" s="388"/>
      <c r="R142" s="388"/>
      <c r="S142" s="388"/>
      <c r="T142" s="388"/>
    </row>
    <row r="143" spans="2:20" x14ac:dyDescent="0.25">
      <c r="B143" s="388"/>
      <c r="C143" s="388"/>
      <c r="D143" s="388"/>
      <c r="E143" s="388"/>
      <c r="F143" s="388"/>
      <c r="G143" s="388"/>
      <c r="H143" s="388"/>
      <c r="I143" s="388"/>
      <c r="J143" s="388"/>
      <c r="K143" s="388"/>
      <c r="L143" s="388"/>
      <c r="M143" s="388"/>
      <c r="N143" s="388"/>
      <c r="O143" s="388"/>
      <c r="P143" s="388"/>
      <c r="Q143" s="388"/>
      <c r="R143" s="388"/>
      <c r="S143" s="388"/>
      <c r="T143" s="388"/>
    </row>
    <row r="144" spans="2:20" x14ac:dyDescent="0.25">
      <c r="B144" s="388"/>
      <c r="C144" s="388"/>
      <c r="D144" s="388"/>
      <c r="E144" s="388"/>
      <c r="F144" s="388"/>
      <c r="G144" s="388"/>
      <c r="H144" s="388"/>
      <c r="I144" s="388"/>
      <c r="J144" s="388"/>
      <c r="K144" s="388"/>
      <c r="L144" s="388"/>
      <c r="M144" s="388"/>
      <c r="N144" s="388"/>
      <c r="O144" s="388"/>
      <c r="P144" s="388"/>
      <c r="Q144" s="388"/>
      <c r="R144" s="388"/>
      <c r="S144" s="388"/>
      <c r="T144" s="388"/>
    </row>
    <row r="145" spans="2:20" x14ac:dyDescent="0.25">
      <c r="B145" s="388"/>
      <c r="C145" s="388"/>
      <c r="D145" s="388"/>
      <c r="E145" s="388"/>
      <c r="F145" s="388"/>
      <c r="G145" s="388"/>
      <c r="H145" s="388"/>
      <c r="I145" s="388"/>
      <c r="J145" s="388"/>
      <c r="K145" s="388"/>
      <c r="L145" s="388"/>
      <c r="M145" s="388"/>
      <c r="N145" s="388"/>
      <c r="O145" s="388"/>
      <c r="P145" s="388"/>
      <c r="Q145" s="388"/>
      <c r="R145" s="388"/>
      <c r="S145" s="388"/>
      <c r="T145" s="388"/>
    </row>
    <row r="146" spans="2:20" x14ac:dyDescent="0.25">
      <c r="B146" s="388"/>
      <c r="C146" s="388"/>
      <c r="D146" s="388"/>
      <c r="E146" s="388"/>
      <c r="F146" s="388"/>
      <c r="G146" s="388"/>
      <c r="H146" s="388"/>
      <c r="I146" s="388"/>
      <c r="J146" s="388"/>
      <c r="K146" s="388"/>
      <c r="L146" s="388"/>
      <c r="M146" s="388"/>
      <c r="N146" s="388"/>
      <c r="O146" s="388"/>
      <c r="P146" s="388"/>
      <c r="Q146" s="388"/>
      <c r="R146" s="388"/>
      <c r="S146" s="388"/>
      <c r="T146" s="388"/>
    </row>
    <row r="147" spans="2:20" x14ac:dyDescent="0.25">
      <c r="B147" s="388"/>
      <c r="C147" s="388"/>
      <c r="D147" s="388"/>
      <c r="E147" s="388"/>
      <c r="F147" s="388"/>
      <c r="G147" s="388"/>
      <c r="H147" s="388"/>
      <c r="I147" s="388"/>
      <c r="J147" s="388"/>
      <c r="K147" s="388"/>
      <c r="L147" s="388"/>
      <c r="M147" s="388"/>
      <c r="N147" s="388"/>
      <c r="O147" s="388"/>
      <c r="P147" s="388"/>
      <c r="Q147" s="388"/>
      <c r="R147" s="388"/>
      <c r="S147" s="388"/>
      <c r="T147" s="388"/>
    </row>
    <row r="148" spans="2:20" x14ac:dyDescent="0.25">
      <c r="B148" s="388"/>
      <c r="C148" s="388"/>
      <c r="D148" s="388"/>
      <c r="E148" s="388"/>
      <c r="F148" s="388"/>
      <c r="G148" s="388"/>
      <c r="H148" s="388"/>
      <c r="I148" s="388"/>
      <c r="J148" s="388"/>
      <c r="K148" s="388"/>
      <c r="L148" s="388"/>
      <c r="M148" s="388"/>
      <c r="N148" s="388"/>
      <c r="O148" s="388"/>
      <c r="P148" s="388"/>
      <c r="Q148" s="388"/>
      <c r="R148" s="388"/>
      <c r="S148" s="388"/>
      <c r="T148" s="388"/>
    </row>
    <row r="149" spans="2:20" x14ac:dyDescent="0.25">
      <c r="B149" s="388"/>
      <c r="C149" s="388"/>
      <c r="D149" s="388"/>
      <c r="E149" s="388"/>
      <c r="F149" s="388"/>
      <c r="G149" s="388"/>
      <c r="H149" s="388"/>
      <c r="I149" s="388"/>
      <c r="J149" s="388"/>
      <c r="K149" s="388"/>
      <c r="L149" s="388"/>
      <c r="M149" s="388"/>
      <c r="N149" s="388"/>
      <c r="O149" s="388"/>
      <c r="P149" s="388"/>
      <c r="Q149" s="388"/>
      <c r="R149" s="388"/>
      <c r="S149" s="388"/>
      <c r="T149" s="388"/>
    </row>
    <row r="150" spans="2:20" x14ac:dyDescent="0.25">
      <c r="B150" s="388"/>
      <c r="C150" s="388"/>
      <c r="D150" s="388"/>
      <c r="E150" s="388"/>
      <c r="F150" s="388"/>
      <c r="G150" s="388"/>
      <c r="H150" s="388"/>
      <c r="I150" s="388"/>
      <c r="J150" s="388"/>
      <c r="K150" s="388"/>
      <c r="L150" s="388"/>
      <c r="M150" s="388"/>
      <c r="N150" s="388"/>
      <c r="O150" s="388"/>
      <c r="P150" s="388"/>
      <c r="Q150" s="388"/>
      <c r="R150" s="388"/>
      <c r="S150" s="388"/>
      <c r="T150" s="388"/>
    </row>
    <row r="151" spans="2:20" x14ac:dyDescent="0.25">
      <c r="B151" s="388"/>
      <c r="C151" s="388"/>
      <c r="D151" s="388"/>
      <c r="E151" s="388"/>
      <c r="F151" s="388"/>
      <c r="G151" s="388"/>
      <c r="H151" s="388"/>
      <c r="I151" s="388"/>
      <c r="J151" s="388"/>
      <c r="K151" s="388"/>
      <c r="L151" s="388"/>
      <c r="M151" s="388"/>
      <c r="N151" s="388"/>
      <c r="O151" s="388"/>
      <c r="P151" s="388"/>
      <c r="Q151" s="388"/>
      <c r="R151" s="388"/>
      <c r="S151" s="388"/>
      <c r="T151" s="388"/>
    </row>
    <row r="152" spans="2:20" x14ac:dyDescent="0.25">
      <c r="B152" s="388"/>
      <c r="C152" s="388"/>
      <c r="D152" s="388"/>
      <c r="E152" s="388"/>
      <c r="F152" s="388"/>
      <c r="G152" s="388"/>
      <c r="H152" s="388"/>
      <c r="I152" s="388"/>
      <c r="J152" s="388"/>
      <c r="K152" s="388"/>
      <c r="L152" s="388"/>
      <c r="M152" s="388"/>
      <c r="N152" s="388"/>
      <c r="O152" s="388"/>
      <c r="P152" s="388"/>
      <c r="Q152" s="388"/>
      <c r="R152" s="388"/>
      <c r="S152" s="388"/>
      <c r="T152" s="388"/>
    </row>
    <row r="153" spans="2:20" x14ac:dyDescent="0.25">
      <c r="B153" s="388"/>
      <c r="C153" s="388"/>
      <c r="D153" s="388"/>
      <c r="E153" s="388"/>
      <c r="F153" s="388"/>
      <c r="G153" s="388"/>
      <c r="H153" s="388"/>
      <c r="I153" s="388"/>
      <c r="J153" s="388"/>
      <c r="K153" s="388"/>
      <c r="L153" s="388"/>
      <c r="M153" s="388"/>
      <c r="N153" s="388"/>
      <c r="O153" s="388"/>
      <c r="P153" s="388"/>
      <c r="Q153" s="388"/>
      <c r="R153" s="388"/>
      <c r="S153" s="388"/>
      <c r="T153" s="388"/>
    </row>
    <row r="154" spans="2:20" x14ac:dyDescent="0.25">
      <c r="B154" s="388"/>
      <c r="C154" s="388"/>
      <c r="D154" s="388"/>
      <c r="E154" s="388"/>
      <c r="F154" s="388"/>
      <c r="G154" s="388"/>
      <c r="H154" s="388"/>
      <c r="I154" s="388"/>
      <c r="J154" s="388"/>
      <c r="K154" s="388"/>
      <c r="L154" s="388"/>
      <c r="M154" s="388"/>
      <c r="N154" s="388"/>
      <c r="O154" s="388"/>
      <c r="P154" s="388"/>
      <c r="Q154" s="388"/>
      <c r="R154" s="388"/>
      <c r="S154" s="388"/>
      <c r="T154" s="388"/>
    </row>
    <row r="155" spans="2:20" x14ac:dyDescent="0.25">
      <c r="B155" s="388"/>
      <c r="C155" s="388"/>
      <c r="D155" s="388"/>
      <c r="E155" s="388"/>
      <c r="F155" s="388"/>
      <c r="G155" s="388"/>
      <c r="H155" s="388"/>
      <c r="I155" s="388"/>
      <c r="J155" s="388"/>
      <c r="K155" s="388"/>
      <c r="L155" s="388"/>
      <c r="M155" s="388"/>
      <c r="N155" s="388"/>
      <c r="O155" s="388"/>
      <c r="P155" s="388"/>
      <c r="Q155" s="388"/>
      <c r="R155" s="388"/>
      <c r="S155" s="388"/>
      <c r="T155" s="388"/>
    </row>
    <row r="156" spans="2:20" x14ac:dyDescent="0.25">
      <c r="B156" s="388"/>
      <c r="C156" s="388"/>
      <c r="D156" s="388"/>
      <c r="E156" s="388"/>
      <c r="F156" s="388"/>
      <c r="G156" s="388"/>
      <c r="H156" s="388"/>
      <c r="I156" s="388"/>
      <c r="J156" s="388"/>
      <c r="K156" s="388"/>
      <c r="L156" s="388"/>
      <c r="M156" s="388"/>
      <c r="N156" s="388"/>
      <c r="O156" s="388"/>
      <c r="P156" s="388"/>
      <c r="Q156" s="388"/>
      <c r="R156" s="388"/>
      <c r="S156" s="388"/>
      <c r="T156" s="388"/>
    </row>
    <row r="157" spans="2:20" x14ac:dyDescent="0.25">
      <c r="B157" s="388"/>
      <c r="C157" s="388"/>
      <c r="D157" s="388"/>
      <c r="E157" s="388"/>
      <c r="F157" s="388"/>
      <c r="G157" s="388"/>
      <c r="H157" s="388"/>
      <c r="I157" s="388"/>
      <c r="J157" s="388"/>
      <c r="K157" s="388"/>
      <c r="L157" s="388"/>
      <c r="M157" s="388"/>
      <c r="N157" s="388"/>
      <c r="O157" s="388"/>
      <c r="P157" s="388"/>
      <c r="Q157" s="388"/>
      <c r="R157" s="388"/>
      <c r="S157" s="388"/>
      <c r="T157" s="388"/>
    </row>
    <row r="158" spans="2:20" x14ac:dyDescent="0.25">
      <c r="B158" s="388"/>
      <c r="C158" s="388"/>
      <c r="D158" s="388"/>
      <c r="E158" s="388"/>
      <c r="F158" s="388"/>
      <c r="G158" s="388"/>
      <c r="H158" s="388"/>
      <c r="I158" s="388"/>
      <c r="J158" s="388"/>
      <c r="K158" s="388"/>
      <c r="L158" s="388"/>
      <c r="M158" s="388"/>
      <c r="N158" s="388"/>
      <c r="O158" s="388"/>
      <c r="P158" s="388"/>
      <c r="Q158" s="388"/>
      <c r="R158" s="388"/>
      <c r="S158" s="388"/>
      <c r="T158" s="388"/>
    </row>
    <row r="159" spans="2:20" x14ac:dyDescent="0.25">
      <c r="B159" s="388"/>
      <c r="C159" s="388"/>
      <c r="D159" s="388"/>
      <c r="E159" s="388"/>
      <c r="F159" s="388"/>
      <c r="G159" s="388"/>
      <c r="H159" s="388"/>
      <c r="I159" s="388"/>
      <c r="J159" s="388"/>
      <c r="K159" s="388"/>
      <c r="L159" s="388"/>
      <c r="M159" s="388"/>
      <c r="N159" s="388"/>
      <c r="O159" s="388"/>
      <c r="P159" s="388"/>
      <c r="Q159" s="388"/>
      <c r="R159" s="388"/>
      <c r="S159" s="388"/>
      <c r="T159" s="388"/>
    </row>
    <row r="160" spans="2:20" x14ac:dyDescent="0.25">
      <c r="B160" s="388"/>
      <c r="C160" s="388"/>
      <c r="D160" s="388"/>
      <c r="E160" s="388"/>
      <c r="F160" s="388"/>
      <c r="G160" s="388"/>
      <c r="H160" s="388"/>
      <c r="I160" s="388"/>
      <c r="J160" s="388"/>
      <c r="K160" s="388"/>
      <c r="L160" s="388"/>
      <c r="M160" s="388"/>
      <c r="N160" s="388"/>
      <c r="O160" s="388"/>
      <c r="P160" s="388"/>
      <c r="Q160" s="388"/>
      <c r="R160" s="388"/>
      <c r="S160" s="388"/>
      <c r="T160" s="388"/>
    </row>
    <row r="161" spans="2:20" x14ac:dyDescent="0.25">
      <c r="B161" s="388"/>
      <c r="C161" s="388"/>
      <c r="D161" s="388"/>
      <c r="E161" s="388"/>
      <c r="F161" s="388"/>
      <c r="G161" s="388"/>
      <c r="H161" s="388"/>
      <c r="I161" s="388"/>
      <c r="J161" s="388"/>
      <c r="K161" s="388"/>
      <c r="L161" s="388"/>
      <c r="M161" s="388"/>
      <c r="N161" s="388"/>
      <c r="O161" s="388"/>
      <c r="P161" s="388"/>
      <c r="Q161" s="388"/>
      <c r="R161" s="388"/>
      <c r="S161" s="388"/>
      <c r="T161" s="388"/>
    </row>
    <row r="162" spans="2:20" x14ac:dyDescent="0.25">
      <c r="B162" s="388"/>
      <c r="C162" s="388"/>
      <c r="D162" s="388"/>
      <c r="E162" s="388"/>
      <c r="F162" s="388"/>
      <c r="G162" s="388"/>
      <c r="H162" s="388"/>
      <c r="I162" s="388"/>
      <c r="J162" s="388"/>
      <c r="K162" s="388"/>
      <c r="L162" s="388"/>
      <c r="M162" s="388"/>
      <c r="N162" s="388"/>
      <c r="O162" s="388"/>
      <c r="P162" s="388"/>
      <c r="Q162" s="388"/>
      <c r="R162" s="388"/>
      <c r="S162" s="388"/>
      <c r="T162" s="388"/>
    </row>
    <row r="163" spans="2:20" x14ac:dyDescent="0.25">
      <c r="B163" s="388"/>
      <c r="C163" s="388"/>
      <c r="D163" s="388"/>
      <c r="E163" s="388"/>
      <c r="F163" s="388"/>
      <c r="G163" s="388"/>
      <c r="H163" s="388"/>
      <c r="I163" s="388"/>
      <c r="J163" s="388"/>
      <c r="K163" s="388"/>
      <c r="L163" s="388"/>
      <c r="M163" s="388"/>
      <c r="N163" s="388"/>
      <c r="O163" s="388"/>
      <c r="P163" s="388"/>
      <c r="Q163" s="388"/>
      <c r="R163" s="388"/>
      <c r="S163" s="388"/>
      <c r="T163" s="388"/>
    </row>
    <row r="164" spans="2:20" x14ac:dyDescent="0.25">
      <c r="B164" s="388"/>
      <c r="C164" s="388"/>
      <c r="D164" s="388"/>
      <c r="E164" s="388"/>
      <c r="F164" s="388"/>
      <c r="G164" s="388"/>
      <c r="H164" s="388"/>
      <c r="I164" s="388"/>
      <c r="J164" s="388"/>
      <c r="K164" s="388"/>
      <c r="L164" s="388"/>
      <c r="M164" s="388"/>
      <c r="N164" s="388"/>
      <c r="O164" s="388"/>
      <c r="P164" s="388"/>
      <c r="Q164" s="388"/>
      <c r="R164" s="388"/>
      <c r="S164" s="388"/>
      <c r="T164" s="388"/>
    </row>
    <row r="165" spans="2:20" x14ac:dyDescent="0.25">
      <c r="B165" s="388"/>
      <c r="C165" s="388"/>
      <c r="D165" s="388"/>
      <c r="E165" s="388"/>
      <c r="F165" s="388"/>
      <c r="G165" s="388"/>
      <c r="H165" s="388"/>
      <c r="I165" s="388"/>
      <c r="J165" s="388"/>
      <c r="K165" s="388"/>
      <c r="L165" s="388"/>
      <c r="M165" s="388"/>
      <c r="N165" s="388"/>
      <c r="O165" s="388"/>
      <c r="P165" s="388"/>
      <c r="Q165" s="388"/>
      <c r="R165" s="388"/>
      <c r="S165" s="388"/>
      <c r="T165" s="388"/>
    </row>
    <row r="166" spans="2:20" x14ac:dyDescent="0.25">
      <c r="B166" s="388"/>
      <c r="C166" s="388"/>
      <c r="D166" s="388"/>
      <c r="E166" s="388"/>
      <c r="F166" s="388"/>
      <c r="G166" s="388"/>
      <c r="H166" s="388"/>
      <c r="I166" s="388"/>
      <c r="J166" s="388"/>
      <c r="K166" s="388"/>
      <c r="L166" s="388"/>
      <c r="M166" s="388"/>
      <c r="N166" s="388"/>
      <c r="O166" s="388"/>
      <c r="P166" s="388"/>
      <c r="Q166" s="388"/>
      <c r="R166" s="388"/>
      <c r="S166" s="388"/>
      <c r="T166" s="388"/>
    </row>
    <row r="167" spans="2:20" x14ac:dyDescent="0.25">
      <c r="B167" s="388"/>
      <c r="C167" s="388"/>
      <c r="D167" s="388"/>
      <c r="E167" s="388"/>
      <c r="F167" s="388"/>
      <c r="G167" s="388"/>
      <c r="H167" s="388"/>
      <c r="I167" s="388"/>
      <c r="J167" s="388"/>
      <c r="K167" s="388"/>
      <c r="L167" s="388"/>
      <c r="M167" s="388"/>
      <c r="N167" s="388"/>
      <c r="O167" s="388"/>
      <c r="P167" s="388"/>
      <c r="Q167" s="388"/>
      <c r="R167" s="388"/>
      <c r="S167" s="388"/>
      <c r="T167" s="388"/>
    </row>
    <row r="168" spans="2:20" x14ac:dyDescent="0.25">
      <c r="B168" s="388"/>
      <c r="C168" s="388"/>
      <c r="D168" s="388"/>
      <c r="E168" s="388"/>
      <c r="F168" s="388"/>
      <c r="G168" s="388"/>
      <c r="H168" s="388"/>
      <c r="I168" s="388"/>
      <c r="J168" s="388"/>
      <c r="K168" s="388"/>
      <c r="L168" s="388"/>
      <c r="M168" s="388"/>
      <c r="N168" s="388"/>
      <c r="O168" s="388"/>
      <c r="P168" s="388"/>
      <c r="Q168" s="388"/>
      <c r="R168" s="388"/>
      <c r="S168" s="388"/>
      <c r="T168" s="388"/>
    </row>
    <row r="169" spans="2:20" x14ac:dyDescent="0.25">
      <c r="B169" s="388"/>
      <c r="C169" s="388"/>
      <c r="D169" s="388"/>
      <c r="E169" s="388"/>
      <c r="F169" s="388"/>
      <c r="G169" s="388"/>
      <c r="H169" s="388"/>
      <c r="I169" s="388"/>
      <c r="J169" s="388"/>
      <c r="K169" s="388"/>
      <c r="L169" s="388"/>
      <c r="M169" s="388"/>
      <c r="N169" s="388"/>
      <c r="O169" s="388"/>
      <c r="P169" s="388"/>
      <c r="Q169" s="388"/>
      <c r="R169" s="388"/>
      <c r="S169" s="388"/>
      <c r="T169" s="388"/>
    </row>
    <row r="170" spans="2:20" x14ac:dyDescent="0.25">
      <c r="B170" s="388"/>
      <c r="C170" s="388"/>
      <c r="D170" s="388"/>
      <c r="E170" s="388"/>
      <c r="F170" s="388"/>
      <c r="G170" s="388"/>
      <c r="H170" s="388"/>
      <c r="I170" s="388"/>
      <c r="J170" s="388"/>
      <c r="K170" s="388"/>
      <c r="L170" s="388"/>
      <c r="M170" s="388"/>
      <c r="N170" s="388"/>
      <c r="O170" s="388"/>
      <c r="P170" s="388"/>
      <c r="Q170" s="388"/>
      <c r="R170" s="388"/>
      <c r="S170" s="388"/>
      <c r="T170" s="388"/>
    </row>
    <row r="171" spans="2:20" x14ac:dyDescent="0.25">
      <c r="B171" s="388"/>
      <c r="C171" s="388"/>
      <c r="D171" s="388"/>
      <c r="E171" s="388"/>
      <c r="F171" s="388"/>
      <c r="G171" s="388"/>
      <c r="H171" s="388"/>
      <c r="I171" s="388"/>
      <c r="J171" s="388"/>
      <c r="K171" s="388"/>
      <c r="L171" s="388"/>
      <c r="M171" s="388"/>
      <c r="N171" s="388"/>
      <c r="O171" s="388"/>
      <c r="P171" s="388"/>
      <c r="Q171" s="388"/>
      <c r="R171" s="388"/>
      <c r="S171" s="388"/>
      <c r="T171" s="388"/>
    </row>
    <row r="172" spans="2:20" x14ac:dyDescent="0.25">
      <c r="B172" s="388"/>
      <c r="C172" s="388"/>
      <c r="D172" s="388"/>
      <c r="E172" s="388"/>
      <c r="F172" s="388"/>
      <c r="G172" s="388"/>
      <c r="H172" s="388"/>
      <c r="I172" s="388"/>
      <c r="J172" s="388"/>
      <c r="K172" s="388"/>
      <c r="L172" s="388"/>
      <c r="M172" s="388"/>
      <c r="N172" s="388"/>
      <c r="O172" s="388"/>
      <c r="P172" s="388"/>
      <c r="Q172" s="388"/>
      <c r="R172" s="388"/>
      <c r="S172" s="388"/>
      <c r="T172" s="388"/>
    </row>
    <row r="173" spans="2:20" x14ac:dyDescent="0.25">
      <c r="B173" s="388"/>
      <c r="C173" s="388"/>
      <c r="D173" s="388"/>
      <c r="E173" s="388"/>
      <c r="F173" s="388"/>
      <c r="G173" s="388"/>
      <c r="H173" s="388"/>
      <c r="I173" s="388"/>
      <c r="J173" s="388"/>
      <c r="K173" s="388"/>
      <c r="L173" s="388"/>
      <c r="M173" s="388"/>
      <c r="N173" s="388"/>
      <c r="O173" s="388"/>
      <c r="P173" s="388"/>
      <c r="Q173" s="388"/>
      <c r="R173" s="388"/>
      <c r="S173" s="388"/>
      <c r="T173" s="388"/>
    </row>
    <row r="174" spans="2:20" x14ac:dyDescent="0.25">
      <c r="B174" s="388"/>
      <c r="C174" s="388"/>
      <c r="D174" s="388"/>
      <c r="E174" s="388"/>
      <c r="F174" s="388"/>
      <c r="G174" s="388"/>
      <c r="H174" s="388"/>
      <c r="I174" s="388"/>
      <c r="J174" s="388"/>
      <c r="K174" s="388"/>
      <c r="L174" s="388"/>
      <c r="M174" s="388"/>
      <c r="N174" s="388"/>
      <c r="O174" s="388"/>
      <c r="P174" s="388"/>
      <c r="Q174" s="388"/>
      <c r="R174" s="388"/>
      <c r="S174" s="388"/>
      <c r="T174" s="388"/>
    </row>
    <row r="175" spans="2:20" x14ac:dyDescent="0.25">
      <c r="B175" s="388"/>
      <c r="C175" s="388"/>
      <c r="D175" s="388"/>
      <c r="E175" s="388"/>
      <c r="F175" s="388"/>
      <c r="G175" s="388"/>
      <c r="H175" s="388"/>
      <c r="I175" s="388"/>
      <c r="J175" s="388"/>
      <c r="K175" s="388"/>
      <c r="L175" s="388"/>
      <c r="M175" s="388"/>
      <c r="N175" s="388"/>
      <c r="O175" s="388"/>
      <c r="P175" s="388"/>
      <c r="Q175" s="388"/>
      <c r="R175" s="388"/>
      <c r="S175" s="388"/>
      <c r="T175" s="388"/>
    </row>
    <row r="176" spans="2:20" x14ac:dyDescent="0.25">
      <c r="B176" s="388"/>
      <c r="C176" s="388"/>
      <c r="D176" s="388"/>
      <c r="E176" s="388"/>
      <c r="F176" s="388"/>
      <c r="G176" s="388"/>
      <c r="H176" s="388"/>
      <c r="I176" s="388"/>
      <c r="J176" s="388"/>
      <c r="K176" s="388"/>
      <c r="L176" s="388"/>
      <c r="M176" s="388"/>
      <c r="N176" s="388"/>
      <c r="O176" s="388"/>
      <c r="P176" s="388"/>
      <c r="Q176" s="388"/>
      <c r="R176" s="388"/>
      <c r="S176" s="388"/>
      <c r="T176" s="388"/>
    </row>
    <row r="177" spans="2:20" x14ac:dyDescent="0.25">
      <c r="B177" s="388"/>
      <c r="C177" s="388"/>
      <c r="D177" s="388"/>
      <c r="E177" s="388"/>
      <c r="F177" s="388"/>
      <c r="G177" s="388"/>
      <c r="H177" s="388"/>
      <c r="I177" s="388"/>
      <c r="J177" s="388"/>
      <c r="K177" s="388"/>
      <c r="L177" s="388"/>
      <c r="M177" s="388"/>
      <c r="N177" s="388"/>
      <c r="O177" s="388"/>
      <c r="P177" s="388"/>
      <c r="Q177" s="388"/>
      <c r="R177" s="388"/>
      <c r="S177" s="388"/>
      <c r="T177" s="388"/>
    </row>
    <row r="178" spans="2:20" x14ac:dyDescent="0.25">
      <c r="B178" s="388"/>
      <c r="C178" s="388"/>
      <c r="D178" s="388"/>
      <c r="E178" s="388"/>
      <c r="F178" s="388"/>
      <c r="G178" s="388"/>
      <c r="H178" s="388"/>
      <c r="I178" s="388"/>
      <c r="J178" s="388"/>
      <c r="K178" s="388"/>
      <c r="L178" s="388"/>
      <c r="M178" s="388"/>
      <c r="N178" s="388"/>
      <c r="O178" s="388"/>
      <c r="P178" s="388"/>
      <c r="Q178" s="388"/>
      <c r="R178" s="388"/>
      <c r="S178" s="388"/>
      <c r="T178" s="388"/>
    </row>
    <row r="179" spans="2:20" x14ac:dyDescent="0.25">
      <c r="B179" s="388"/>
      <c r="C179" s="388"/>
      <c r="D179" s="388"/>
      <c r="E179" s="388"/>
      <c r="F179" s="388"/>
      <c r="G179" s="388"/>
      <c r="H179" s="388"/>
      <c r="I179" s="388"/>
      <c r="J179" s="388"/>
      <c r="K179" s="388"/>
      <c r="L179" s="388"/>
      <c r="M179" s="388"/>
      <c r="N179" s="388"/>
      <c r="O179" s="388"/>
      <c r="P179" s="388"/>
      <c r="Q179" s="388"/>
      <c r="R179" s="388"/>
      <c r="S179" s="388"/>
      <c r="T179" s="388"/>
    </row>
    <row r="180" spans="2:20" x14ac:dyDescent="0.25">
      <c r="B180" s="388"/>
      <c r="C180" s="388"/>
      <c r="D180" s="388"/>
      <c r="E180" s="388"/>
      <c r="F180" s="388"/>
      <c r="G180" s="388"/>
      <c r="H180" s="388"/>
      <c r="I180" s="388"/>
      <c r="J180" s="388"/>
      <c r="K180" s="388"/>
      <c r="L180" s="388"/>
      <c r="M180" s="388"/>
      <c r="N180" s="388"/>
      <c r="O180" s="388"/>
      <c r="P180" s="388"/>
      <c r="Q180" s="388"/>
      <c r="R180" s="388"/>
      <c r="S180" s="388"/>
      <c r="T180" s="388"/>
    </row>
    <row r="181" spans="2:20" x14ac:dyDescent="0.25">
      <c r="B181" s="388"/>
      <c r="C181" s="388"/>
      <c r="D181" s="388"/>
      <c r="E181" s="388"/>
      <c r="F181" s="388"/>
      <c r="G181" s="388"/>
      <c r="H181" s="388"/>
      <c r="I181" s="388"/>
      <c r="J181" s="388"/>
      <c r="K181" s="388"/>
      <c r="L181" s="388"/>
      <c r="M181" s="388"/>
      <c r="N181" s="388"/>
      <c r="O181" s="388"/>
      <c r="P181" s="388"/>
      <c r="Q181" s="388"/>
      <c r="R181" s="388"/>
      <c r="S181" s="388"/>
      <c r="T181" s="388"/>
    </row>
    <row r="182" spans="2:20" x14ac:dyDescent="0.25">
      <c r="B182" s="388"/>
      <c r="C182" s="388"/>
      <c r="D182" s="388"/>
      <c r="E182" s="388"/>
      <c r="F182" s="388"/>
      <c r="G182" s="388"/>
      <c r="H182" s="388"/>
      <c r="I182" s="388"/>
      <c r="J182" s="388"/>
      <c r="K182" s="388"/>
      <c r="L182" s="388"/>
      <c r="M182" s="388"/>
      <c r="N182" s="388"/>
      <c r="O182" s="388"/>
      <c r="P182" s="388"/>
      <c r="Q182" s="388"/>
      <c r="R182" s="388"/>
      <c r="S182" s="388"/>
      <c r="T182" s="388"/>
    </row>
    <row r="183" spans="2:20" x14ac:dyDescent="0.25">
      <c r="B183" s="388"/>
      <c r="C183" s="388"/>
      <c r="D183" s="388"/>
      <c r="E183" s="388"/>
      <c r="F183" s="388"/>
      <c r="G183" s="388"/>
      <c r="H183" s="388"/>
      <c r="I183" s="388"/>
      <c r="J183" s="388"/>
      <c r="K183" s="388"/>
      <c r="L183" s="388"/>
      <c r="M183" s="388"/>
      <c r="N183" s="388"/>
      <c r="O183" s="388"/>
      <c r="P183" s="388"/>
      <c r="Q183" s="388"/>
      <c r="R183" s="388"/>
      <c r="S183" s="388"/>
      <c r="T183" s="388"/>
    </row>
    <row r="184" spans="2:20" x14ac:dyDescent="0.25">
      <c r="B184" s="388"/>
      <c r="C184" s="388"/>
      <c r="D184" s="388"/>
      <c r="E184" s="388"/>
      <c r="F184" s="388"/>
      <c r="G184" s="388"/>
      <c r="H184" s="388"/>
      <c r="I184" s="388"/>
      <c r="J184" s="388"/>
      <c r="K184" s="388"/>
      <c r="L184" s="388"/>
      <c r="M184" s="388"/>
      <c r="N184" s="388"/>
      <c r="O184" s="388"/>
      <c r="P184" s="388"/>
      <c r="Q184" s="388"/>
      <c r="R184" s="388"/>
      <c r="S184" s="388"/>
      <c r="T184" s="388"/>
    </row>
    <row r="185" spans="2:20" x14ac:dyDescent="0.25">
      <c r="B185" s="388"/>
      <c r="C185" s="388"/>
      <c r="D185" s="388"/>
      <c r="E185" s="388"/>
      <c r="F185" s="388"/>
      <c r="G185" s="388"/>
      <c r="H185" s="388"/>
      <c r="I185" s="388"/>
      <c r="J185" s="388"/>
      <c r="K185" s="388"/>
      <c r="L185" s="388"/>
      <c r="M185" s="388"/>
      <c r="N185" s="388"/>
      <c r="O185" s="388"/>
      <c r="P185" s="388"/>
      <c r="Q185" s="388"/>
      <c r="R185" s="388"/>
      <c r="S185" s="388"/>
      <c r="T185" s="388"/>
    </row>
    <row r="186" spans="2:20" x14ac:dyDescent="0.25">
      <c r="B186" s="388"/>
      <c r="C186" s="388"/>
      <c r="D186" s="388"/>
      <c r="E186" s="388"/>
      <c r="F186" s="388"/>
      <c r="G186" s="388"/>
      <c r="H186" s="388"/>
      <c r="I186" s="388"/>
      <c r="J186" s="388"/>
      <c r="K186" s="388"/>
      <c r="L186" s="388"/>
      <c r="M186" s="388"/>
      <c r="N186" s="388"/>
      <c r="O186" s="388"/>
      <c r="P186" s="388"/>
      <c r="Q186" s="388"/>
      <c r="R186" s="388"/>
      <c r="S186" s="388"/>
      <c r="T186" s="388"/>
    </row>
    <row r="187" spans="2:20" x14ac:dyDescent="0.25">
      <c r="B187" s="388"/>
      <c r="C187" s="388"/>
      <c r="D187" s="388"/>
      <c r="E187" s="388"/>
      <c r="F187" s="388"/>
      <c r="G187" s="388"/>
      <c r="H187" s="388"/>
      <c r="I187" s="388"/>
      <c r="J187" s="388"/>
      <c r="K187" s="388"/>
      <c r="L187" s="388"/>
      <c r="M187" s="388"/>
      <c r="N187" s="388"/>
      <c r="O187" s="388"/>
      <c r="P187" s="388"/>
      <c r="Q187" s="388"/>
      <c r="R187" s="388"/>
      <c r="S187" s="388"/>
      <c r="T187" s="388"/>
    </row>
    <row r="188" spans="2:20" x14ac:dyDescent="0.25">
      <c r="B188" s="388"/>
      <c r="C188" s="388"/>
      <c r="D188" s="388"/>
      <c r="E188" s="388"/>
      <c r="F188" s="388"/>
      <c r="G188" s="388"/>
      <c r="H188" s="388"/>
      <c r="I188" s="388"/>
      <c r="J188" s="388"/>
      <c r="K188" s="388"/>
      <c r="L188" s="388"/>
      <c r="M188" s="388"/>
      <c r="N188" s="388"/>
      <c r="O188" s="388"/>
      <c r="P188" s="388"/>
      <c r="Q188" s="388"/>
      <c r="R188" s="388"/>
      <c r="S188" s="388"/>
      <c r="T188" s="388"/>
    </row>
    <row r="189" spans="2:20" x14ac:dyDescent="0.25">
      <c r="B189" s="388"/>
      <c r="C189" s="388"/>
      <c r="D189" s="388"/>
      <c r="E189" s="388"/>
      <c r="F189" s="388"/>
      <c r="G189" s="388"/>
      <c r="H189" s="388"/>
      <c r="I189" s="388"/>
      <c r="J189" s="388"/>
      <c r="K189" s="388"/>
      <c r="L189" s="388"/>
      <c r="M189" s="388"/>
      <c r="N189" s="388"/>
      <c r="O189" s="388"/>
      <c r="P189" s="388"/>
      <c r="Q189" s="388"/>
      <c r="R189" s="388"/>
      <c r="S189" s="388"/>
      <c r="T189" s="388"/>
    </row>
    <row r="190" spans="2:20" x14ac:dyDescent="0.25">
      <c r="B190" s="388"/>
      <c r="C190" s="388"/>
      <c r="D190" s="388"/>
      <c r="E190" s="388"/>
      <c r="F190" s="388"/>
      <c r="G190" s="388"/>
      <c r="H190" s="388"/>
      <c r="I190" s="388"/>
      <c r="J190" s="388"/>
      <c r="K190" s="388"/>
      <c r="L190" s="388"/>
      <c r="M190" s="388"/>
      <c r="N190" s="388"/>
      <c r="O190" s="388"/>
      <c r="P190" s="388"/>
      <c r="Q190" s="388"/>
      <c r="R190" s="388"/>
      <c r="S190" s="388"/>
      <c r="T190" s="388"/>
    </row>
    <row r="191" spans="2:20" x14ac:dyDescent="0.25">
      <c r="B191" s="388"/>
      <c r="C191" s="388"/>
      <c r="D191" s="388"/>
      <c r="E191" s="388"/>
      <c r="F191" s="388"/>
      <c r="G191" s="388"/>
      <c r="H191" s="388"/>
      <c r="I191" s="388"/>
      <c r="J191" s="388"/>
      <c r="K191" s="388"/>
      <c r="L191" s="388"/>
      <c r="M191" s="388"/>
      <c r="N191" s="388"/>
      <c r="O191" s="388"/>
      <c r="P191" s="388"/>
      <c r="Q191" s="388"/>
      <c r="R191" s="388"/>
      <c r="S191" s="388"/>
      <c r="T191" s="388"/>
    </row>
    <row r="192" spans="2:20" x14ac:dyDescent="0.25">
      <c r="B192" s="388"/>
      <c r="C192" s="388"/>
      <c r="D192" s="388"/>
      <c r="E192" s="388"/>
      <c r="F192" s="388"/>
      <c r="G192" s="388"/>
      <c r="H192" s="388"/>
      <c r="I192" s="388"/>
      <c r="J192" s="388"/>
      <c r="K192" s="388"/>
      <c r="L192" s="388"/>
      <c r="M192" s="388"/>
      <c r="N192" s="388"/>
      <c r="O192" s="388"/>
      <c r="P192" s="388"/>
      <c r="Q192" s="388"/>
      <c r="R192" s="388"/>
      <c r="S192" s="388"/>
      <c r="T192" s="388"/>
    </row>
    <row r="193" spans="2:20" x14ac:dyDescent="0.25">
      <c r="B193" s="388"/>
      <c r="C193" s="388"/>
      <c r="D193" s="388"/>
      <c r="E193" s="388"/>
      <c r="F193" s="388"/>
      <c r="G193" s="388"/>
      <c r="H193" s="388"/>
      <c r="I193" s="388"/>
      <c r="J193" s="388"/>
      <c r="K193" s="388"/>
      <c r="L193" s="388"/>
      <c r="M193" s="388"/>
      <c r="N193" s="388"/>
      <c r="O193" s="388"/>
      <c r="P193" s="388"/>
      <c r="Q193" s="388"/>
      <c r="R193" s="388"/>
      <c r="S193" s="388"/>
      <c r="T193" s="388"/>
    </row>
    <row r="194" spans="2:20" x14ac:dyDescent="0.25">
      <c r="B194" s="388"/>
      <c r="C194" s="388"/>
      <c r="D194" s="388"/>
      <c r="E194" s="388"/>
      <c r="F194" s="388"/>
      <c r="G194" s="388"/>
      <c r="H194" s="388"/>
      <c r="I194" s="388"/>
      <c r="J194" s="388"/>
      <c r="K194" s="388"/>
      <c r="L194" s="388"/>
      <c r="M194" s="388"/>
      <c r="N194" s="388"/>
      <c r="O194" s="388"/>
      <c r="P194" s="388"/>
      <c r="Q194" s="388"/>
      <c r="R194" s="388"/>
      <c r="S194" s="388"/>
      <c r="T194" s="388"/>
    </row>
    <row r="195" spans="2:20" x14ac:dyDescent="0.25">
      <c r="B195" s="388"/>
      <c r="C195" s="388"/>
      <c r="D195" s="388"/>
      <c r="E195" s="388"/>
      <c r="F195" s="388"/>
      <c r="G195" s="388"/>
      <c r="H195" s="388"/>
      <c r="I195" s="388"/>
      <c r="J195" s="388"/>
      <c r="K195" s="388"/>
      <c r="L195" s="388"/>
      <c r="M195" s="388"/>
      <c r="N195" s="388"/>
      <c r="O195" s="388"/>
      <c r="P195" s="388"/>
      <c r="Q195" s="388"/>
      <c r="R195" s="388"/>
      <c r="S195" s="388"/>
      <c r="T195" s="388"/>
    </row>
    <row r="196" spans="2:20" x14ac:dyDescent="0.25">
      <c r="B196" s="388"/>
      <c r="C196" s="388"/>
      <c r="D196" s="388"/>
      <c r="E196" s="388"/>
      <c r="F196" s="388"/>
      <c r="G196" s="388"/>
      <c r="H196" s="388"/>
      <c r="I196" s="388"/>
      <c r="J196" s="388"/>
      <c r="K196" s="388"/>
      <c r="L196" s="388"/>
      <c r="M196" s="388"/>
      <c r="N196" s="388"/>
      <c r="O196" s="388"/>
      <c r="P196" s="388"/>
      <c r="Q196" s="388"/>
      <c r="R196" s="388"/>
      <c r="S196" s="388"/>
      <c r="T196" s="388"/>
    </row>
    <row r="197" spans="2:20" x14ac:dyDescent="0.25">
      <c r="B197" s="388"/>
      <c r="C197" s="388"/>
      <c r="D197" s="388"/>
      <c r="E197" s="388"/>
      <c r="F197" s="388"/>
      <c r="G197" s="388"/>
      <c r="H197" s="388"/>
      <c r="I197" s="388"/>
      <c r="J197" s="388"/>
      <c r="K197" s="388"/>
      <c r="L197" s="388"/>
      <c r="M197" s="388"/>
      <c r="N197" s="388"/>
      <c r="O197" s="388"/>
      <c r="P197" s="388"/>
      <c r="Q197" s="388"/>
      <c r="R197" s="388"/>
      <c r="S197" s="388"/>
      <c r="T197" s="388"/>
    </row>
    <row r="198" spans="2:20" x14ac:dyDescent="0.25">
      <c r="B198" s="388"/>
      <c r="C198" s="388"/>
      <c r="D198" s="388"/>
      <c r="E198" s="388"/>
      <c r="F198" s="388"/>
      <c r="G198" s="388"/>
      <c r="H198" s="388"/>
      <c r="I198" s="388"/>
      <c r="J198" s="388"/>
      <c r="K198" s="388"/>
      <c r="L198" s="388"/>
      <c r="M198" s="388"/>
      <c r="N198" s="388"/>
      <c r="O198" s="388"/>
      <c r="P198" s="388"/>
      <c r="Q198" s="388"/>
      <c r="R198" s="388"/>
      <c r="S198" s="388"/>
      <c r="T198" s="388"/>
    </row>
    <row r="199" spans="2:20" x14ac:dyDescent="0.25">
      <c r="B199" s="388"/>
      <c r="C199" s="388"/>
      <c r="D199" s="388"/>
      <c r="E199" s="388"/>
      <c r="F199" s="388"/>
      <c r="G199" s="388"/>
      <c r="H199" s="388"/>
      <c r="I199" s="388"/>
      <c r="J199" s="388"/>
      <c r="K199" s="388"/>
      <c r="L199" s="388"/>
      <c r="M199" s="388"/>
      <c r="N199" s="388"/>
      <c r="O199" s="388"/>
      <c r="P199" s="388"/>
      <c r="Q199" s="388"/>
      <c r="R199" s="388"/>
      <c r="S199" s="388"/>
      <c r="T199" s="388"/>
    </row>
    <row r="200" spans="2:20" x14ac:dyDescent="0.25">
      <c r="B200" s="388"/>
      <c r="C200" s="388"/>
      <c r="D200" s="388"/>
      <c r="E200" s="388"/>
      <c r="F200" s="388"/>
      <c r="G200" s="388"/>
      <c r="H200" s="388"/>
      <c r="I200" s="388"/>
      <c r="J200" s="388"/>
      <c r="K200" s="388"/>
      <c r="L200" s="388"/>
      <c r="M200" s="388"/>
      <c r="N200" s="388"/>
      <c r="O200" s="388"/>
      <c r="P200" s="388"/>
      <c r="Q200" s="388"/>
      <c r="R200" s="388"/>
      <c r="S200" s="388"/>
      <c r="T200" s="388"/>
    </row>
    <row r="201" spans="2:20" x14ac:dyDescent="0.25">
      <c r="B201" s="388"/>
      <c r="C201" s="388"/>
      <c r="D201" s="388"/>
      <c r="E201" s="388"/>
      <c r="F201" s="388"/>
      <c r="G201" s="388"/>
      <c r="H201" s="388"/>
      <c r="I201" s="388"/>
      <c r="J201" s="388"/>
      <c r="K201" s="388"/>
      <c r="L201" s="388"/>
      <c r="M201" s="388"/>
      <c r="N201" s="388"/>
      <c r="O201" s="388"/>
      <c r="P201" s="388"/>
      <c r="Q201" s="388"/>
      <c r="R201" s="388"/>
      <c r="S201" s="388"/>
      <c r="T201" s="388"/>
    </row>
    <row r="202" spans="2:20" x14ac:dyDescent="0.25">
      <c r="B202" s="388"/>
      <c r="C202" s="388"/>
      <c r="D202" s="388"/>
      <c r="E202" s="388"/>
      <c r="F202" s="388"/>
      <c r="G202" s="388"/>
      <c r="H202" s="388"/>
      <c r="I202" s="388"/>
      <c r="J202" s="388"/>
      <c r="K202" s="388"/>
      <c r="L202" s="388"/>
      <c r="M202" s="388"/>
      <c r="N202" s="388"/>
      <c r="O202" s="388"/>
      <c r="P202" s="388"/>
      <c r="Q202" s="388"/>
      <c r="R202" s="388"/>
      <c r="S202" s="388"/>
      <c r="T202" s="388"/>
    </row>
    <row r="203" spans="2:20" x14ac:dyDescent="0.25">
      <c r="B203" s="388"/>
      <c r="C203" s="388"/>
      <c r="D203" s="388"/>
      <c r="E203" s="388"/>
      <c r="F203" s="388"/>
      <c r="G203" s="388"/>
      <c r="H203" s="388"/>
      <c r="I203" s="388"/>
      <c r="J203" s="388"/>
      <c r="K203" s="388"/>
      <c r="L203" s="388"/>
      <c r="M203" s="388"/>
      <c r="N203" s="388"/>
      <c r="O203" s="388"/>
      <c r="P203" s="388"/>
      <c r="Q203" s="388"/>
      <c r="R203" s="388"/>
      <c r="S203" s="388"/>
      <c r="T203" s="388"/>
    </row>
    <row r="204" spans="2:20" x14ac:dyDescent="0.25">
      <c r="B204" s="388"/>
      <c r="C204" s="388"/>
      <c r="D204" s="388"/>
      <c r="E204" s="388"/>
      <c r="F204" s="388"/>
      <c r="G204" s="388"/>
      <c r="H204" s="388"/>
      <c r="I204" s="388"/>
      <c r="J204" s="388"/>
      <c r="K204" s="388"/>
      <c r="L204" s="388"/>
      <c r="M204" s="388"/>
      <c r="N204" s="388"/>
      <c r="O204" s="388"/>
      <c r="P204" s="388"/>
      <c r="Q204" s="388"/>
      <c r="R204" s="388"/>
      <c r="S204" s="388"/>
      <c r="T204" s="388"/>
    </row>
    <row r="205" spans="2:20" x14ac:dyDescent="0.25">
      <c r="B205" s="388"/>
      <c r="C205" s="388"/>
      <c r="D205" s="388"/>
      <c r="E205" s="388"/>
      <c r="F205" s="388"/>
      <c r="G205" s="388"/>
      <c r="H205" s="388"/>
      <c r="I205" s="388"/>
      <c r="J205" s="388"/>
      <c r="K205" s="388"/>
      <c r="L205" s="388"/>
      <c r="M205" s="388"/>
      <c r="N205" s="388"/>
      <c r="O205" s="388"/>
      <c r="P205" s="388"/>
      <c r="Q205" s="388"/>
      <c r="R205" s="388"/>
      <c r="S205" s="388"/>
      <c r="T205" s="388"/>
    </row>
    <row r="206" spans="2:20" x14ac:dyDescent="0.25">
      <c r="B206" s="388"/>
      <c r="C206" s="388"/>
      <c r="D206" s="388"/>
      <c r="E206" s="388"/>
      <c r="F206" s="388"/>
      <c r="G206" s="388"/>
      <c r="H206" s="388"/>
      <c r="I206" s="388"/>
      <c r="J206" s="388"/>
      <c r="K206" s="388"/>
      <c r="L206" s="388"/>
      <c r="M206" s="388"/>
      <c r="N206" s="388"/>
      <c r="O206" s="388"/>
      <c r="P206" s="388"/>
      <c r="Q206" s="388"/>
      <c r="R206" s="388"/>
      <c r="S206" s="388"/>
      <c r="T206" s="388"/>
    </row>
    <row r="207" spans="2:20" x14ac:dyDescent="0.25">
      <c r="B207" s="388"/>
      <c r="C207" s="388"/>
      <c r="D207" s="388"/>
      <c r="E207" s="388"/>
      <c r="F207" s="388"/>
      <c r="G207" s="388"/>
      <c r="H207" s="388"/>
      <c r="I207" s="388"/>
      <c r="J207" s="388"/>
      <c r="K207" s="388"/>
      <c r="L207" s="388"/>
      <c r="M207" s="388"/>
      <c r="N207" s="388"/>
      <c r="O207" s="388"/>
      <c r="P207" s="388"/>
      <c r="Q207" s="388"/>
      <c r="R207" s="388"/>
      <c r="S207" s="388"/>
      <c r="T207" s="388"/>
    </row>
    <row r="208" spans="2:20" x14ac:dyDescent="0.25">
      <c r="B208" s="388"/>
      <c r="C208" s="388"/>
      <c r="D208" s="388"/>
      <c r="E208" s="388"/>
      <c r="F208" s="388"/>
      <c r="G208" s="388"/>
      <c r="H208" s="388"/>
      <c r="I208" s="388"/>
      <c r="J208" s="388"/>
      <c r="K208" s="388"/>
      <c r="L208" s="388"/>
      <c r="M208" s="388"/>
      <c r="N208" s="388"/>
      <c r="O208" s="388"/>
      <c r="P208" s="388"/>
      <c r="Q208" s="388"/>
      <c r="R208" s="388"/>
      <c r="S208" s="388"/>
      <c r="T208" s="388"/>
    </row>
    <row r="209" spans="2:20" x14ac:dyDescent="0.25">
      <c r="B209" s="388"/>
      <c r="C209" s="388"/>
      <c r="D209" s="388"/>
      <c r="E209" s="388"/>
      <c r="F209" s="388"/>
      <c r="G209" s="388"/>
      <c r="H209" s="388"/>
      <c r="I209" s="388"/>
      <c r="J209" s="388"/>
      <c r="K209" s="388"/>
      <c r="L209" s="388"/>
      <c r="M209" s="388"/>
      <c r="N209" s="388"/>
      <c r="O209" s="388"/>
      <c r="P209" s="388"/>
      <c r="Q209" s="388"/>
      <c r="R209" s="388"/>
      <c r="S209" s="388"/>
      <c r="T209" s="388"/>
    </row>
    <row r="210" spans="2:20" x14ac:dyDescent="0.25">
      <c r="B210" s="388"/>
      <c r="C210" s="388"/>
      <c r="D210" s="388"/>
      <c r="E210" s="388"/>
      <c r="F210" s="388"/>
      <c r="G210" s="388"/>
      <c r="H210" s="388"/>
      <c r="I210" s="388"/>
      <c r="J210" s="388"/>
      <c r="K210" s="388"/>
      <c r="L210" s="388"/>
      <c r="M210" s="388"/>
      <c r="N210" s="388"/>
      <c r="O210" s="388"/>
      <c r="P210" s="388"/>
      <c r="Q210" s="388"/>
      <c r="R210" s="388"/>
      <c r="S210" s="388"/>
      <c r="T210" s="388"/>
    </row>
    <row r="211" spans="2:20" x14ac:dyDescent="0.25">
      <c r="B211" s="388"/>
      <c r="C211" s="388"/>
      <c r="D211" s="388"/>
      <c r="E211" s="388"/>
      <c r="F211" s="388"/>
      <c r="G211" s="388"/>
      <c r="H211" s="388"/>
      <c r="I211" s="388"/>
      <c r="J211" s="388"/>
      <c r="K211" s="388"/>
      <c r="L211" s="388"/>
      <c r="M211" s="388"/>
      <c r="N211" s="388"/>
      <c r="O211" s="388"/>
      <c r="P211" s="388"/>
      <c r="Q211" s="388"/>
      <c r="R211" s="388"/>
      <c r="S211" s="388"/>
      <c r="T211" s="388"/>
    </row>
    <row r="212" spans="2:20" x14ac:dyDescent="0.25">
      <c r="B212" s="388"/>
      <c r="C212" s="388"/>
      <c r="D212" s="388"/>
      <c r="E212" s="388"/>
      <c r="F212" s="388"/>
      <c r="G212" s="388"/>
      <c r="H212" s="388"/>
      <c r="I212" s="388"/>
      <c r="J212" s="388"/>
      <c r="K212" s="388"/>
      <c r="L212" s="388"/>
      <c r="M212" s="388"/>
      <c r="N212" s="388"/>
      <c r="O212" s="388"/>
      <c r="P212" s="388"/>
      <c r="Q212" s="388"/>
      <c r="R212" s="388"/>
      <c r="S212" s="388"/>
      <c r="T212" s="388"/>
    </row>
    <row r="213" spans="2:20" x14ac:dyDescent="0.25">
      <c r="B213" s="388"/>
      <c r="C213" s="388"/>
      <c r="D213" s="388"/>
      <c r="E213" s="388"/>
      <c r="F213" s="388"/>
      <c r="G213" s="388"/>
      <c r="H213" s="388"/>
      <c r="I213" s="388"/>
      <c r="J213" s="388"/>
      <c r="K213" s="388"/>
      <c r="L213" s="388"/>
      <c r="M213" s="388"/>
      <c r="N213" s="388"/>
      <c r="O213" s="388"/>
      <c r="P213" s="388"/>
      <c r="Q213" s="388"/>
      <c r="R213" s="388"/>
      <c r="S213" s="388"/>
      <c r="T213" s="388"/>
    </row>
    <row r="214" spans="2:20" x14ac:dyDescent="0.25">
      <c r="B214" s="388"/>
      <c r="C214" s="388"/>
      <c r="D214" s="388"/>
      <c r="E214" s="388"/>
      <c r="F214" s="388"/>
      <c r="G214" s="388"/>
      <c r="H214" s="388"/>
      <c r="I214" s="388"/>
      <c r="J214" s="388"/>
      <c r="K214" s="388"/>
      <c r="L214" s="388"/>
      <c r="M214" s="388"/>
      <c r="N214" s="388"/>
      <c r="O214" s="388"/>
      <c r="P214" s="388"/>
      <c r="Q214" s="388"/>
      <c r="R214" s="388"/>
      <c r="S214" s="388"/>
      <c r="T214" s="388"/>
    </row>
    <row r="215" spans="2:20" x14ac:dyDescent="0.25">
      <c r="B215" s="388"/>
      <c r="C215" s="388"/>
      <c r="D215" s="388"/>
      <c r="E215" s="388"/>
      <c r="F215" s="388"/>
      <c r="G215" s="388"/>
      <c r="H215" s="388"/>
      <c r="I215" s="388"/>
      <c r="J215" s="388"/>
      <c r="K215" s="388"/>
      <c r="L215" s="388"/>
      <c r="M215" s="388"/>
      <c r="N215" s="388"/>
      <c r="O215" s="388"/>
      <c r="P215" s="388"/>
      <c r="Q215" s="388"/>
      <c r="R215" s="388"/>
      <c r="S215" s="388"/>
      <c r="T215" s="38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
  <sheetViews>
    <sheetView workbookViewId="0"/>
  </sheetViews>
  <sheetFormatPr defaultRowHeight="15" x14ac:dyDescent="0.25"/>
  <sheetData>
    <row r="1" spans="1:6" x14ac:dyDescent="0.25">
      <c r="A1">
        <v>0</v>
      </c>
      <c r="B1">
        <v>0</v>
      </c>
    </row>
    <row r="2" spans="1:6" x14ac:dyDescent="0.25">
      <c r="A2">
        <v>0</v>
      </c>
    </row>
    <row r="3" spans="1:6" x14ac:dyDescent="0.25">
      <c r="A3">
        <v>0</v>
      </c>
    </row>
    <row r="4" spans="1:6" x14ac:dyDescent="0.25">
      <c r="A4" t="b">
        <v>0</v>
      </c>
      <c r="B4">
        <v>14000</v>
      </c>
      <c r="C4">
        <v>6709.375</v>
      </c>
      <c r="D4">
        <v>11200</v>
      </c>
      <c r="E4">
        <v>100</v>
      </c>
    </row>
    <row r="5" spans="1:6" x14ac:dyDescent="0.25">
      <c r="A5" t="b">
        <v>0</v>
      </c>
      <c r="B5">
        <v>14000</v>
      </c>
      <c r="C5">
        <v>6709.375</v>
      </c>
      <c r="D5">
        <v>11200</v>
      </c>
      <c r="E5">
        <v>500</v>
      </c>
    </row>
    <row r="6" spans="1:6" x14ac:dyDescent="0.25">
      <c r="A6" t="b">
        <v>0</v>
      </c>
      <c r="B6">
        <v>14000</v>
      </c>
      <c r="C6">
        <v>6709.375</v>
      </c>
      <c r="D6">
        <v>11200</v>
      </c>
      <c r="E6">
        <v>1000</v>
      </c>
    </row>
    <row r="7" spans="1:6" x14ac:dyDescent="0.25">
      <c r="A7" t="b">
        <v>0</v>
      </c>
      <c r="B7">
        <v>14000</v>
      </c>
      <c r="C7">
        <v>6709.375</v>
      </c>
      <c r="D7">
        <v>11200</v>
      </c>
      <c r="E7">
        <v>1500</v>
      </c>
    </row>
    <row r="8" spans="1:6" x14ac:dyDescent="0.25">
      <c r="A8" t="b">
        <v>0</v>
      </c>
      <c r="B8">
        <v>14000</v>
      </c>
      <c r="C8">
        <v>6709.375</v>
      </c>
      <c r="D8">
        <v>11200</v>
      </c>
      <c r="E8">
        <v>2000</v>
      </c>
    </row>
    <row r="9" spans="1:6" x14ac:dyDescent="0.25">
      <c r="A9">
        <v>0</v>
      </c>
    </row>
    <row r="10" spans="1:6" x14ac:dyDescent="0.25">
      <c r="A10">
        <v>0</v>
      </c>
      <c r="B10" t="b">
        <v>0</v>
      </c>
      <c r="C10" t="b">
        <v>0</v>
      </c>
      <c r="D10">
        <v>10</v>
      </c>
      <c r="E10">
        <v>0.95</v>
      </c>
      <c r="F10">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A1:BD117"/>
  <sheetViews>
    <sheetView tabSelected="1" topLeftCell="A4" workbookViewId="0">
      <selection activeCell="I16" sqref="I16"/>
    </sheetView>
  </sheetViews>
  <sheetFormatPr defaultRowHeight="15" x14ac:dyDescent="0.25"/>
  <cols>
    <col min="7" max="8" width="11" customWidth="1"/>
    <col min="9" max="10" width="10.28515625" customWidth="1"/>
  </cols>
  <sheetData>
    <row r="1" spans="1:56" s="388" customFormat="1" ht="18" x14ac:dyDescent="0.25">
      <c r="A1" s="387" t="s">
        <v>590</v>
      </c>
      <c r="B1" s="390"/>
      <c r="C1" s="390"/>
      <c r="D1" s="390"/>
      <c r="E1" s="395"/>
      <c r="F1" s="393"/>
      <c r="G1" s="439"/>
      <c r="H1" s="407"/>
      <c r="I1" s="395"/>
      <c r="AP1" s="403"/>
    </row>
    <row r="2" spans="1:56" s="388" customFormat="1" x14ac:dyDescent="0.25">
      <c r="A2" s="388" t="s">
        <v>585</v>
      </c>
      <c r="B2" s="390"/>
      <c r="C2" s="390"/>
      <c r="D2" s="390"/>
      <c r="E2" s="395"/>
      <c r="F2" s="393"/>
      <c r="G2" s="439"/>
      <c r="H2" s="407"/>
      <c r="I2" s="395"/>
    </row>
    <row r="3" spans="1:56" s="388" customFormat="1" x14ac:dyDescent="0.25">
      <c r="A3" s="403" t="s">
        <v>586</v>
      </c>
      <c r="B3" s="390"/>
      <c r="C3" s="390"/>
      <c r="D3" s="390"/>
      <c r="E3" s="395" t="s">
        <v>182</v>
      </c>
      <c r="F3" s="393"/>
      <c r="G3" s="439"/>
      <c r="H3" s="407"/>
      <c r="I3" s="395"/>
      <c r="M3" s="390"/>
      <c r="N3" s="393"/>
      <c r="O3" s="439"/>
      <c r="U3" s="395"/>
      <c r="V3" s="390"/>
      <c r="X3" s="439"/>
      <c r="Z3" s="403"/>
      <c r="AA3" s="390"/>
      <c r="AB3" s="390"/>
      <c r="AC3" s="395"/>
      <c r="AD3" s="393"/>
      <c r="AE3" s="439"/>
      <c r="AK3" s="395"/>
      <c r="AL3" s="390"/>
      <c r="AN3" s="439"/>
      <c r="AP3" s="403"/>
      <c r="AQ3" s="390"/>
      <c r="AR3" s="390"/>
      <c r="AS3" s="395"/>
      <c r="AT3" s="393"/>
      <c r="AU3" s="439"/>
      <c r="BA3" s="395"/>
      <c r="BB3" s="390"/>
      <c r="BD3" s="439"/>
    </row>
    <row r="4" spans="1:56" s="388" customFormat="1" x14ac:dyDescent="0.25">
      <c r="E4" s="430"/>
      <c r="J4" s="407"/>
      <c r="K4" s="407"/>
      <c r="L4" s="407"/>
      <c r="X4" s="407"/>
      <c r="AN4" s="407"/>
    </row>
    <row r="5" spans="1:56" x14ac:dyDescent="0.25">
      <c r="A5" s="247"/>
      <c r="B5" s="57"/>
      <c r="C5" s="57"/>
      <c r="D5" s="342"/>
      <c r="E5" s="57"/>
      <c r="F5" s="57"/>
      <c r="G5" s="468" t="s">
        <v>576</v>
      </c>
      <c r="H5" s="470"/>
      <c r="I5" s="485" t="s">
        <v>577</v>
      </c>
      <c r="J5" s="486"/>
      <c r="K5" s="407"/>
      <c r="L5" s="407"/>
      <c r="M5" s="388"/>
      <c r="N5" s="388"/>
      <c r="O5" s="388"/>
      <c r="P5" s="388"/>
      <c r="Q5" s="388"/>
      <c r="R5" s="388"/>
      <c r="S5" s="388"/>
      <c r="T5" s="388"/>
      <c r="U5" s="388"/>
      <c r="V5" s="388"/>
      <c r="W5" s="388"/>
      <c r="X5" s="407"/>
      <c r="Y5" s="388"/>
      <c r="Z5" s="388"/>
      <c r="AA5" s="388"/>
      <c r="AB5" s="388"/>
      <c r="AC5" s="388"/>
      <c r="AN5" s="5"/>
    </row>
    <row r="6" spans="1:56" x14ac:dyDescent="0.25">
      <c r="A6" s="116"/>
      <c r="B6" s="48"/>
      <c r="C6" s="48"/>
      <c r="D6" s="19"/>
      <c r="E6" s="48"/>
      <c r="F6" s="48"/>
      <c r="G6" s="351" t="s">
        <v>594</v>
      </c>
      <c r="H6" s="208" t="s">
        <v>595</v>
      </c>
      <c r="I6" s="351" t="s">
        <v>596</v>
      </c>
      <c r="J6" s="152" t="s">
        <v>226</v>
      </c>
      <c r="K6" s="407"/>
      <c r="L6" s="407"/>
      <c r="M6" s="388"/>
      <c r="N6" s="388"/>
      <c r="O6" s="388"/>
      <c r="P6" s="388"/>
      <c r="Q6" s="388"/>
      <c r="R6" s="388"/>
      <c r="S6" s="388"/>
      <c r="T6" s="388"/>
      <c r="U6" s="388"/>
      <c r="V6" s="388"/>
      <c r="W6" s="388"/>
      <c r="X6" s="407"/>
      <c r="Y6" s="388"/>
      <c r="Z6" s="388"/>
      <c r="AA6" s="388"/>
      <c r="AB6" s="388"/>
      <c r="AC6" s="388"/>
      <c r="AN6" s="5"/>
    </row>
    <row r="7" spans="1:56" x14ac:dyDescent="0.25">
      <c r="A7" s="116"/>
      <c r="B7" s="48"/>
      <c r="C7" s="48"/>
      <c r="D7" s="19" t="s">
        <v>413</v>
      </c>
      <c r="E7" s="19"/>
      <c r="F7" s="19"/>
      <c r="G7" s="328" t="s">
        <v>582</v>
      </c>
      <c r="H7" s="175" t="s">
        <v>583</v>
      </c>
      <c r="I7" s="328" t="s">
        <v>582</v>
      </c>
      <c r="J7" s="34" t="s">
        <v>230</v>
      </c>
      <c r="K7" s="407"/>
      <c r="L7" s="407"/>
      <c r="M7" s="388"/>
      <c r="N7" s="388"/>
      <c r="O7" s="388"/>
      <c r="P7" s="388"/>
      <c r="Q7" s="388"/>
      <c r="R7" s="388"/>
      <c r="S7" s="388"/>
      <c r="T7" s="388"/>
      <c r="U7" s="388"/>
      <c r="V7" s="388"/>
      <c r="W7" s="388"/>
      <c r="X7" s="407"/>
      <c r="Y7" s="388"/>
      <c r="Z7" s="388"/>
      <c r="AA7" s="388"/>
      <c r="AB7" s="388"/>
      <c r="AC7" s="388"/>
      <c r="AN7" s="5"/>
    </row>
    <row r="8" spans="1:56" x14ac:dyDescent="0.25">
      <c r="A8" s="220" t="s">
        <v>2</v>
      </c>
      <c r="B8" s="48"/>
      <c r="C8" s="48"/>
      <c r="D8" s="19">
        <v>1</v>
      </c>
      <c r="E8" s="168"/>
      <c r="F8" s="168"/>
      <c r="G8" s="329">
        <f ca="1">_xll.RiskMean(Inf_1,1)</f>
        <v>0.16128797975422421</v>
      </c>
      <c r="H8" s="330">
        <f ca="1">_xll.RiskMean(Infm_1,1)</f>
        <v>0.16128797975422421</v>
      </c>
      <c r="I8" s="251" t="e">
        <f ca="1">_xll.RiskMean(Inf_yr_1,1)</f>
        <v>#N/A</v>
      </c>
      <c r="J8" s="367" t="e">
        <f ca="1">_xll.RiskMean(Length_yr1,1)</f>
        <v>#N/A</v>
      </c>
      <c r="K8" s="407"/>
      <c r="L8" s="407"/>
      <c r="M8" s="388"/>
      <c r="N8" s="388"/>
      <c r="O8" s="388"/>
      <c r="P8" s="388"/>
      <c r="Q8" s="388"/>
      <c r="R8" s="388"/>
      <c r="S8" s="388"/>
      <c r="T8" s="388"/>
      <c r="U8" s="388"/>
      <c r="V8" s="388"/>
      <c r="W8" s="388"/>
      <c r="X8" s="407"/>
      <c r="Y8" s="388"/>
      <c r="Z8" s="388"/>
      <c r="AA8" s="388"/>
      <c r="AB8" s="388"/>
      <c r="AC8" s="388"/>
      <c r="AN8" s="5"/>
    </row>
    <row r="9" spans="1:56" x14ac:dyDescent="0.25">
      <c r="A9" s="220" t="s">
        <v>3</v>
      </c>
      <c r="B9" s="48"/>
      <c r="C9" s="48"/>
      <c r="D9" s="19">
        <v>2</v>
      </c>
      <c r="E9" s="168"/>
      <c r="F9" s="168"/>
      <c r="G9" s="329">
        <f ca="1">_xll.RiskMean(Inf_2,1)</f>
        <v>4.1862865934981841E-6</v>
      </c>
      <c r="H9" s="330">
        <f ca="1">_xll.RiskMean(Infm_2,1)</f>
        <v>3.4885721612484869E-6</v>
      </c>
      <c r="I9" s="251" t="e">
        <f ca="1">_xll.RiskMean(Inf_yr_2,1)</f>
        <v>#N/A</v>
      </c>
      <c r="J9" s="367" t="e">
        <f ca="1">_xll.RiskMean(Length_yr2,1)</f>
        <v>#N/A</v>
      </c>
      <c r="K9" s="407"/>
      <c r="L9" s="407"/>
      <c r="M9" s="388"/>
      <c r="N9" s="388"/>
      <c r="O9" s="388"/>
      <c r="P9" s="388"/>
      <c r="Q9" s="388"/>
      <c r="R9" s="388"/>
      <c r="S9" s="388"/>
      <c r="T9" s="388"/>
      <c r="U9" s="388"/>
      <c r="V9" s="388"/>
      <c r="W9" s="388"/>
      <c r="X9" s="407"/>
      <c r="Y9" s="388"/>
      <c r="Z9" s="388"/>
      <c r="AA9" s="388"/>
      <c r="AB9" s="388"/>
      <c r="AC9" s="388"/>
      <c r="AN9" s="5"/>
    </row>
    <row r="10" spans="1:56" x14ac:dyDescent="0.25">
      <c r="A10" s="220" t="s">
        <v>7</v>
      </c>
      <c r="B10" s="48"/>
      <c r="C10" s="48"/>
      <c r="D10" s="19">
        <v>3</v>
      </c>
      <c r="E10" s="168"/>
      <c r="F10" s="168"/>
      <c r="G10" s="329">
        <f ca="1">_xll.RiskMean(Inf_3,1)</f>
        <v>0.82111559355398656</v>
      </c>
      <c r="H10" s="330">
        <f ca="1">_xll.RiskMean(Infm_3,1)</f>
        <v>1.7928288068864335E-2</v>
      </c>
      <c r="I10" s="251" t="e">
        <f ca="1">_xll.RiskMean(Inf_yr_3,1)</f>
        <v>#N/A</v>
      </c>
      <c r="J10" s="367" t="e">
        <f ca="1">_xll.RiskMean(Length_yr3,1)</f>
        <v>#N/A</v>
      </c>
      <c r="K10" s="407"/>
      <c r="L10" s="407"/>
      <c r="M10" s="388"/>
      <c r="N10" s="388"/>
      <c r="O10" s="388"/>
      <c r="P10" s="388"/>
      <c r="Q10" s="388"/>
      <c r="R10" s="388"/>
      <c r="S10" s="388"/>
      <c r="T10" s="388"/>
      <c r="U10" s="388"/>
      <c r="V10" s="388"/>
      <c r="W10" s="388"/>
      <c r="X10" s="407"/>
      <c r="Y10" s="388"/>
      <c r="Z10" s="388"/>
      <c r="AA10" s="388"/>
      <c r="AB10" s="388"/>
      <c r="AC10" s="388"/>
      <c r="AN10" s="5"/>
    </row>
    <row r="11" spans="1:56" x14ac:dyDescent="0.25">
      <c r="A11" s="220" t="s">
        <v>4</v>
      </c>
      <c r="B11" s="48"/>
      <c r="C11" s="48"/>
      <c r="D11" s="19">
        <v>4</v>
      </c>
      <c r="E11" s="168"/>
      <c r="F11" s="168"/>
      <c r="G11" s="329">
        <f ca="1">_xll.RiskMean(Inf_4,1)</f>
        <v>3.5814193715159003E-2</v>
      </c>
      <c r="H11" s="330">
        <f ca="1">_xll.RiskMean(Infm_4,1)</f>
        <v>4.7752258286878672E-2</v>
      </c>
      <c r="I11" s="251" t="e">
        <f ca="1">_xll.RiskMean(Inf_yr_4,1)</f>
        <v>#N/A</v>
      </c>
      <c r="J11" s="367" t="e">
        <f ca="1">_xll.RiskMean(Length_yr4,1)</f>
        <v>#N/A</v>
      </c>
      <c r="K11" s="407"/>
      <c r="L11" s="407"/>
      <c r="M11" s="388"/>
      <c r="N11" s="388"/>
      <c r="O11" s="388"/>
      <c r="P11" s="388"/>
      <c r="Q11" s="388"/>
      <c r="R11" s="388"/>
      <c r="S11" s="388"/>
      <c r="T11" s="388"/>
      <c r="U11" s="388"/>
      <c r="V11" s="388"/>
      <c r="W11" s="388"/>
      <c r="X11" s="407"/>
      <c r="Y11" s="388"/>
      <c r="Z11" s="388"/>
      <c r="AA11" s="388"/>
      <c r="AB11" s="388"/>
      <c r="AC11" s="388"/>
      <c r="AN11" s="5"/>
    </row>
    <row r="12" spans="1:56" x14ac:dyDescent="0.25">
      <c r="A12" s="220" t="s">
        <v>5</v>
      </c>
      <c r="B12" s="48"/>
      <c r="C12" s="48"/>
      <c r="D12" s="19">
        <v>5</v>
      </c>
      <c r="E12" s="168"/>
      <c r="F12" s="168"/>
      <c r="G12" s="329">
        <f ca="1">_xll.RiskMean(Inf_5,1)</f>
        <v>3.8374293773733363E-5</v>
      </c>
      <c r="H12" s="330">
        <f ca="1">_xll.RiskMean(Infm_5,1)</f>
        <v>3.4885721612484873E-6</v>
      </c>
      <c r="I12" s="251" t="e">
        <f ca="1">_xll.RiskMean(Inf_yr_5,1)</f>
        <v>#N/A</v>
      </c>
      <c r="J12" s="367" t="e">
        <f ca="1">_xll.RiskMean(Length_yr5,1)</f>
        <v>#N/A</v>
      </c>
      <c r="K12" s="407"/>
      <c r="L12" s="407"/>
      <c r="M12" s="388"/>
      <c r="N12" s="388"/>
      <c r="O12" s="388"/>
      <c r="P12" s="388"/>
      <c r="Q12" s="388"/>
      <c r="R12" s="388"/>
      <c r="S12" s="388"/>
      <c r="T12" s="388"/>
      <c r="U12" s="388"/>
      <c r="V12" s="388"/>
      <c r="W12" s="388"/>
      <c r="X12" s="407"/>
      <c r="Y12" s="388"/>
      <c r="Z12" s="388"/>
      <c r="AA12" s="388"/>
      <c r="AB12" s="388"/>
      <c r="AC12" s="388"/>
      <c r="AN12" s="5"/>
    </row>
    <row r="13" spans="1:56" x14ac:dyDescent="0.25">
      <c r="A13" s="220" t="s">
        <v>214</v>
      </c>
      <c r="B13" s="48"/>
      <c r="C13" s="48"/>
      <c r="D13" s="19">
        <v>6</v>
      </c>
      <c r="E13" s="168"/>
      <c r="F13" s="168"/>
      <c r="G13" s="329">
        <f ca="1">_xll.RiskMean(Inf_6,1)</f>
        <v>3.345692661331944E-8</v>
      </c>
      <c r="H13" s="167"/>
      <c r="I13" s="251" t="e">
        <f ca="1">_xll.RiskMean(Inf_yr_6,1)</f>
        <v>#N/A</v>
      </c>
      <c r="J13" s="368"/>
      <c r="K13" s="407"/>
      <c r="L13" s="407"/>
      <c r="M13" s="388"/>
      <c r="N13" s="388"/>
      <c r="O13" s="388"/>
      <c r="P13" s="388"/>
      <c r="Q13" s="388"/>
      <c r="R13" s="388"/>
      <c r="S13" s="388"/>
      <c r="T13" s="388"/>
      <c r="U13" s="388"/>
      <c r="V13" s="388"/>
      <c r="W13" s="388"/>
      <c r="X13" s="407"/>
      <c r="Y13" s="388"/>
      <c r="Z13" s="388"/>
      <c r="AA13" s="388"/>
      <c r="AB13" s="388"/>
      <c r="AC13" s="388"/>
      <c r="AN13" s="5"/>
    </row>
    <row r="14" spans="1:56" x14ac:dyDescent="0.25">
      <c r="A14" s="220" t="s">
        <v>6</v>
      </c>
      <c r="B14" s="48"/>
      <c r="C14" s="48"/>
      <c r="D14" s="19">
        <v>7</v>
      </c>
      <c r="E14" s="168"/>
      <c r="F14" s="168"/>
      <c r="G14" s="329">
        <f ca="1">_xll.RiskMean(Inf_7,1)</f>
        <v>4.2244197486779718E-4</v>
      </c>
      <c r="H14" s="167"/>
      <c r="I14" s="251" t="e">
        <f ca="1">_xll.RiskMean(Inf_yr_7,1)</f>
        <v>#N/A</v>
      </c>
      <c r="J14" s="368"/>
      <c r="K14" s="407"/>
      <c r="L14" s="407"/>
      <c r="M14" s="388"/>
      <c r="N14" s="388"/>
      <c r="O14" s="388"/>
      <c r="P14" s="388"/>
      <c r="Q14" s="388"/>
      <c r="R14" s="388"/>
      <c r="S14" s="388"/>
      <c r="T14" s="388"/>
      <c r="U14" s="388"/>
      <c r="V14" s="388"/>
      <c r="W14" s="388"/>
      <c r="X14" s="407"/>
      <c r="Y14" s="388"/>
      <c r="Z14" s="388"/>
      <c r="AA14" s="388"/>
      <c r="AB14" s="388"/>
      <c r="AC14" s="388"/>
      <c r="AN14" s="5"/>
    </row>
    <row r="15" spans="1:56" x14ac:dyDescent="0.25">
      <c r="A15" s="220" t="s">
        <v>217</v>
      </c>
      <c r="B15" s="48"/>
      <c r="C15" s="48"/>
      <c r="D15" s="19">
        <v>8</v>
      </c>
      <c r="E15" s="168"/>
      <c r="F15" s="168"/>
      <c r="G15" s="329">
        <f ca="1">_xll.RiskMean(Inf_8,1)</f>
        <v>5.0823629025432537E-4</v>
      </c>
      <c r="H15" s="167"/>
      <c r="I15" s="251" t="e">
        <f ca="1">_xll.RiskMean(Inf_yr_8,1)</f>
        <v>#N/A</v>
      </c>
      <c r="J15" s="368"/>
      <c r="K15" s="407"/>
      <c r="L15" s="407"/>
      <c r="M15" s="388"/>
      <c r="N15" s="388"/>
      <c r="O15" s="388"/>
      <c r="P15" s="388"/>
      <c r="Q15" s="388"/>
      <c r="R15" s="388"/>
      <c r="S15" s="388"/>
      <c r="T15" s="388"/>
      <c r="U15" s="388"/>
      <c r="V15" s="388"/>
      <c r="W15" s="388"/>
      <c r="X15" s="407"/>
      <c r="Y15" s="388"/>
      <c r="Z15" s="388"/>
      <c r="AA15" s="388"/>
      <c r="AB15" s="388"/>
      <c r="AC15" s="388"/>
      <c r="AN15" s="5"/>
    </row>
    <row r="16" spans="1:56" x14ac:dyDescent="0.25">
      <c r="A16" s="319" t="s">
        <v>184</v>
      </c>
      <c r="B16" s="320"/>
      <c r="C16" s="320"/>
      <c r="D16" s="341"/>
      <c r="E16" s="321"/>
      <c r="F16" s="321"/>
      <c r="G16" s="347">
        <f ca="1">_xll.RiskMean(Inf,1)</f>
        <v>1.0191910393257857</v>
      </c>
      <c r="H16" s="334"/>
      <c r="I16" s="347" t="e">
        <f ca="1">_xll.RiskMean(Inf_yr,1)</f>
        <v>#N/A</v>
      </c>
      <c r="J16" s="369" t="e">
        <f ca="1">SUM(J8:J15)</f>
        <v>#N/A</v>
      </c>
      <c r="K16" s="407"/>
      <c r="L16" s="407"/>
      <c r="M16" s="388"/>
      <c r="N16" s="388"/>
      <c r="O16" s="388"/>
      <c r="P16" s="388"/>
      <c r="Q16" s="388"/>
      <c r="R16" s="388"/>
      <c r="S16" s="388"/>
      <c r="T16" s="388"/>
      <c r="U16" s="388"/>
      <c r="V16" s="388"/>
      <c r="W16" s="388"/>
      <c r="X16" s="407"/>
      <c r="Y16" s="388"/>
      <c r="Z16" s="388"/>
      <c r="AA16" s="388"/>
      <c r="AB16" s="388"/>
      <c r="AC16" s="388"/>
      <c r="AN16" s="5"/>
    </row>
    <row r="17" spans="1:40" x14ac:dyDescent="0.25">
      <c r="A17" s="302" t="s">
        <v>584</v>
      </c>
      <c r="B17" s="57"/>
      <c r="C17" s="57"/>
      <c r="D17" s="382" t="s">
        <v>604</v>
      </c>
      <c r="E17" s="136"/>
      <c r="F17" s="348"/>
      <c r="G17" s="380">
        <f ca="1">_xll.RiskMean(Inf_9,1)</f>
        <v>0.98224379670322548</v>
      </c>
      <c r="H17" s="381">
        <f ca="1">_xll.RiskMean(Infm_9,1)</f>
        <v>0.67508164721871167</v>
      </c>
      <c r="I17" s="380" t="e">
        <f ca="1">_xll.RiskMean(Inf_yr_9,1)</f>
        <v>#N/A</v>
      </c>
      <c r="J17" s="367" t="e">
        <f ca="1">_xll.RiskMean(Length_yr9,1)</f>
        <v>#N/A</v>
      </c>
      <c r="K17" s="407"/>
      <c r="L17" s="407"/>
      <c r="M17" s="388"/>
      <c r="N17" s="388"/>
      <c r="O17" s="388"/>
      <c r="P17" s="388"/>
      <c r="Q17" s="388"/>
      <c r="R17" s="388"/>
      <c r="S17" s="388"/>
      <c r="T17" s="388"/>
      <c r="U17" s="388"/>
      <c r="V17" s="388"/>
      <c r="W17" s="388"/>
      <c r="X17" s="407"/>
      <c r="Y17" s="388"/>
      <c r="Z17" s="388"/>
      <c r="AA17" s="388"/>
      <c r="AB17" s="388"/>
      <c r="AC17" s="388"/>
      <c r="AN17" s="5"/>
    </row>
    <row r="18" spans="1:40" x14ac:dyDescent="0.25">
      <c r="A18" s="204" t="s">
        <v>206</v>
      </c>
      <c r="B18" s="225"/>
      <c r="C18" s="225"/>
      <c r="D18" s="66" t="s">
        <v>207</v>
      </c>
      <c r="E18" s="129"/>
      <c r="F18" s="350"/>
      <c r="G18" s="345">
        <f ca="1">_xll.RiskMean(Inf_3i,1)</f>
        <v>0.82095581694900133</v>
      </c>
      <c r="H18" s="225">
        <f ca="1">_xll.RiskMean(Infm_3i,1)</f>
        <v>0.67508164721871167</v>
      </c>
      <c r="I18" s="345" t="e">
        <f ca="1">_xll.RiskMean(Inf_yr_3i,1)</f>
        <v>#N/A</v>
      </c>
      <c r="J18" s="370" t="e">
        <f ca="1">_xll.RiskMean(Length_yr3i,1)</f>
        <v>#N/A</v>
      </c>
      <c r="K18" s="407"/>
      <c r="L18" s="407"/>
      <c r="M18" s="388"/>
      <c r="N18" s="388"/>
      <c r="O18" s="388"/>
      <c r="P18" s="388"/>
      <c r="Q18" s="388"/>
      <c r="R18" s="388"/>
      <c r="S18" s="388"/>
      <c r="T18" s="388"/>
      <c r="U18" s="388"/>
      <c r="V18" s="388"/>
      <c r="W18" s="388"/>
      <c r="X18" s="407"/>
      <c r="Y18" s="388"/>
      <c r="Z18" s="388"/>
      <c r="AA18" s="388"/>
      <c r="AB18" s="388"/>
      <c r="AC18" s="388"/>
      <c r="AN18" s="5"/>
    </row>
    <row r="19" spans="1:40" s="388" customFormat="1" x14ac:dyDescent="0.25">
      <c r="E19" s="430"/>
      <c r="H19" s="407"/>
      <c r="J19" s="407"/>
      <c r="K19" s="407"/>
      <c r="L19" s="407"/>
      <c r="X19" s="407"/>
      <c r="AN19" s="407"/>
    </row>
    <row r="20" spans="1:40" s="388" customFormat="1" x14ac:dyDescent="0.25">
      <c r="A20" s="403" t="s">
        <v>587</v>
      </c>
      <c r="E20" s="430"/>
      <c r="H20" s="407"/>
      <c r="J20" s="407"/>
      <c r="K20" s="407"/>
      <c r="L20" s="407"/>
      <c r="X20" s="407"/>
      <c r="AN20" s="407"/>
    </row>
    <row r="21" spans="1:40" x14ac:dyDescent="0.25">
      <c r="A21" s="247"/>
      <c r="B21" s="57"/>
      <c r="C21" s="57"/>
      <c r="D21" s="342"/>
      <c r="E21" s="57"/>
      <c r="F21" s="57"/>
      <c r="G21" s="468" t="s">
        <v>576</v>
      </c>
      <c r="H21" s="470"/>
      <c r="I21" s="485" t="s">
        <v>577</v>
      </c>
      <c r="J21" s="486"/>
      <c r="K21" s="407"/>
      <c r="L21" s="407"/>
      <c r="M21" s="388"/>
      <c r="N21" s="388"/>
      <c r="O21" s="388"/>
      <c r="P21" s="388"/>
      <c r="Q21" s="388"/>
      <c r="R21" s="388"/>
      <c r="S21" s="388"/>
      <c r="T21" s="388"/>
      <c r="U21" s="388"/>
      <c r="V21" s="388"/>
      <c r="W21" s="388"/>
      <c r="X21" s="407"/>
      <c r="Y21" s="388"/>
      <c r="Z21" s="388"/>
      <c r="AA21" s="388"/>
      <c r="AB21" s="388"/>
      <c r="AC21" s="388"/>
      <c r="AN21" s="5"/>
    </row>
    <row r="22" spans="1:40" x14ac:dyDescent="0.25">
      <c r="A22" s="116"/>
      <c r="B22" s="48"/>
      <c r="C22" s="48"/>
      <c r="D22" s="19"/>
      <c r="E22" s="48"/>
      <c r="F22" s="48"/>
      <c r="G22" s="483" t="s">
        <v>593</v>
      </c>
      <c r="H22" s="479"/>
      <c r="I22" s="346" t="s">
        <v>593</v>
      </c>
      <c r="J22" s="152" t="s">
        <v>226</v>
      </c>
      <c r="K22" s="407"/>
      <c r="L22" s="407"/>
      <c r="M22" s="388"/>
      <c r="N22" s="388"/>
      <c r="O22" s="388"/>
      <c r="P22" s="388"/>
      <c r="Q22" s="388"/>
      <c r="R22" s="388"/>
      <c r="S22" s="388"/>
      <c r="T22" s="388"/>
      <c r="U22" s="388"/>
      <c r="V22" s="388"/>
      <c r="W22" s="388"/>
      <c r="X22" s="407"/>
      <c r="Y22" s="388"/>
      <c r="Z22" s="388"/>
      <c r="AA22" s="388"/>
      <c r="AB22" s="388"/>
      <c r="AC22" s="388"/>
      <c r="AN22" s="5"/>
    </row>
    <row r="23" spans="1:40" x14ac:dyDescent="0.25">
      <c r="A23" s="116"/>
      <c r="B23" s="48"/>
      <c r="C23" s="48"/>
      <c r="D23" s="19"/>
      <c r="E23" s="48"/>
      <c r="F23" s="48"/>
      <c r="G23" s="327" t="s">
        <v>594</v>
      </c>
      <c r="H23" s="71" t="s">
        <v>595</v>
      </c>
      <c r="I23" s="327" t="s">
        <v>596</v>
      </c>
      <c r="J23" s="371"/>
      <c r="K23" s="407"/>
      <c r="L23" s="407"/>
      <c r="M23" s="388"/>
      <c r="N23" s="388"/>
      <c r="O23" s="388"/>
      <c r="P23" s="388"/>
      <c r="Q23" s="388"/>
      <c r="R23" s="388"/>
      <c r="S23" s="388"/>
      <c r="T23" s="388"/>
      <c r="U23" s="388"/>
      <c r="V23" s="388"/>
      <c r="W23" s="388"/>
      <c r="X23" s="407"/>
      <c r="Y23" s="388"/>
      <c r="Z23" s="388"/>
      <c r="AA23" s="388"/>
      <c r="AB23" s="388"/>
      <c r="AC23" s="388"/>
      <c r="AN23" s="5"/>
    </row>
    <row r="24" spans="1:40" x14ac:dyDescent="0.25">
      <c r="A24" s="116"/>
      <c r="B24" s="48"/>
      <c r="C24" s="48"/>
      <c r="D24" s="19" t="s">
        <v>413</v>
      </c>
      <c r="E24" s="19"/>
      <c r="F24" s="19"/>
      <c r="G24" s="328" t="s">
        <v>582</v>
      </c>
      <c r="H24" s="175" t="s">
        <v>583</v>
      </c>
      <c r="I24" s="328" t="s">
        <v>582</v>
      </c>
      <c r="J24" s="34" t="s">
        <v>230</v>
      </c>
      <c r="K24" s="407"/>
      <c r="L24" s="407"/>
      <c r="M24" s="388"/>
      <c r="N24" s="388"/>
      <c r="O24" s="388"/>
      <c r="P24" s="388"/>
      <c r="Q24" s="388"/>
      <c r="R24" s="388"/>
      <c r="S24" s="388"/>
      <c r="T24" s="388"/>
      <c r="U24" s="388"/>
      <c r="V24" s="388"/>
      <c r="W24" s="388"/>
      <c r="X24" s="407"/>
      <c r="Y24" s="388"/>
      <c r="Z24" s="388"/>
      <c r="AA24" s="388"/>
      <c r="AB24" s="388"/>
      <c r="AC24" s="388"/>
      <c r="AN24" s="5"/>
    </row>
    <row r="25" spans="1:40" x14ac:dyDescent="0.25">
      <c r="A25" s="220" t="s">
        <v>2</v>
      </c>
      <c r="B25" s="48"/>
      <c r="C25" s="48"/>
      <c r="D25" s="19">
        <v>1</v>
      </c>
      <c r="E25" s="168"/>
      <c r="F25" s="168"/>
      <c r="G25" s="329">
        <f ca="1">_xll.RiskPercentile(Inf_1,0.025,1)</f>
        <v>0.16128797975422421</v>
      </c>
      <c r="H25" s="330">
        <f ca="1">_xll.RiskPercentile(Infm_1,0.025,1)</f>
        <v>0.16128797975422421</v>
      </c>
      <c r="I25" s="329" t="e">
        <f ca="1">_xll.RiskPercentile(Inf_yr_1,0.025,1)</f>
        <v>#N/A</v>
      </c>
      <c r="J25" s="367" t="e">
        <f ca="1">_xll.RiskPercentile(Length_yr1,0.025,1)</f>
        <v>#N/A</v>
      </c>
      <c r="K25" s="407"/>
      <c r="L25" s="407"/>
      <c r="M25" s="388"/>
      <c r="N25" s="388"/>
      <c r="O25" s="388"/>
      <c r="P25" s="388"/>
      <c r="Q25" s="388"/>
      <c r="R25" s="388"/>
      <c r="S25" s="388"/>
      <c r="T25" s="388"/>
      <c r="U25" s="388"/>
      <c r="V25" s="388"/>
      <c r="W25" s="388"/>
      <c r="X25" s="407"/>
      <c r="Y25" s="388"/>
      <c r="Z25" s="388"/>
      <c r="AA25" s="388"/>
      <c r="AB25" s="388"/>
      <c r="AC25" s="388"/>
      <c r="AN25" s="5"/>
    </row>
    <row r="26" spans="1:40" x14ac:dyDescent="0.25">
      <c r="A26" s="220" t="s">
        <v>3</v>
      </c>
      <c r="B26" s="48"/>
      <c r="C26" s="48"/>
      <c r="D26" s="19">
        <v>2</v>
      </c>
      <c r="E26" s="168"/>
      <c r="F26" s="168"/>
      <c r="G26" s="329">
        <f ca="1">_xll.RiskPercentile(Inf_2,0.025,1)</f>
        <v>4.1862865934981841E-6</v>
      </c>
      <c r="H26" s="330">
        <f ca="1">_xll.RiskPercentile(Infm_2,0.025,1)</f>
        <v>3.4885721612484869E-6</v>
      </c>
      <c r="I26" s="329" t="e">
        <f ca="1">_xll.RiskPercentile(Inf_yr_2,0.025,1)</f>
        <v>#N/A</v>
      </c>
      <c r="J26" s="367" t="e">
        <f ca="1">_xll.RiskPercentile(Length_yr2,0.025,1)</f>
        <v>#N/A</v>
      </c>
      <c r="K26" s="407"/>
      <c r="L26" s="407"/>
      <c r="M26" s="388"/>
      <c r="N26" s="388"/>
      <c r="O26" s="388"/>
      <c r="P26" s="388"/>
      <c r="Q26" s="388"/>
      <c r="R26" s="388"/>
      <c r="S26" s="388"/>
      <c r="T26" s="388"/>
      <c r="U26" s="388"/>
      <c r="V26" s="388"/>
      <c r="W26" s="388"/>
      <c r="X26" s="407"/>
      <c r="Y26" s="388"/>
      <c r="Z26" s="388"/>
      <c r="AA26" s="388"/>
      <c r="AB26" s="388"/>
      <c r="AC26" s="388"/>
      <c r="AN26" s="5"/>
    </row>
    <row r="27" spans="1:40" x14ac:dyDescent="0.25">
      <c r="A27" s="220" t="s">
        <v>7</v>
      </c>
      <c r="B27" s="48"/>
      <c r="C27" s="48"/>
      <c r="D27" s="19">
        <v>3</v>
      </c>
      <c r="E27" s="168"/>
      <c r="F27" s="168"/>
      <c r="G27" s="329">
        <f ca="1">_xll.RiskPercentile(Inf_3,0.025,1)</f>
        <v>0.82111559355398656</v>
      </c>
      <c r="H27" s="330">
        <f ca="1">_xll.RiskPercentile(Infm_3,0.025,1)</f>
        <v>1.7928288068864335E-2</v>
      </c>
      <c r="I27" s="329" t="e">
        <f ca="1">_xll.RiskPercentile(Inf_yr_3,0.025,1)</f>
        <v>#N/A</v>
      </c>
      <c r="J27" s="367" t="e">
        <f ca="1">_xll.RiskPercentile(Length_yr3,0.025,1)</f>
        <v>#N/A</v>
      </c>
      <c r="K27" s="407"/>
      <c r="L27" s="407"/>
      <c r="M27" s="388"/>
      <c r="N27" s="388"/>
      <c r="O27" s="388"/>
      <c r="P27" s="388"/>
      <c r="Q27" s="388"/>
      <c r="R27" s="388"/>
      <c r="S27" s="388"/>
      <c r="T27" s="388"/>
      <c r="U27" s="388"/>
      <c r="V27" s="388"/>
      <c r="W27" s="388"/>
      <c r="X27" s="407"/>
      <c r="Y27" s="388"/>
      <c r="Z27" s="388"/>
      <c r="AA27" s="388"/>
      <c r="AB27" s="388"/>
      <c r="AC27" s="388"/>
      <c r="AN27" s="5"/>
    </row>
    <row r="28" spans="1:40" x14ac:dyDescent="0.25">
      <c r="A28" s="220" t="s">
        <v>4</v>
      </c>
      <c r="B28" s="48"/>
      <c r="C28" s="48"/>
      <c r="D28" s="19">
        <v>4</v>
      </c>
      <c r="E28" s="168"/>
      <c r="F28" s="168"/>
      <c r="G28" s="329">
        <f ca="1">_xll.RiskPercentile(Inf_4,0.025,1)</f>
        <v>3.5814193715159003E-2</v>
      </c>
      <c r="H28" s="330">
        <f ca="1">_xll.RiskPercentile(Infm_4,0.025,1)</f>
        <v>4.7752258286878672E-2</v>
      </c>
      <c r="I28" s="329" t="e">
        <f ca="1">_xll.RiskPercentile(Inf_yr_4,0.025,1)</f>
        <v>#N/A</v>
      </c>
      <c r="J28" s="367" t="e">
        <f ca="1">_xll.RiskPercentile(Length_yr4,0.025,1)</f>
        <v>#N/A</v>
      </c>
      <c r="K28" s="407"/>
      <c r="L28" s="407"/>
      <c r="M28" s="388"/>
      <c r="N28" s="388"/>
      <c r="O28" s="388"/>
      <c r="P28" s="388"/>
      <c r="Q28" s="388"/>
      <c r="R28" s="388"/>
      <c r="S28" s="388"/>
      <c r="T28" s="388"/>
      <c r="U28" s="388"/>
      <c r="V28" s="388"/>
      <c r="W28" s="388"/>
      <c r="X28" s="407"/>
      <c r="Y28" s="388"/>
      <c r="Z28" s="388"/>
      <c r="AA28" s="388"/>
      <c r="AB28" s="388"/>
      <c r="AC28" s="388"/>
      <c r="AN28" s="5"/>
    </row>
    <row r="29" spans="1:40" x14ac:dyDescent="0.25">
      <c r="A29" s="220" t="s">
        <v>5</v>
      </c>
      <c r="B29" s="48"/>
      <c r="C29" s="48"/>
      <c r="D29" s="19">
        <v>5</v>
      </c>
      <c r="E29" s="168"/>
      <c r="F29" s="168"/>
      <c r="G29" s="329">
        <f ca="1">_xll.RiskPercentile(Inf_5,0.025,1)</f>
        <v>3.8374293773733363E-5</v>
      </c>
      <c r="H29" s="330">
        <f ca="1">_xll.RiskPercentile(Infm_5,0.025,1)</f>
        <v>3.4885721612484873E-6</v>
      </c>
      <c r="I29" s="329" t="e">
        <f ca="1">_xll.RiskPercentile(Inf_yr_5,0.025,1)</f>
        <v>#N/A</v>
      </c>
      <c r="J29" s="367" t="e">
        <f ca="1">_xll.RiskPercentile(Length_yr5,0.025,1)</f>
        <v>#N/A</v>
      </c>
      <c r="K29" s="407"/>
      <c r="L29" s="407"/>
      <c r="M29" s="388"/>
      <c r="N29" s="388"/>
      <c r="O29" s="388"/>
      <c r="P29" s="388"/>
      <c r="Q29" s="388"/>
      <c r="R29" s="388"/>
      <c r="S29" s="388"/>
      <c r="T29" s="388"/>
      <c r="U29" s="388"/>
      <c r="V29" s="388"/>
      <c r="W29" s="388"/>
      <c r="X29" s="407"/>
      <c r="Y29" s="388"/>
      <c r="Z29" s="388"/>
      <c r="AA29" s="388"/>
      <c r="AB29" s="388"/>
      <c r="AC29" s="388"/>
      <c r="AN29" s="5"/>
    </row>
    <row r="30" spans="1:40" x14ac:dyDescent="0.25">
      <c r="A30" s="220" t="s">
        <v>214</v>
      </c>
      <c r="B30" s="48"/>
      <c r="C30" s="48"/>
      <c r="D30" s="19">
        <v>6</v>
      </c>
      <c r="E30" s="168"/>
      <c r="F30" s="168"/>
      <c r="G30" s="329">
        <f ca="1">_xll.RiskPercentile(Inf_6,0.025,1)</f>
        <v>3.345692661331944E-8</v>
      </c>
      <c r="H30" s="167"/>
      <c r="I30" s="329" t="e">
        <f ca="1">_xll.RiskPercentile(Inf_yr_6,0.025,1)</f>
        <v>#N/A</v>
      </c>
      <c r="J30" s="368"/>
      <c r="K30" s="407"/>
      <c r="L30" s="407"/>
      <c r="M30" s="388"/>
      <c r="N30" s="388"/>
      <c r="O30" s="388"/>
      <c r="P30" s="388"/>
      <c r="Q30" s="388"/>
      <c r="R30" s="388"/>
      <c r="S30" s="388"/>
      <c r="T30" s="388"/>
      <c r="U30" s="388"/>
      <c r="V30" s="388"/>
      <c r="W30" s="388"/>
      <c r="X30" s="407"/>
      <c r="Y30" s="388"/>
      <c r="Z30" s="388"/>
      <c r="AA30" s="388"/>
      <c r="AB30" s="388"/>
      <c r="AC30" s="388"/>
      <c r="AN30" s="5"/>
    </row>
    <row r="31" spans="1:40" x14ac:dyDescent="0.25">
      <c r="A31" s="220" t="s">
        <v>6</v>
      </c>
      <c r="B31" s="48"/>
      <c r="C31" s="48"/>
      <c r="D31" s="19">
        <v>7</v>
      </c>
      <c r="E31" s="168"/>
      <c r="F31" s="168"/>
      <c r="G31" s="329">
        <f ca="1">_xll.RiskPercentile(Inf_7,0.025,1)</f>
        <v>4.2244197486779718E-4</v>
      </c>
      <c r="H31" s="167"/>
      <c r="I31" s="329" t="e">
        <f ca="1">_xll.RiskPercentile(Inf_yr_7,0.025,1)</f>
        <v>#N/A</v>
      </c>
      <c r="J31" s="368"/>
      <c r="K31" s="407"/>
      <c r="L31" s="407"/>
      <c r="M31" s="388"/>
      <c r="N31" s="388"/>
      <c r="O31" s="388"/>
      <c r="P31" s="388"/>
      <c r="Q31" s="388"/>
      <c r="R31" s="388"/>
      <c r="S31" s="388"/>
      <c r="T31" s="388"/>
      <c r="U31" s="388"/>
      <c r="V31" s="388"/>
      <c r="W31" s="388"/>
      <c r="X31" s="407"/>
      <c r="Y31" s="388"/>
      <c r="Z31" s="388"/>
      <c r="AA31" s="388"/>
      <c r="AB31" s="388"/>
      <c r="AC31" s="388"/>
      <c r="AN31" s="5"/>
    </row>
    <row r="32" spans="1:40" x14ac:dyDescent="0.25">
      <c r="A32" s="220" t="s">
        <v>217</v>
      </c>
      <c r="B32" s="48"/>
      <c r="C32" s="48"/>
      <c r="D32" s="19">
        <v>8</v>
      </c>
      <c r="E32" s="168"/>
      <c r="F32" s="168"/>
      <c r="G32" s="329">
        <f ca="1">_xll.RiskPercentile(Inf_8,0.025,1)</f>
        <v>5.0823629025432537E-4</v>
      </c>
      <c r="H32" s="167"/>
      <c r="I32" s="329" t="e">
        <f ca="1">_xll.RiskPercentile(Inf_yr_8,0.025,1)</f>
        <v>#N/A</v>
      </c>
      <c r="J32" s="368"/>
      <c r="K32" s="407"/>
      <c r="L32" s="407"/>
      <c r="M32" s="388"/>
      <c r="N32" s="388"/>
      <c r="O32" s="388"/>
      <c r="P32" s="388"/>
      <c r="Q32" s="388"/>
      <c r="R32" s="388"/>
      <c r="S32" s="388"/>
      <c r="T32" s="388"/>
      <c r="U32" s="388"/>
      <c r="V32" s="388"/>
      <c r="W32" s="388"/>
      <c r="X32" s="407"/>
      <c r="Y32" s="388"/>
      <c r="Z32" s="388"/>
      <c r="AA32" s="388"/>
      <c r="AB32" s="388"/>
      <c r="AC32" s="388"/>
      <c r="AN32" s="5"/>
    </row>
    <row r="33" spans="1:40" x14ac:dyDescent="0.25">
      <c r="A33" s="319" t="s">
        <v>184</v>
      </c>
      <c r="B33" s="320"/>
      <c r="C33" s="320"/>
      <c r="D33" s="341"/>
      <c r="E33" s="321"/>
      <c r="F33" s="321"/>
      <c r="G33" s="335">
        <f ca="1">_xll.RiskPercentile(Inf,0.025,1)</f>
        <v>1.0191910393257857</v>
      </c>
      <c r="H33" s="334"/>
      <c r="I33" s="335" t="e">
        <f ca="1">_xll.RiskPercentile(Inf_yr,0.025,1)</f>
        <v>#N/A</v>
      </c>
      <c r="J33" s="369" t="e">
        <f ca="1">SUM(J25:J32)</f>
        <v>#N/A</v>
      </c>
      <c r="K33" s="407"/>
      <c r="L33" s="407"/>
      <c r="M33" s="388"/>
      <c r="N33" s="388"/>
      <c r="O33" s="388"/>
      <c r="P33" s="388"/>
      <c r="Q33" s="388"/>
      <c r="R33" s="388"/>
      <c r="S33" s="388"/>
      <c r="T33" s="388"/>
      <c r="U33" s="388"/>
      <c r="V33" s="388"/>
      <c r="W33" s="388"/>
      <c r="X33" s="407"/>
      <c r="Y33" s="388"/>
      <c r="Z33" s="388"/>
      <c r="AA33" s="388"/>
      <c r="AB33" s="388"/>
      <c r="AC33" s="388"/>
      <c r="AN33" s="5"/>
    </row>
    <row r="34" spans="1:40" x14ac:dyDescent="0.25">
      <c r="A34" s="302" t="s">
        <v>584</v>
      </c>
      <c r="B34" s="57"/>
      <c r="C34" s="57"/>
      <c r="D34" s="382" t="s">
        <v>604</v>
      </c>
      <c r="E34" s="136"/>
      <c r="F34" s="348"/>
      <c r="G34" s="380">
        <f ca="1">_xll.RiskPercentile(Inf_9,0.025,1)</f>
        <v>0.98224379670322548</v>
      </c>
      <c r="H34" s="381">
        <f ca="1">_xll.RiskPercentile(Infm_9,0.025,1)</f>
        <v>0.67508164721871167</v>
      </c>
      <c r="I34" s="380" t="e">
        <f ca="1">_xll.RiskPercentile(Inf_yr_9,0.025,1)</f>
        <v>#N/A</v>
      </c>
      <c r="J34" s="367" t="e">
        <f ca="1">_xll.RiskPercentile(Length_yr9,0.025,1)</f>
        <v>#N/A</v>
      </c>
      <c r="K34" s="407"/>
      <c r="L34" s="407"/>
      <c r="M34" s="388"/>
      <c r="N34" s="388"/>
      <c r="O34" s="388"/>
      <c r="P34" s="388"/>
      <c r="Q34" s="388"/>
      <c r="R34" s="388"/>
      <c r="S34" s="388"/>
      <c r="T34" s="388"/>
      <c r="U34" s="388"/>
      <c r="V34" s="388"/>
      <c r="W34" s="388"/>
      <c r="X34" s="407"/>
      <c r="Y34" s="388"/>
      <c r="Z34" s="388"/>
      <c r="AA34" s="388"/>
      <c r="AB34" s="388"/>
      <c r="AC34" s="388"/>
      <c r="AN34" s="5"/>
    </row>
    <row r="35" spans="1:40" x14ac:dyDescent="0.25">
      <c r="A35" s="204" t="s">
        <v>206</v>
      </c>
      <c r="B35" s="225"/>
      <c r="C35" s="225"/>
      <c r="D35" s="66" t="s">
        <v>207</v>
      </c>
      <c r="E35" s="129"/>
      <c r="F35" s="350"/>
      <c r="G35" s="345">
        <f ca="1">_xll.RiskPercentile(Inf_3i,0.025,1)</f>
        <v>0.82095581694900133</v>
      </c>
      <c r="H35" s="225">
        <f ca="1">_xll.RiskPercentile(Infm_3i,0.025,1)</f>
        <v>0.67508164721871167</v>
      </c>
      <c r="I35" s="345" t="e">
        <f ca="1">_xll.RiskPercentile(Inf_yr_3i,0.025,1)</f>
        <v>#N/A</v>
      </c>
      <c r="J35" s="370" t="e">
        <f ca="1">_xll.RiskPercentile(Length_yr3i,0.025,1)</f>
        <v>#N/A</v>
      </c>
      <c r="K35" s="407"/>
      <c r="L35" s="407"/>
      <c r="M35" s="388"/>
      <c r="N35" s="388"/>
      <c r="O35" s="388"/>
      <c r="P35" s="388"/>
      <c r="Q35" s="388"/>
      <c r="R35" s="388"/>
      <c r="S35" s="388"/>
      <c r="T35" s="388"/>
      <c r="U35" s="388"/>
      <c r="V35" s="388"/>
      <c r="W35" s="388"/>
      <c r="X35" s="407"/>
      <c r="Y35" s="388"/>
      <c r="Z35" s="388"/>
      <c r="AA35" s="388"/>
      <c r="AB35" s="388"/>
      <c r="AC35" s="388"/>
      <c r="AN35" s="5"/>
    </row>
    <row r="36" spans="1:40" s="388" customFormat="1" x14ac:dyDescent="0.25">
      <c r="E36" s="430"/>
      <c r="H36" s="407"/>
      <c r="J36" s="407"/>
      <c r="K36" s="407"/>
      <c r="L36" s="407"/>
      <c r="X36" s="407"/>
      <c r="AN36" s="407"/>
    </row>
    <row r="37" spans="1:40" s="388" customFormat="1" x14ac:dyDescent="0.25">
      <c r="A37" s="429" t="s">
        <v>588</v>
      </c>
      <c r="E37" s="430"/>
      <c r="H37" s="407"/>
      <c r="J37" s="407"/>
      <c r="K37" s="407"/>
      <c r="L37" s="407"/>
      <c r="X37" s="407"/>
      <c r="AN37" s="407"/>
    </row>
    <row r="38" spans="1:40" x14ac:dyDescent="0.25">
      <c r="A38" s="247"/>
      <c r="B38" s="57"/>
      <c r="C38" s="57"/>
      <c r="D38" s="342"/>
      <c r="E38" s="57"/>
      <c r="F38" s="57"/>
      <c r="G38" s="468" t="s">
        <v>576</v>
      </c>
      <c r="H38" s="470"/>
      <c r="I38" s="485" t="s">
        <v>577</v>
      </c>
      <c r="J38" s="486"/>
      <c r="K38" s="407"/>
      <c r="L38" s="407"/>
      <c r="M38" s="388"/>
      <c r="N38" s="388"/>
      <c r="O38" s="388"/>
      <c r="P38" s="388"/>
      <c r="Q38" s="388"/>
      <c r="R38" s="388"/>
      <c r="S38" s="388"/>
      <c r="T38" s="388"/>
      <c r="U38" s="388"/>
      <c r="V38" s="388"/>
      <c r="W38" s="388"/>
      <c r="X38" s="407"/>
      <c r="Y38" s="388"/>
      <c r="Z38" s="388"/>
      <c r="AA38" s="388"/>
      <c r="AB38" s="388"/>
      <c r="AC38" s="388"/>
      <c r="AN38" s="5"/>
    </row>
    <row r="39" spans="1:40" x14ac:dyDescent="0.25">
      <c r="A39" s="116"/>
      <c r="B39" s="48"/>
      <c r="C39" s="48"/>
      <c r="D39" s="19"/>
      <c r="E39" s="48"/>
      <c r="F39" s="48"/>
      <c r="G39" s="483" t="s">
        <v>593</v>
      </c>
      <c r="H39" s="479"/>
      <c r="I39" s="346" t="s">
        <v>593</v>
      </c>
      <c r="J39" s="152" t="s">
        <v>226</v>
      </c>
      <c r="K39" s="407"/>
      <c r="L39" s="407"/>
      <c r="M39" s="388"/>
      <c r="N39" s="388"/>
      <c r="O39" s="388"/>
      <c r="P39" s="388"/>
      <c r="Q39" s="388"/>
      <c r="R39" s="388"/>
      <c r="S39" s="388"/>
      <c r="T39" s="388"/>
      <c r="U39" s="388"/>
      <c r="V39" s="388"/>
      <c r="W39" s="388"/>
      <c r="X39" s="407"/>
      <c r="Y39" s="388"/>
      <c r="Z39" s="388"/>
      <c r="AA39" s="388"/>
      <c r="AB39" s="388"/>
      <c r="AC39" s="388"/>
      <c r="AN39" s="5"/>
    </row>
    <row r="40" spans="1:40" x14ac:dyDescent="0.25">
      <c r="A40" s="116"/>
      <c r="B40" s="48"/>
      <c r="C40" s="48"/>
      <c r="D40" s="19"/>
      <c r="E40" s="48"/>
      <c r="F40" s="48"/>
      <c r="G40" s="327" t="s">
        <v>594</v>
      </c>
      <c r="H40" s="71" t="s">
        <v>595</v>
      </c>
      <c r="I40" s="327" t="s">
        <v>596</v>
      </c>
      <c r="J40" s="371"/>
      <c r="K40" s="407"/>
      <c r="L40" s="407"/>
      <c r="M40" s="388"/>
      <c r="N40" s="388"/>
      <c r="O40" s="388"/>
      <c r="P40" s="388"/>
      <c r="Q40" s="388"/>
      <c r="R40" s="388"/>
      <c r="S40" s="388"/>
      <c r="T40" s="388"/>
      <c r="U40" s="388"/>
      <c r="V40" s="388"/>
      <c r="W40" s="388"/>
      <c r="X40" s="407"/>
      <c r="Y40" s="388"/>
      <c r="Z40" s="388"/>
      <c r="AA40" s="388"/>
      <c r="AB40" s="388"/>
      <c r="AC40" s="388"/>
      <c r="AN40" s="5"/>
    </row>
    <row r="41" spans="1:40" x14ac:dyDescent="0.25">
      <c r="A41" s="116"/>
      <c r="B41" s="48"/>
      <c r="C41" s="48"/>
      <c r="D41" s="19" t="s">
        <v>413</v>
      </c>
      <c r="E41" s="19"/>
      <c r="F41" s="19"/>
      <c r="G41" s="328" t="s">
        <v>582</v>
      </c>
      <c r="H41" s="175" t="s">
        <v>583</v>
      </c>
      <c r="I41" s="328" t="s">
        <v>582</v>
      </c>
      <c r="J41" s="34" t="s">
        <v>230</v>
      </c>
      <c r="K41" s="407"/>
      <c r="L41" s="407"/>
      <c r="M41" s="388"/>
      <c r="N41" s="388"/>
      <c r="O41" s="388"/>
      <c r="P41" s="388"/>
      <c r="Q41" s="388"/>
      <c r="R41" s="388"/>
      <c r="S41" s="388"/>
      <c r="T41" s="388"/>
      <c r="U41" s="388"/>
      <c r="V41" s="388"/>
      <c r="W41" s="388"/>
      <c r="X41" s="407"/>
      <c r="Y41" s="388"/>
      <c r="Z41" s="388"/>
      <c r="AA41" s="388"/>
      <c r="AB41" s="388"/>
      <c r="AC41" s="388"/>
      <c r="AN41" s="5"/>
    </row>
    <row r="42" spans="1:40" x14ac:dyDescent="0.25">
      <c r="A42" s="220" t="s">
        <v>2</v>
      </c>
      <c r="B42" s="48"/>
      <c r="C42" s="48"/>
      <c r="D42" s="19">
        <v>1</v>
      </c>
      <c r="E42" s="168"/>
      <c r="F42" s="168"/>
      <c r="G42" s="329">
        <f ca="1">_xll.RiskPercentile(Inf_1,0.975,1)</f>
        <v>0.16128797975422421</v>
      </c>
      <c r="H42" s="330">
        <f ca="1">_xll.RiskPercentile(Infm_1,0.975,1)</f>
        <v>0.16128797975422421</v>
      </c>
      <c r="I42" s="329" t="e">
        <f ca="1">_xll.RiskPercentile(Inf_yr_1,0.975,1)</f>
        <v>#N/A</v>
      </c>
      <c r="J42" s="367" t="e">
        <f ca="1">_xll.RiskPercentile(Length_yr1,0.975,1)</f>
        <v>#N/A</v>
      </c>
      <c r="K42" s="407"/>
      <c r="L42" s="407"/>
      <c r="M42" s="388"/>
      <c r="N42" s="388"/>
      <c r="O42" s="388"/>
      <c r="P42" s="388"/>
      <c r="Q42" s="388"/>
      <c r="R42" s="388"/>
      <c r="S42" s="388"/>
      <c r="T42" s="388"/>
      <c r="U42" s="388"/>
      <c r="V42" s="388"/>
      <c r="W42" s="388"/>
      <c r="X42" s="407"/>
      <c r="Y42" s="388"/>
      <c r="Z42" s="388"/>
      <c r="AA42" s="388"/>
      <c r="AB42" s="388"/>
      <c r="AC42" s="388"/>
      <c r="AN42" s="5"/>
    </row>
    <row r="43" spans="1:40" x14ac:dyDescent="0.25">
      <c r="A43" s="220" t="s">
        <v>3</v>
      </c>
      <c r="B43" s="48"/>
      <c r="C43" s="48"/>
      <c r="D43" s="19">
        <v>2</v>
      </c>
      <c r="E43" s="168"/>
      <c r="F43" s="168"/>
      <c r="G43" s="329">
        <f ca="1">_xll.RiskPercentile(Inf_2,0.975,1)</f>
        <v>4.1862865934981841E-6</v>
      </c>
      <c r="H43" s="330">
        <f ca="1">_xll.RiskPercentile(Infm_2,0.975,1)</f>
        <v>3.4885721612484869E-6</v>
      </c>
      <c r="I43" s="329" t="e">
        <f ca="1">_xll.RiskPercentile(Inf_yr_2,0.975,1)</f>
        <v>#N/A</v>
      </c>
      <c r="J43" s="367" t="e">
        <f ca="1">_xll.RiskPercentile(Length_yr2,0.975,1)</f>
        <v>#N/A</v>
      </c>
      <c r="K43" s="407"/>
      <c r="L43" s="407"/>
      <c r="M43" s="388"/>
      <c r="N43" s="388"/>
      <c r="O43" s="388"/>
      <c r="P43" s="388"/>
      <c r="Q43" s="388"/>
      <c r="R43" s="388"/>
      <c r="S43" s="388"/>
      <c r="T43" s="388"/>
      <c r="U43" s="388"/>
      <c r="V43" s="388"/>
      <c r="W43" s="388"/>
      <c r="X43" s="407"/>
      <c r="Y43" s="388"/>
      <c r="Z43" s="388"/>
      <c r="AA43" s="388"/>
      <c r="AB43" s="388"/>
      <c r="AC43" s="388"/>
      <c r="AN43" s="5"/>
    </row>
    <row r="44" spans="1:40" x14ac:dyDescent="0.25">
      <c r="A44" s="220" t="s">
        <v>7</v>
      </c>
      <c r="B44" s="48"/>
      <c r="C44" s="48"/>
      <c r="D44" s="19">
        <v>3</v>
      </c>
      <c r="E44" s="168"/>
      <c r="F44" s="168"/>
      <c r="G44" s="329">
        <f ca="1">_xll.RiskPercentile(Inf_3,0.975,1)</f>
        <v>0.82111559355398656</v>
      </c>
      <c r="H44" s="330">
        <f ca="1">_xll.RiskPercentile(Infm_3,0.975,1)</f>
        <v>1.7928288068864335E-2</v>
      </c>
      <c r="I44" s="329" t="e">
        <f ca="1">_xll.RiskPercentile(Inf_yr_3,0.975,1)</f>
        <v>#N/A</v>
      </c>
      <c r="J44" s="367" t="e">
        <f ca="1">_xll.RiskPercentile(Length_yr3,0.975,1)</f>
        <v>#N/A</v>
      </c>
      <c r="K44" s="407"/>
      <c r="L44" s="407"/>
      <c r="M44" s="388"/>
      <c r="N44" s="388"/>
      <c r="O44" s="388"/>
      <c r="P44" s="388"/>
      <c r="Q44" s="388"/>
      <c r="R44" s="388"/>
      <c r="S44" s="388"/>
      <c r="T44" s="388"/>
      <c r="U44" s="388"/>
      <c r="V44" s="388"/>
      <c r="W44" s="388"/>
      <c r="X44" s="407"/>
      <c r="Y44" s="388"/>
      <c r="Z44" s="388"/>
      <c r="AA44" s="388"/>
      <c r="AB44" s="388"/>
      <c r="AC44" s="388"/>
      <c r="AN44" s="5"/>
    </row>
    <row r="45" spans="1:40" x14ac:dyDescent="0.25">
      <c r="A45" s="220" t="s">
        <v>4</v>
      </c>
      <c r="B45" s="48"/>
      <c r="C45" s="48"/>
      <c r="D45" s="19">
        <v>4</v>
      </c>
      <c r="E45" s="168"/>
      <c r="F45" s="168"/>
      <c r="G45" s="329">
        <f ca="1">_xll.RiskPercentile(Inf_4,0.975,1)</f>
        <v>3.5814193715159003E-2</v>
      </c>
      <c r="H45" s="330">
        <f ca="1">_xll.RiskPercentile(Infm_4,0.975,1)</f>
        <v>4.7752258286878672E-2</v>
      </c>
      <c r="I45" s="329" t="e">
        <f ca="1">_xll.RiskPercentile(Inf_yr_4,0.975,1)</f>
        <v>#N/A</v>
      </c>
      <c r="J45" s="367" t="e">
        <f ca="1">_xll.RiskPercentile(Length_yr4,0.975,1)</f>
        <v>#N/A</v>
      </c>
      <c r="K45" s="407"/>
      <c r="L45" s="407"/>
      <c r="M45" s="388"/>
      <c r="N45" s="388"/>
      <c r="O45" s="388"/>
      <c r="P45" s="388"/>
      <c r="Q45" s="388"/>
      <c r="R45" s="388"/>
      <c r="S45" s="388"/>
      <c r="T45" s="388"/>
      <c r="U45" s="388"/>
      <c r="V45" s="388"/>
      <c r="W45" s="388"/>
      <c r="X45" s="407"/>
      <c r="Y45" s="388"/>
      <c r="Z45" s="388"/>
      <c r="AA45" s="388"/>
      <c r="AB45" s="388"/>
      <c r="AC45" s="388"/>
      <c r="AN45" s="5"/>
    </row>
    <row r="46" spans="1:40" x14ac:dyDescent="0.25">
      <c r="A46" s="220" t="s">
        <v>5</v>
      </c>
      <c r="B46" s="48"/>
      <c r="C46" s="48"/>
      <c r="D46" s="19">
        <v>5</v>
      </c>
      <c r="E46" s="168"/>
      <c r="F46" s="168"/>
      <c r="G46" s="329">
        <f ca="1">_xll.RiskPercentile(Inf_5,0.975,1)</f>
        <v>3.8374293773733363E-5</v>
      </c>
      <c r="H46" s="330">
        <f ca="1">_xll.RiskPercentile(Infm_5,0.975,1)</f>
        <v>3.4885721612484873E-6</v>
      </c>
      <c r="I46" s="329" t="e">
        <f ca="1">_xll.RiskPercentile(Inf_yr_5,0.975,1)</f>
        <v>#N/A</v>
      </c>
      <c r="J46" s="367" t="e">
        <f ca="1">_xll.RiskPercentile(Length_yr5,0.975,1)</f>
        <v>#N/A</v>
      </c>
      <c r="K46" s="407"/>
      <c r="L46" s="407"/>
      <c r="M46" s="388"/>
      <c r="N46" s="388"/>
      <c r="O46" s="388"/>
      <c r="P46" s="388"/>
      <c r="Q46" s="388"/>
      <c r="R46" s="388"/>
      <c r="S46" s="388"/>
      <c r="T46" s="388"/>
      <c r="U46" s="388"/>
      <c r="V46" s="388"/>
      <c r="W46" s="388"/>
      <c r="X46" s="407"/>
      <c r="Y46" s="388"/>
      <c r="Z46" s="388"/>
      <c r="AA46" s="388"/>
      <c r="AB46" s="388"/>
      <c r="AC46" s="388"/>
      <c r="AN46" s="5"/>
    </row>
    <row r="47" spans="1:40" x14ac:dyDescent="0.25">
      <c r="A47" s="220" t="s">
        <v>214</v>
      </c>
      <c r="B47" s="48"/>
      <c r="C47" s="48"/>
      <c r="D47" s="19">
        <v>6</v>
      </c>
      <c r="E47" s="168"/>
      <c r="F47" s="168"/>
      <c r="G47" s="329">
        <f ca="1">_xll.RiskPercentile(Inf_6,0.975,1)</f>
        <v>3.345692661331944E-8</v>
      </c>
      <c r="H47" s="167"/>
      <c r="I47" s="329" t="e">
        <f ca="1">_xll.RiskPercentile(Inf_yr_6,0.975,1)</f>
        <v>#N/A</v>
      </c>
      <c r="J47" s="368"/>
      <c r="K47" s="407"/>
      <c r="L47" s="407"/>
      <c r="M47" s="388"/>
      <c r="N47" s="388"/>
      <c r="O47" s="388"/>
      <c r="P47" s="388"/>
      <c r="Q47" s="388"/>
      <c r="R47" s="388"/>
      <c r="S47" s="388"/>
      <c r="T47" s="388"/>
      <c r="U47" s="388"/>
      <c r="V47" s="388"/>
      <c r="W47" s="388"/>
      <c r="X47" s="407"/>
      <c r="Y47" s="388"/>
      <c r="Z47" s="388"/>
      <c r="AA47" s="388"/>
      <c r="AB47" s="388"/>
      <c r="AC47" s="388"/>
      <c r="AN47" s="5"/>
    </row>
    <row r="48" spans="1:40" x14ac:dyDescent="0.25">
      <c r="A48" s="220" t="s">
        <v>6</v>
      </c>
      <c r="B48" s="48"/>
      <c r="C48" s="48"/>
      <c r="D48" s="19">
        <v>7</v>
      </c>
      <c r="E48" s="168"/>
      <c r="F48" s="168"/>
      <c r="G48" s="329">
        <f ca="1">_xll.RiskPercentile(Inf_7,0.975,1)</f>
        <v>4.2244197486779718E-4</v>
      </c>
      <c r="H48" s="167"/>
      <c r="I48" s="329" t="e">
        <f ca="1">_xll.RiskPercentile(Inf_yr_7,0.975,1)</f>
        <v>#N/A</v>
      </c>
      <c r="J48" s="368"/>
      <c r="K48" s="407"/>
      <c r="L48" s="407"/>
      <c r="M48" s="388"/>
      <c r="N48" s="388"/>
      <c r="O48" s="388"/>
      <c r="P48" s="388"/>
      <c r="Q48" s="388"/>
      <c r="R48" s="388"/>
      <c r="S48" s="388"/>
      <c r="T48" s="388"/>
      <c r="U48" s="388"/>
      <c r="V48" s="388"/>
      <c r="W48" s="388"/>
      <c r="X48" s="407"/>
      <c r="Y48" s="388"/>
      <c r="Z48" s="388"/>
      <c r="AA48" s="388"/>
      <c r="AB48" s="388"/>
      <c r="AC48" s="388"/>
      <c r="AN48" s="5"/>
    </row>
    <row r="49" spans="1:40" x14ac:dyDescent="0.25">
      <c r="A49" s="220" t="s">
        <v>217</v>
      </c>
      <c r="B49" s="48"/>
      <c r="C49" s="48"/>
      <c r="D49" s="19">
        <v>8</v>
      </c>
      <c r="E49" s="168"/>
      <c r="F49" s="168"/>
      <c r="G49" s="329">
        <f ca="1">_xll.RiskPercentile(Inf_8,0.975,1)</f>
        <v>5.0823629025432537E-4</v>
      </c>
      <c r="H49" s="167"/>
      <c r="I49" s="329" t="e">
        <f ca="1">_xll.RiskPercentile(Inf_yr_8,0.975,1)</f>
        <v>#N/A</v>
      </c>
      <c r="J49" s="368"/>
      <c r="K49" s="407"/>
      <c r="L49" s="407"/>
      <c r="M49" s="388"/>
      <c r="N49" s="388"/>
      <c r="O49" s="388"/>
      <c r="P49" s="388"/>
      <c r="Q49" s="388"/>
      <c r="R49" s="388"/>
      <c r="S49" s="388"/>
      <c r="T49" s="388"/>
      <c r="U49" s="388"/>
      <c r="V49" s="388"/>
      <c r="W49" s="388"/>
      <c r="X49" s="407"/>
      <c r="Y49" s="388"/>
      <c r="Z49" s="388"/>
      <c r="AA49" s="388"/>
      <c r="AB49" s="388"/>
      <c r="AC49" s="388"/>
      <c r="AN49" s="5"/>
    </row>
    <row r="50" spans="1:40" x14ac:dyDescent="0.25">
      <c r="A50" s="319" t="s">
        <v>184</v>
      </c>
      <c r="B50" s="320"/>
      <c r="C50" s="320"/>
      <c r="D50" s="341"/>
      <c r="E50" s="321"/>
      <c r="F50" s="321"/>
      <c r="G50" s="335">
        <f ca="1">_xll.RiskPercentile(Inf,0.975,1)</f>
        <v>1.0191910393257857</v>
      </c>
      <c r="H50" s="334"/>
      <c r="I50" s="335" t="e">
        <f ca="1">_xll.RiskPercentile(Inf_yr,0.975,1)</f>
        <v>#N/A</v>
      </c>
      <c r="J50" s="369" t="e">
        <f ca="1">SUM(J42:J49)</f>
        <v>#N/A</v>
      </c>
      <c r="K50" s="407"/>
      <c r="L50" s="407"/>
      <c r="M50" s="388"/>
      <c r="N50" s="388"/>
      <c r="O50" s="388"/>
      <c r="P50" s="388"/>
      <c r="Q50" s="388"/>
      <c r="R50" s="388"/>
      <c r="S50" s="388"/>
      <c r="T50" s="388"/>
      <c r="U50" s="388"/>
      <c r="V50" s="388"/>
      <c r="W50" s="388"/>
      <c r="X50" s="407"/>
      <c r="Y50" s="388"/>
      <c r="Z50" s="388"/>
      <c r="AA50" s="388"/>
      <c r="AB50" s="388"/>
      <c r="AC50" s="388"/>
      <c r="AN50" s="5"/>
    </row>
    <row r="51" spans="1:40" x14ac:dyDescent="0.25">
      <c r="A51" s="302" t="s">
        <v>584</v>
      </c>
      <c r="B51" s="57"/>
      <c r="C51" s="57"/>
      <c r="D51" s="382" t="s">
        <v>604</v>
      </c>
      <c r="E51" s="136"/>
      <c r="F51" s="348"/>
      <c r="G51" s="380">
        <f ca="1">_xll.RiskPercentile(Inf_9,0.975,1)</f>
        <v>0.98224379670322548</v>
      </c>
      <c r="H51" s="381">
        <f ca="1">_xll.RiskPercentile(Infm_9,0.975,1)</f>
        <v>0.67508164721871167</v>
      </c>
      <c r="I51" s="380" t="e">
        <f ca="1">_xll.RiskPercentile(Inf_yr_9,0.975,1)</f>
        <v>#N/A</v>
      </c>
      <c r="J51" s="367" t="e">
        <f ca="1">_xll.RiskPercentile(Length_yr9,0.975,1)</f>
        <v>#N/A</v>
      </c>
      <c r="K51" s="407"/>
      <c r="L51" s="407"/>
      <c r="M51" s="388"/>
      <c r="N51" s="388"/>
      <c r="O51" s="388"/>
      <c r="P51" s="388"/>
      <c r="Q51" s="388"/>
      <c r="R51" s="388"/>
      <c r="S51" s="388"/>
      <c r="T51" s="388"/>
      <c r="U51" s="388"/>
      <c r="V51" s="388"/>
      <c r="W51" s="388"/>
      <c r="X51" s="407"/>
      <c r="Y51" s="388"/>
      <c r="Z51" s="388"/>
      <c r="AA51" s="388"/>
      <c r="AB51" s="388"/>
      <c r="AC51" s="388"/>
      <c r="AN51" s="5"/>
    </row>
    <row r="52" spans="1:40" ht="15.75" customHeight="1" x14ac:dyDescent="0.25">
      <c r="A52" s="204" t="s">
        <v>206</v>
      </c>
      <c r="B52" s="225"/>
      <c r="C52" s="225"/>
      <c r="D52" s="66" t="s">
        <v>207</v>
      </c>
      <c r="E52" s="129"/>
      <c r="F52" s="350"/>
      <c r="G52" s="345">
        <f ca="1">_xll.RiskPercentile(Inf_3i,0.975,1)</f>
        <v>0.82095581694900133</v>
      </c>
      <c r="H52" s="225">
        <f ca="1">_xll.RiskPercentile(Infm_3i,0.975,1)</f>
        <v>0.67508164721871167</v>
      </c>
      <c r="I52" s="345" t="e">
        <f ca="1">_xll.RiskPercentile(Inf_yr_3i,0.975,1)</f>
        <v>#N/A</v>
      </c>
      <c r="J52" s="370" t="e">
        <f ca="1">_xll.RiskPercentile(Length_yr3i,0.975,1)</f>
        <v>#N/A</v>
      </c>
      <c r="K52" s="407"/>
      <c r="L52" s="407"/>
      <c r="M52" s="388"/>
      <c r="N52" s="388"/>
      <c r="O52" s="388"/>
      <c r="P52" s="388"/>
      <c r="Q52" s="388"/>
      <c r="R52" s="388"/>
      <c r="S52" s="388"/>
      <c r="T52" s="388"/>
      <c r="U52" s="388"/>
      <c r="V52" s="388"/>
      <c r="W52" s="388"/>
      <c r="X52" s="407"/>
      <c r="Y52" s="388"/>
      <c r="Z52" s="388"/>
      <c r="AA52" s="388"/>
      <c r="AB52" s="388"/>
      <c r="AC52" s="388"/>
      <c r="AN52" s="5"/>
    </row>
    <row r="53" spans="1:40" s="388" customFormat="1" x14ac:dyDescent="0.25">
      <c r="E53" s="430"/>
      <c r="H53" s="407"/>
      <c r="J53" s="407"/>
      <c r="K53" s="407"/>
      <c r="L53" s="407"/>
      <c r="X53" s="407"/>
      <c r="AN53" s="407"/>
    </row>
    <row r="54" spans="1:40" s="388" customFormat="1" x14ac:dyDescent="0.25">
      <c r="A54" s="390" t="s">
        <v>591</v>
      </c>
      <c r="E54" s="430"/>
      <c r="H54" s="407"/>
      <c r="J54" s="407"/>
      <c r="K54" s="407"/>
      <c r="L54" s="407"/>
      <c r="X54" s="407"/>
      <c r="AN54" s="407"/>
    </row>
    <row r="55" spans="1:40" x14ac:dyDescent="0.25">
      <c r="A55" s="247"/>
      <c r="B55" s="57"/>
      <c r="C55" s="57"/>
      <c r="D55" s="342"/>
      <c r="E55" s="57"/>
      <c r="F55" s="57"/>
      <c r="G55" s="468" t="s">
        <v>576</v>
      </c>
      <c r="H55" s="470"/>
      <c r="I55" s="485" t="s">
        <v>577</v>
      </c>
      <c r="J55" s="486"/>
      <c r="K55" s="407"/>
      <c r="L55" s="407"/>
      <c r="M55" s="388"/>
      <c r="N55" s="388"/>
      <c r="O55" s="388"/>
      <c r="P55" s="388"/>
      <c r="Q55" s="388"/>
      <c r="R55" s="388"/>
      <c r="S55" s="388"/>
      <c r="T55" s="388"/>
      <c r="U55" s="388"/>
      <c r="V55" s="388"/>
      <c r="W55" s="388"/>
      <c r="X55" s="407"/>
      <c r="Y55" s="388"/>
      <c r="Z55" s="388"/>
      <c r="AA55" s="388"/>
      <c r="AB55" s="388"/>
      <c r="AC55" s="388"/>
      <c r="AN55" s="5"/>
    </row>
    <row r="56" spans="1:40" x14ac:dyDescent="0.25">
      <c r="A56" s="116"/>
      <c r="B56" s="48"/>
      <c r="C56" s="48"/>
      <c r="D56" s="19"/>
      <c r="E56" s="48"/>
      <c r="F56" s="48"/>
      <c r="G56" s="483" t="s">
        <v>593</v>
      </c>
      <c r="H56" s="479"/>
      <c r="I56" s="343" t="s">
        <v>593</v>
      </c>
      <c r="J56" s="152" t="s">
        <v>226</v>
      </c>
      <c r="K56" s="407" t="s">
        <v>182</v>
      </c>
      <c r="L56" s="407"/>
      <c r="M56" s="388"/>
      <c r="N56" s="388"/>
      <c r="O56" s="388"/>
      <c r="P56" s="388"/>
      <c r="Q56" s="388"/>
      <c r="R56" s="388"/>
      <c r="S56" s="388"/>
      <c r="T56" s="388"/>
      <c r="U56" s="388"/>
      <c r="V56" s="388"/>
      <c r="W56" s="388"/>
      <c r="X56" s="407"/>
      <c r="Y56" s="388"/>
      <c r="Z56" s="388"/>
      <c r="AA56" s="388"/>
      <c r="AB56" s="388"/>
      <c r="AC56" s="388"/>
      <c r="AN56" s="5"/>
    </row>
    <row r="57" spans="1:40" x14ac:dyDescent="0.25">
      <c r="A57" s="116"/>
      <c r="B57" s="48"/>
      <c r="C57" s="48"/>
      <c r="D57" s="19"/>
      <c r="E57" s="48"/>
      <c r="F57" s="48"/>
      <c r="G57" s="327" t="s">
        <v>594</v>
      </c>
      <c r="H57" s="71" t="s">
        <v>595</v>
      </c>
      <c r="I57" s="327" t="s">
        <v>596</v>
      </c>
      <c r="J57" s="371"/>
      <c r="K57" s="407" t="s">
        <v>182</v>
      </c>
      <c r="L57" s="407"/>
      <c r="M57" s="388"/>
      <c r="N57" s="388"/>
      <c r="O57" s="388"/>
      <c r="P57" s="388"/>
      <c r="Q57" s="388"/>
      <c r="R57" s="388"/>
      <c r="S57" s="388"/>
      <c r="T57" s="388"/>
      <c r="U57" s="388"/>
      <c r="V57" s="388"/>
      <c r="W57" s="388"/>
      <c r="X57" s="407"/>
      <c r="Y57" s="388"/>
      <c r="Z57" s="388"/>
      <c r="AA57" s="388"/>
      <c r="AB57" s="388"/>
      <c r="AC57" s="388"/>
      <c r="AN57" s="5"/>
    </row>
    <row r="58" spans="1:40" x14ac:dyDescent="0.25">
      <c r="A58" s="116"/>
      <c r="B58" s="48"/>
      <c r="C58" s="48"/>
      <c r="D58" s="19" t="s">
        <v>413</v>
      </c>
      <c r="E58" s="19"/>
      <c r="F58" s="19"/>
      <c r="G58" s="328" t="s">
        <v>582</v>
      </c>
      <c r="H58" s="175" t="s">
        <v>583</v>
      </c>
      <c r="I58" s="328" t="s">
        <v>582</v>
      </c>
      <c r="J58" s="34" t="s">
        <v>230</v>
      </c>
      <c r="K58" s="407" t="s">
        <v>182</v>
      </c>
      <c r="L58" s="407"/>
      <c r="M58" s="388"/>
      <c r="N58" s="388"/>
      <c r="O58" s="388"/>
      <c r="P58" s="388"/>
      <c r="Q58" s="388"/>
      <c r="R58" s="388"/>
      <c r="S58" s="388"/>
      <c r="T58" s="388"/>
      <c r="U58" s="388"/>
      <c r="V58" s="388"/>
      <c r="W58" s="388"/>
      <c r="X58" s="407"/>
      <c r="Y58" s="388"/>
      <c r="Z58" s="388"/>
      <c r="AA58" s="388"/>
      <c r="AB58" s="388"/>
      <c r="AC58" s="388"/>
      <c r="AN58" s="5"/>
    </row>
    <row r="59" spans="1:40" x14ac:dyDescent="0.25">
      <c r="A59" s="220" t="s">
        <v>2</v>
      </c>
      <c r="B59" s="48"/>
      <c r="C59" s="48"/>
      <c r="D59" s="19">
        <v>1</v>
      </c>
      <c r="E59" s="168"/>
      <c r="F59" s="168"/>
      <c r="G59" s="15" t="str">
        <f t="shared" ref="G59:J67" ca="1" si="0">CONCATENATE((FIXED(G8,2,TRUE))," (",(FIXED(G25,2,TRUE)),",",(FIXED(G42,2,TRUE)),")")</f>
        <v>0.16 (0.16,0.16)</v>
      </c>
      <c r="H59" s="14" t="str">
        <f t="shared" ca="1" si="0"/>
        <v>0.16 (0.16,0.16)</v>
      </c>
      <c r="I59" s="15" t="e">
        <f t="shared" ca="1" si="0"/>
        <v>#N/A</v>
      </c>
      <c r="J59" s="371" t="e">
        <f t="shared" ca="1" si="0"/>
        <v>#N/A</v>
      </c>
      <c r="K59" s="407" t="s">
        <v>182</v>
      </c>
      <c r="L59" s="407"/>
      <c r="M59" s="388"/>
      <c r="N59" s="388"/>
      <c r="O59" s="388"/>
      <c r="P59" s="388"/>
      <c r="Q59" s="388"/>
      <c r="R59" s="388"/>
      <c r="S59" s="388"/>
      <c r="T59" s="388"/>
      <c r="U59" s="388"/>
      <c r="V59" s="388"/>
      <c r="W59" s="388"/>
      <c r="X59" s="407"/>
      <c r="Y59" s="388"/>
      <c r="Z59" s="388"/>
      <c r="AA59" s="388"/>
      <c r="AB59" s="388"/>
      <c r="AC59" s="388"/>
      <c r="AN59" s="5"/>
    </row>
    <row r="60" spans="1:40" x14ac:dyDescent="0.25">
      <c r="A60" s="220" t="s">
        <v>3</v>
      </c>
      <c r="B60" s="48"/>
      <c r="C60" s="48"/>
      <c r="D60" s="19">
        <v>2</v>
      </c>
      <c r="E60" s="168"/>
      <c r="F60" s="168"/>
      <c r="G60" s="15" t="str">
        <f t="shared" ca="1" si="0"/>
        <v>0.00 (0.00,0.00)</v>
      </c>
      <c r="H60" s="14" t="str">
        <f t="shared" ca="1" si="0"/>
        <v>0.00 (0.00,0.00)</v>
      </c>
      <c r="I60" s="15" t="e">
        <f t="shared" ca="1" si="0"/>
        <v>#N/A</v>
      </c>
      <c r="J60" s="371" t="e">
        <f t="shared" ca="1" si="0"/>
        <v>#N/A</v>
      </c>
      <c r="K60" s="407" t="s">
        <v>182</v>
      </c>
      <c r="L60" s="407"/>
      <c r="M60" s="388"/>
      <c r="N60" s="388"/>
      <c r="O60" s="388"/>
      <c r="P60" s="388"/>
      <c r="Q60" s="388"/>
      <c r="R60" s="388"/>
      <c r="S60" s="388"/>
      <c r="T60" s="388"/>
      <c r="U60" s="388"/>
      <c r="V60" s="388"/>
      <c r="W60" s="388"/>
      <c r="X60" s="407"/>
      <c r="Y60" s="388"/>
      <c r="Z60" s="388"/>
      <c r="AA60" s="388"/>
      <c r="AB60" s="388"/>
      <c r="AC60" s="388"/>
      <c r="AN60" s="5"/>
    </row>
    <row r="61" spans="1:40" x14ac:dyDescent="0.25">
      <c r="A61" s="220" t="s">
        <v>7</v>
      </c>
      <c r="B61" s="48"/>
      <c r="C61" s="48"/>
      <c r="D61" s="19">
        <v>3</v>
      </c>
      <c r="E61" s="168"/>
      <c r="F61" s="168"/>
      <c r="G61" s="15" t="str">
        <f t="shared" ca="1" si="0"/>
        <v>0.82 (0.82,0.82)</v>
      </c>
      <c r="H61" s="14" t="str">
        <f t="shared" ca="1" si="0"/>
        <v>0.02 (0.02,0.02)</v>
      </c>
      <c r="I61" s="15" t="e">
        <f t="shared" ca="1" si="0"/>
        <v>#N/A</v>
      </c>
      <c r="J61" s="371" t="e">
        <f t="shared" ca="1" si="0"/>
        <v>#N/A</v>
      </c>
      <c r="K61" s="407" t="s">
        <v>182</v>
      </c>
      <c r="L61" s="407"/>
      <c r="M61" s="388"/>
      <c r="N61" s="388"/>
      <c r="O61" s="388"/>
      <c r="P61" s="388"/>
      <c r="Q61" s="388"/>
      <c r="R61" s="388"/>
      <c r="S61" s="388"/>
      <c r="T61" s="388"/>
      <c r="U61" s="388"/>
      <c r="V61" s="388"/>
      <c r="W61" s="388"/>
      <c r="X61" s="407"/>
      <c r="Y61" s="388"/>
      <c r="Z61" s="388"/>
      <c r="AA61" s="388"/>
      <c r="AB61" s="388"/>
      <c r="AC61" s="388"/>
      <c r="AN61" s="5"/>
    </row>
    <row r="62" spans="1:40" x14ac:dyDescent="0.25">
      <c r="A62" s="220" t="s">
        <v>4</v>
      </c>
      <c r="B62" s="48"/>
      <c r="C62" s="48"/>
      <c r="D62" s="19">
        <v>4</v>
      </c>
      <c r="E62" s="168"/>
      <c r="F62" s="168"/>
      <c r="G62" s="15" t="str">
        <f t="shared" ca="1" si="0"/>
        <v>0.04 (0.04,0.04)</v>
      </c>
      <c r="H62" s="14" t="str">
        <f t="shared" ca="1" si="0"/>
        <v>0.05 (0.05,0.05)</v>
      </c>
      <c r="I62" s="15" t="e">
        <f t="shared" ca="1" si="0"/>
        <v>#N/A</v>
      </c>
      <c r="J62" s="371" t="e">
        <f t="shared" ca="1" si="0"/>
        <v>#N/A</v>
      </c>
      <c r="K62" s="407" t="s">
        <v>182</v>
      </c>
      <c r="L62" s="407"/>
      <c r="M62" s="388"/>
      <c r="N62" s="388"/>
      <c r="O62" s="388"/>
      <c r="P62" s="388"/>
      <c r="Q62" s="388"/>
      <c r="R62" s="388"/>
      <c r="S62" s="388"/>
      <c r="T62" s="388"/>
      <c r="U62" s="388"/>
      <c r="V62" s="388"/>
      <c r="W62" s="388"/>
      <c r="X62" s="407"/>
      <c r="Y62" s="388"/>
      <c r="Z62" s="388"/>
      <c r="AA62" s="388"/>
      <c r="AB62" s="388"/>
      <c r="AC62" s="388"/>
      <c r="AN62" s="5"/>
    </row>
    <row r="63" spans="1:40" x14ac:dyDescent="0.25">
      <c r="A63" s="220" t="s">
        <v>5</v>
      </c>
      <c r="B63" s="48"/>
      <c r="C63" s="48"/>
      <c r="D63" s="19">
        <v>5</v>
      </c>
      <c r="E63" s="168"/>
      <c r="F63" s="168"/>
      <c r="G63" s="15" t="str">
        <f t="shared" ca="1" si="0"/>
        <v>0.00 (0.00,0.00)</v>
      </c>
      <c r="H63" s="14" t="str">
        <f t="shared" ca="1" si="0"/>
        <v>0.00 (0.00,0.00)</v>
      </c>
      <c r="I63" s="15" t="e">
        <f t="shared" ca="1" si="0"/>
        <v>#N/A</v>
      </c>
      <c r="J63" s="371" t="e">
        <f t="shared" ca="1" si="0"/>
        <v>#N/A</v>
      </c>
      <c r="K63" s="407" t="s">
        <v>182</v>
      </c>
      <c r="L63" s="407"/>
      <c r="M63" s="388"/>
      <c r="N63" s="388"/>
      <c r="O63" s="388"/>
      <c r="P63" s="388"/>
      <c r="Q63" s="388"/>
      <c r="R63" s="388"/>
      <c r="S63" s="388"/>
      <c r="T63" s="388"/>
      <c r="U63" s="388"/>
      <c r="V63" s="388"/>
      <c r="W63" s="388"/>
      <c r="X63" s="407"/>
      <c r="Y63" s="388"/>
      <c r="Z63" s="388"/>
      <c r="AA63" s="388"/>
      <c r="AB63" s="388"/>
      <c r="AC63" s="388"/>
      <c r="AN63" s="5"/>
    </row>
    <row r="64" spans="1:40" x14ac:dyDescent="0.25">
      <c r="A64" s="220" t="s">
        <v>214</v>
      </c>
      <c r="B64" s="48"/>
      <c r="C64" s="48"/>
      <c r="D64" s="19">
        <v>6</v>
      </c>
      <c r="E64" s="168"/>
      <c r="F64" s="168"/>
      <c r="G64" s="15" t="str">
        <f ca="1">CONCATENATE((FIXED(G13,2,TRUE))," (",(FIXED(G30,2,TRUE)),",",(FIXED(G47,2,TRUE)),")")</f>
        <v>0.00 (0.00,0.00)</v>
      </c>
      <c r="H64" s="167" t="s">
        <v>182</v>
      </c>
      <c r="I64" s="15" t="e">
        <f t="shared" ca="1" si="0"/>
        <v>#N/A</v>
      </c>
      <c r="J64" s="368" t="s">
        <v>182</v>
      </c>
      <c r="K64" s="407" t="s">
        <v>182</v>
      </c>
      <c r="L64" s="407"/>
      <c r="M64" s="388"/>
      <c r="N64" s="388"/>
      <c r="O64" s="388"/>
      <c r="P64" s="388"/>
      <c r="Q64" s="388"/>
      <c r="R64" s="388"/>
      <c r="S64" s="388"/>
      <c r="T64" s="388"/>
      <c r="U64" s="388"/>
      <c r="V64" s="388"/>
      <c r="W64" s="388"/>
      <c r="X64" s="407"/>
      <c r="Y64" s="388"/>
      <c r="Z64" s="388"/>
      <c r="AA64" s="388"/>
      <c r="AB64" s="388"/>
      <c r="AC64" s="388"/>
      <c r="AN64" s="5"/>
    </row>
    <row r="65" spans="1:40" x14ac:dyDescent="0.25">
      <c r="A65" s="220" t="s">
        <v>6</v>
      </c>
      <c r="B65" s="48"/>
      <c r="C65" s="48"/>
      <c r="D65" s="19">
        <v>7</v>
      </c>
      <c r="E65" s="168"/>
      <c r="F65" s="168"/>
      <c r="G65" s="15" t="str">
        <f ca="1">CONCATENATE((FIXED(G14,2,TRUE))," (",(FIXED(G31,2,TRUE)),",",(FIXED(G48,2,TRUE)),")")</f>
        <v>0.00 (0.00,0.00)</v>
      </c>
      <c r="H65" s="167" t="s">
        <v>182</v>
      </c>
      <c r="I65" s="15" t="e">
        <f t="shared" ca="1" si="0"/>
        <v>#N/A</v>
      </c>
      <c r="J65" s="368" t="s">
        <v>182</v>
      </c>
      <c r="K65" s="407" t="s">
        <v>182</v>
      </c>
      <c r="L65" s="407"/>
      <c r="M65" s="388"/>
      <c r="N65" s="388"/>
      <c r="O65" s="388"/>
      <c r="P65" s="388"/>
      <c r="Q65" s="388"/>
      <c r="R65" s="388"/>
      <c r="S65" s="388"/>
      <c r="T65" s="388"/>
      <c r="U65" s="388"/>
      <c r="V65" s="388"/>
      <c r="W65" s="388"/>
      <c r="X65" s="407"/>
      <c r="Y65" s="388"/>
      <c r="Z65" s="388"/>
      <c r="AA65" s="388"/>
      <c r="AB65" s="388"/>
      <c r="AC65" s="388"/>
      <c r="AN65" s="5"/>
    </row>
    <row r="66" spans="1:40" x14ac:dyDescent="0.25">
      <c r="A66" s="220" t="s">
        <v>217</v>
      </c>
      <c r="B66" s="48"/>
      <c r="C66" s="48"/>
      <c r="D66" s="19">
        <v>8</v>
      </c>
      <c r="E66" s="168"/>
      <c r="F66" s="168"/>
      <c r="G66" s="15" t="str">
        <f ca="1">CONCATENATE((FIXED(G15,2,TRUE))," (",(FIXED(G32,2,TRUE)),",",(FIXED(G49,2,TRUE)),")")</f>
        <v>0.00 (0.00,0.00)</v>
      </c>
      <c r="H66" s="167" t="s">
        <v>182</v>
      </c>
      <c r="I66" s="15" t="e">
        <f t="shared" ca="1" si="0"/>
        <v>#N/A</v>
      </c>
      <c r="J66" s="368" t="s">
        <v>182</v>
      </c>
      <c r="K66" s="407" t="s">
        <v>182</v>
      </c>
      <c r="L66" s="407"/>
      <c r="M66" s="388"/>
      <c r="N66" s="388"/>
      <c r="O66" s="388"/>
      <c r="P66" s="388"/>
      <c r="Q66" s="388"/>
      <c r="R66" s="388"/>
      <c r="S66" s="388"/>
      <c r="T66" s="388"/>
      <c r="U66" s="388"/>
      <c r="V66" s="388"/>
      <c r="W66" s="388"/>
      <c r="X66" s="407"/>
      <c r="Y66" s="388"/>
      <c r="Z66" s="388"/>
      <c r="AA66" s="388"/>
      <c r="AB66" s="388"/>
      <c r="AC66" s="388"/>
      <c r="AN66" s="5"/>
    </row>
    <row r="67" spans="1:40" x14ac:dyDescent="0.25">
      <c r="A67" s="319" t="s">
        <v>184</v>
      </c>
      <c r="B67" s="320"/>
      <c r="C67" s="320"/>
      <c r="D67" s="341"/>
      <c r="E67" s="321"/>
      <c r="F67" s="321"/>
      <c r="G67" s="26" t="str">
        <f ca="1">CONCATENATE((FIXED(G16,2,TRUE))," (",(FIXED(G33,2,TRUE)),",",(FIXED(G50,2,TRUE)),")")</f>
        <v>1.02 (1.02,1.02)</v>
      </c>
      <c r="H67" s="349" t="s">
        <v>182</v>
      </c>
      <c r="I67" s="336" t="e">
        <f t="shared" ca="1" si="0"/>
        <v>#N/A</v>
      </c>
      <c r="J67" s="371" t="e">
        <f ca="1">CONCATENATE((FIXED(J16,2,TRUE))," (",(FIXED(J33,2,TRUE)),",",(FIXED(J50,2,TRUE)),")")</f>
        <v>#N/A</v>
      </c>
      <c r="K67" s="407" t="s">
        <v>182</v>
      </c>
      <c r="L67" s="407"/>
      <c r="M67" s="388"/>
      <c r="N67" s="388"/>
      <c r="O67" s="388"/>
      <c r="P67" s="388"/>
      <c r="Q67" s="388"/>
      <c r="R67" s="388"/>
      <c r="S67" s="388"/>
      <c r="T67" s="388"/>
      <c r="U67" s="388"/>
      <c r="V67" s="388"/>
      <c r="W67" s="388"/>
      <c r="X67" s="407"/>
      <c r="Y67" s="388"/>
      <c r="Z67" s="388"/>
      <c r="AA67" s="388"/>
      <c r="AB67" s="388"/>
      <c r="AC67" s="388"/>
      <c r="AN67" s="5"/>
    </row>
    <row r="68" spans="1:40" x14ac:dyDescent="0.25">
      <c r="A68" s="302" t="s">
        <v>584</v>
      </c>
      <c r="B68" s="57"/>
      <c r="C68" s="57"/>
      <c r="D68" s="382" t="s">
        <v>604</v>
      </c>
      <c r="E68" s="136"/>
      <c r="F68" s="348"/>
      <c r="G68" s="26" t="str">
        <f t="shared" ref="G68:H69" ca="1" si="1">CONCATENATE((FIXED(G17,2,TRUE))," (",(FIXED(G34,2,TRUE)),",",(FIXED(G51,2,TRUE)),")")</f>
        <v>0.98 (0.98,0.98)</v>
      </c>
      <c r="H68" s="11" t="str">
        <f t="shared" ca="1" si="1"/>
        <v>0.68 (0.68,0.68)</v>
      </c>
      <c r="I68" s="26" t="e">
        <f t="shared" ref="I68" ca="1" si="2">CONCATENATE((FIXED(I17,2,TRUE))," (",(FIXED(I34,2,TRUE)),",",(FIXED(I51,2,TRUE)),")")</f>
        <v>#N/A</v>
      </c>
      <c r="J68" s="371" t="e">
        <f ca="1">CONCATENATE((FIXED(J17,2,TRUE))," (",(FIXED(J34,2,TRUE)),",",(FIXED(J51,2,TRUE)),")")</f>
        <v>#N/A</v>
      </c>
      <c r="K68" s="407" t="s">
        <v>182</v>
      </c>
      <c r="L68" s="407"/>
      <c r="M68" s="388"/>
      <c r="N68" s="388"/>
      <c r="O68" s="388"/>
      <c r="P68" s="388"/>
      <c r="Q68" s="388"/>
      <c r="R68" s="388"/>
      <c r="S68" s="388"/>
      <c r="T68" s="388"/>
      <c r="U68" s="388"/>
      <c r="V68" s="388"/>
      <c r="W68" s="388"/>
      <c r="X68" s="407"/>
      <c r="Y68" s="388"/>
      <c r="Z68" s="388"/>
      <c r="AA68" s="388"/>
      <c r="AB68" s="388"/>
      <c r="AC68" s="388"/>
      <c r="AN68" s="5"/>
    </row>
    <row r="69" spans="1:40" x14ac:dyDescent="0.25">
      <c r="A69" s="204" t="s">
        <v>206</v>
      </c>
      <c r="B69" s="225"/>
      <c r="C69" s="225"/>
      <c r="D69" s="66" t="s">
        <v>207</v>
      </c>
      <c r="E69" s="129"/>
      <c r="F69" s="350"/>
      <c r="G69" s="20" t="str">
        <f ca="1">CONCATENATE((FIXED(G18,2,TRUE))," (",(FIXED(G35,2,TRUE)),",",(FIXED(G52,2,TRUE)),")")</f>
        <v>0.82 (0.82,0.82)</v>
      </c>
      <c r="H69" s="25" t="str">
        <f t="shared" ca="1" si="1"/>
        <v>0.68 (0.68,0.68)</v>
      </c>
      <c r="I69" s="21" t="e">
        <f ca="1">CONCATENATE((FIXED(I18,2,TRUE))," (",(FIXED(I35,2,TRUE)),",",(FIXED(I52,2,TRUE)),")")</f>
        <v>#N/A</v>
      </c>
      <c r="J69" s="372" t="e">
        <f ca="1">CONCATENATE((FIXED(J18,2,TRUE))," (",(FIXED(J35,2,TRUE)),",",(FIXED(J52,2,TRUE)),")")</f>
        <v>#N/A</v>
      </c>
      <c r="K69" s="407" t="s">
        <v>182</v>
      </c>
      <c r="L69" s="407"/>
      <c r="M69" s="388"/>
      <c r="N69" s="388"/>
      <c r="O69" s="388"/>
      <c r="P69" s="388"/>
      <c r="Q69" s="388"/>
      <c r="R69" s="388"/>
      <c r="S69" s="388"/>
      <c r="T69" s="388"/>
      <c r="U69" s="388"/>
      <c r="V69" s="388"/>
      <c r="W69" s="388"/>
      <c r="X69" s="407"/>
      <c r="Y69" s="388"/>
      <c r="Z69" s="388"/>
      <c r="AA69" s="388"/>
      <c r="AB69" s="388"/>
      <c r="AC69" s="388"/>
      <c r="AN69" s="5"/>
    </row>
    <row r="70" spans="1:40" s="388" customFormat="1" x14ac:dyDescent="0.25">
      <c r="E70" s="430"/>
      <c r="H70" s="407"/>
      <c r="J70" s="407"/>
      <c r="K70" s="407"/>
      <c r="L70" s="407"/>
      <c r="X70" s="407"/>
      <c r="AN70" s="407"/>
    </row>
    <row r="71" spans="1:40" s="388" customFormat="1" x14ac:dyDescent="0.25">
      <c r="A71" s="390" t="s">
        <v>592</v>
      </c>
      <c r="E71" s="430"/>
      <c r="H71" s="407"/>
      <c r="J71" s="407"/>
      <c r="K71" s="407"/>
      <c r="L71" s="407"/>
      <c r="X71" s="407"/>
      <c r="AN71" s="407"/>
    </row>
    <row r="72" spans="1:40" x14ac:dyDescent="0.25">
      <c r="A72" s="247"/>
      <c r="B72" s="57"/>
      <c r="C72" s="57"/>
      <c r="D72" s="342"/>
      <c r="E72" s="57"/>
      <c r="F72" s="57"/>
      <c r="G72" s="468" t="s">
        <v>576</v>
      </c>
      <c r="H72" s="470"/>
      <c r="I72" s="485" t="s">
        <v>577</v>
      </c>
      <c r="J72" s="486"/>
      <c r="K72" s="407"/>
      <c r="L72" s="407"/>
      <c r="M72" s="388"/>
      <c r="N72" s="388"/>
      <c r="O72" s="388"/>
      <c r="P72" s="388"/>
      <c r="Q72" s="388"/>
      <c r="R72" s="388"/>
      <c r="S72" s="388"/>
      <c r="T72" s="388"/>
      <c r="U72" s="388"/>
      <c r="V72" s="388"/>
      <c r="W72" s="388"/>
      <c r="X72" s="407"/>
      <c r="Y72" s="388"/>
      <c r="Z72" s="388"/>
      <c r="AA72" s="388"/>
      <c r="AB72" s="388"/>
      <c r="AC72" s="388"/>
      <c r="AN72" s="5"/>
    </row>
    <row r="73" spans="1:40" x14ac:dyDescent="0.25">
      <c r="A73" s="116"/>
      <c r="B73" s="48"/>
      <c r="C73" s="48"/>
      <c r="D73" s="19"/>
      <c r="E73" s="48"/>
      <c r="F73" s="48"/>
      <c r="G73" s="483" t="s">
        <v>593</v>
      </c>
      <c r="H73" s="484"/>
      <c r="I73" s="343" t="s">
        <v>593</v>
      </c>
      <c r="J73" s="152" t="s">
        <v>226</v>
      </c>
      <c r="K73" s="407" t="s">
        <v>182</v>
      </c>
      <c r="L73" s="407"/>
      <c r="M73" s="388"/>
      <c r="N73" s="388"/>
      <c r="O73" s="388"/>
      <c r="P73" s="388"/>
      <c r="Q73" s="388"/>
      <c r="R73" s="388"/>
      <c r="S73" s="388"/>
      <c r="T73" s="388"/>
      <c r="U73" s="388"/>
      <c r="V73" s="388"/>
      <c r="W73" s="388"/>
      <c r="X73" s="407"/>
      <c r="Y73" s="388"/>
      <c r="Z73" s="388"/>
      <c r="AA73" s="388"/>
      <c r="AB73" s="388"/>
      <c r="AC73" s="388"/>
      <c r="AN73" s="5"/>
    </row>
    <row r="74" spans="1:40" x14ac:dyDescent="0.25">
      <c r="A74" s="116"/>
      <c r="B74" s="48"/>
      <c r="C74" s="48"/>
      <c r="D74" s="19"/>
      <c r="E74" s="48"/>
      <c r="F74" s="48"/>
      <c r="G74" s="327" t="s">
        <v>594</v>
      </c>
      <c r="H74" s="48" t="s">
        <v>595</v>
      </c>
      <c r="I74" s="327" t="s">
        <v>596</v>
      </c>
      <c r="J74" s="371"/>
      <c r="K74" s="407" t="s">
        <v>182</v>
      </c>
      <c r="L74" s="407"/>
      <c r="M74" s="388"/>
      <c r="N74" s="388"/>
      <c r="O74" s="388"/>
      <c r="P74" s="388"/>
      <c r="Q74" s="388"/>
      <c r="R74" s="388"/>
      <c r="S74" s="388"/>
      <c r="T74" s="388"/>
      <c r="U74" s="388"/>
      <c r="V74" s="388"/>
      <c r="W74" s="388"/>
      <c r="X74" s="407"/>
      <c r="Y74" s="388"/>
      <c r="Z74" s="388"/>
      <c r="AA74" s="388"/>
      <c r="AB74" s="388"/>
      <c r="AC74" s="388"/>
      <c r="AN74" s="5"/>
    </row>
    <row r="75" spans="1:40" x14ac:dyDescent="0.25">
      <c r="A75" s="116"/>
      <c r="B75" s="48"/>
      <c r="C75" s="48"/>
      <c r="D75" s="19" t="s">
        <v>413</v>
      </c>
      <c r="E75" s="19"/>
      <c r="F75" s="19"/>
      <c r="G75" s="328" t="s">
        <v>582</v>
      </c>
      <c r="H75" s="33" t="s">
        <v>583</v>
      </c>
      <c r="I75" s="328" t="s">
        <v>582</v>
      </c>
      <c r="J75" s="34" t="s">
        <v>230</v>
      </c>
      <c r="K75" s="407" t="s">
        <v>182</v>
      </c>
      <c r="L75" s="407"/>
      <c r="M75" s="388"/>
      <c r="N75" s="388"/>
      <c r="O75" s="388"/>
      <c r="P75" s="388"/>
      <c r="Q75" s="388"/>
      <c r="R75" s="388"/>
      <c r="S75" s="388"/>
      <c r="T75" s="388"/>
      <c r="U75" s="388"/>
      <c r="V75" s="388"/>
      <c r="W75" s="388"/>
      <c r="X75" s="407"/>
      <c r="Y75" s="388"/>
      <c r="Z75" s="388"/>
      <c r="AA75" s="388"/>
      <c r="AB75" s="388"/>
      <c r="AC75" s="388"/>
      <c r="AN75" s="5"/>
    </row>
    <row r="76" spans="1:40" x14ac:dyDescent="0.25">
      <c r="A76" s="220" t="s">
        <v>2</v>
      </c>
      <c r="B76" s="48"/>
      <c r="C76" s="48"/>
      <c r="D76" s="19">
        <v>1</v>
      </c>
      <c r="E76" s="168"/>
      <c r="F76" s="168"/>
      <c r="G76" s="15" t="str">
        <f t="shared" ref="G76:J86" ca="1" si="3">CONCATENATE(TEXT(G8,"0.00E+00")," (",(TEXT(G25,"0.00E+00")),", ",(TEXT(G42,"0.00E+00")),")")</f>
        <v>1.61E-01 (1.61E-01, 1.61E-01)</v>
      </c>
      <c r="H76" s="3" t="str">
        <f t="shared" ca="1" si="3"/>
        <v>1.61E-01 (1.61E-01, 1.61E-01)</v>
      </c>
      <c r="I76" s="15" t="e">
        <f t="shared" ca="1" si="3"/>
        <v>#N/A</v>
      </c>
      <c r="J76" s="371" t="e">
        <f t="shared" ca="1" si="3"/>
        <v>#N/A</v>
      </c>
      <c r="K76" s="407" t="s">
        <v>182</v>
      </c>
      <c r="L76" s="407"/>
      <c r="M76" s="388"/>
      <c r="N76" s="388"/>
      <c r="O76" s="388"/>
      <c r="P76" s="388"/>
      <c r="Q76" s="388"/>
      <c r="R76" s="388"/>
      <c r="S76" s="388"/>
      <c r="T76" s="388"/>
      <c r="U76" s="388"/>
      <c r="V76" s="388"/>
      <c r="W76" s="388"/>
      <c r="X76" s="407"/>
      <c r="Y76" s="388"/>
      <c r="Z76" s="388"/>
      <c r="AA76" s="388"/>
      <c r="AB76" s="388"/>
      <c r="AC76" s="388"/>
      <c r="AN76" s="5"/>
    </row>
    <row r="77" spans="1:40" x14ac:dyDescent="0.25">
      <c r="A77" s="220" t="s">
        <v>3</v>
      </c>
      <c r="B77" s="48"/>
      <c r="C77" s="48"/>
      <c r="D77" s="19">
        <v>2</v>
      </c>
      <c r="E77" s="168"/>
      <c r="F77" s="168"/>
      <c r="G77" s="15" t="str">
        <f t="shared" ca="1" si="3"/>
        <v>4.19E-06 (4.19E-06, 4.19E-06)</v>
      </c>
      <c r="H77" s="3" t="str">
        <f t="shared" ca="1" si="3"/>
        <v>3.49E-06 (3.49E-06, 3.49E-06)</v>
      </c>
      <c r="I77" s="15" t="e">
        <f t="shared" ca="1" si="3"/>
        <v>#N/A</v>
      </c>
      <c r="J77" s="371" t="e">
        <f t="shared" ca="1" si="3"/>
        <v>#N/A</v>
      </c>
      <c r="K77" s="407" t="s">
        <v>182</v>
      </c>
      <c r="L77" s="407"/>
      <c r="M77" s="388"/>
      <c r="N77" s="388"/>
      <c r="O77" s="388"/>
      <c r="P77" s="388"/>
      <c r="Q77" s="388"/>
      <c r="R77" s="388"/>
      <c r="S77" s="388"/>
      <c r="T77" s="388"/>
      <c r="U77" s="388"/>
      <c r="V77" s="388"/>
      <c r="W77" s="388"/>
      <c r="X77" s="407"/>
      <c r="Y77" s="388"/>
      <c r="Z77" s="388"/>
      <c r="AA77" s="388"/>
      <c r="AB77" s="388"/>
      <c r="AC77" s="388"/>
      <c r="AN77" s="5"/>
    </row>
    <row r="78" spans="1:40" x14ac:dyDescent="0.25">
      <c r="A78" s="220" t="s">
        <v>7</v>
      </c>
      <c r="B78" s="48"/>
      <c r="C78" s="48"/>
      <c r="D78" s="19">
        <v>3</v>
      </c>
      <c r="E78" s="168"/>
      <c r="F78" s="168"/>
      <c r="G78" s="15" t="str">
        <f t="shared" ca="1" si="3"/>
        <v>8.21E-01 (8.21E-01, 8.21E-01)</v>
      </c>
      <c r="H78" s="3" t="str">
        <f t="shared" ca="1" si="3"/>
        <v>1.79E-02 (1.79E-02, 1.79E-02)</v>
      </c>
      <c r="I78" s="15" t="e">
        <f t="shared" ca="1" si="3"/>
        <v>#N/A</v>
      </c>
      <c r="J78" s="371" t="e">
        <f t="shared" ca="1" si="3"/>
        <v>#N/A</v>
      </c>
      <c r="K78" s="407" t="s">
        <v>182</v>
      </c>
      <c r="L78" s="407"/>
      <c r="M78" s="388"/>
      <c r="N78" s="388"/>
      <c r="O78" s="388"/>
      <c r="P78" s="388"/>
      <c r="Q78" s="388"/>
      <c r="R78" s="388"/>
      <c r="S78" s="388"/>
      <c r="T78" s="388"/>
      <c r="U78" s="388"/>
      <c r="V78" s="388"/>
      <c r="W78" s="388"/>
      <c r="X78" s="407"/>
      <c r="Y78" s="388"/>
      <c r="Z78" s="388"/>
      <c r="AA78" s="388"/>
      <c r="AB78" s="388"/>
      <c r="AC78" s="388"/>
      <c r="AN78" s="5"/>
    </row>
    <row r="79" spans="1:40" x14ac:dyDescent="0.25">
      <c r="A79" s="220" t="s">
        <v>4</v>
      </c>
      <c r="B79" s="48"/>
      <c r="C79" s="48"/>
      <c r="D79" s="19">
        <v>4</v>
      </c>
      <c r="E79" s="168"/>
      <c r="F79" s="168"/>
      <c r="G79" s="15" t="str">
        <f t="shared" ca="1" si="3"/>
        <v>3.58E-02 (3.58E-02, 3.58E-02)</v>
      </c>
      <c r="H79" s="3" t="str">
        <f t="shared" ca="1" si="3"/>
        <v>4.78E-02 (4.78E-02, 4.78E-02)</v>
      </c>
      <c r="I79" s="15" t="e">
        <f t="shared" ca="1" si="3"/>
        <v>#N/A</v>
      </c>
      <c r="J79" s="371" t="e">
        <f t="shared" ca="1" si="3"/>
        <v>#N/A</v>
      </c>
      <c r="K79" s="407" t="s">
        <v>182</v>
      </c>
      <c r="L79" s="407"/>
      <c r="M79" s="388"/>
      <c r="N79" s="388"/>
      <c r="O79" s="388"/>
      <c r="P79" s="388"/>
      <c r="Q79" s="388"/>
      <c r="R79" s="388"/>
      <c r="S79" s="388"/>
      <c r="T79" s="388"/>
      <c r="U79" s="388"/>
      <c r="V79" s="388"/>
      <c r="W79" s="388"/>
      <c r="X79" s="407"/>
      <c r="Y79" s="388"/>
      <c r="Z79" s="388"/>
      <c r="AA79" s="388"/>
      <c r="AB79" s="388"/>
      <c r="AC79" s="388"/>
      <c r="AN79" s="5"/>
    </row>
    <row r="80" spans="1:40" x14ac:dyDescent="0.25">
      <c r="A80" s="220" t="s">
        <v>5</v>
      </c>
      <c r="B80" s="48"/>
      <c r="C80" s="48"/>
      <c r="D80" s="19">
        <v>5</v>
      </c>
      <c r="E80" s="168"/>
      <c r="F80" s="168"/>
      <c r="G80" s="15" t="str">
        <f t="shared" ca="1" si="3"/>
        <v>3.84E-05 (3.84E-05, 3.84E-05)</v>
      </c>
      <c r="H80" s="3" t="str">
        <f t="shared" ca="1" si="3"/>
        <v>3.49E-06 (3.49E-06, 3.49E-06)</v>
      </c>
      <c r="I80" s="15" t="e">
        <f t="shared" ca="1" si="3"/>
        <v>#N/A</v>
      </c>
      <c r="J80" s="371" t="e">
        <f t="shared" ca="1" si="3"/>
        <v>#N/A</v>
      </c>
      <c r="K80" s="407" t="s">
        <v>182</v>
      </c>
      <c r="L80" s="407"/>
      <c r="M80" s="388"/>
      <c r="N80" s="388"/>
      <c r="O80" s="388"/>
      <c r="P80" s="388"/>
      <c r="Q80" s="388"/>
      <c r="R80" s="388"/>
      <c r="S80" s="388"/>
      <c r="T80" s="388"/>
      <c r="U80" s="388"/>
      <c r="V80" s="388"/>
      <c r="W80" s="388"/>
      <c r="X80" s="407"/>
      <c r="Y80" s="388"/>
      <c r="Z80" s="388"/>
      <c r="AA80" s="388"/>
      <c r="AB80" s="388"/>
      <c r="AC80" s="388"/>
      <c r="AN80" s="5"/>
    </row>
    <row r="81" spans="1:40" x14ac:dyDescent="0.25">
      <c r="A81" s="220" t="s">
        <v>214</v>
      </c>
      <c r="B81" s="48"/>
      <c r="C81" s="48"/>
      <c r="D81" s="19">
        <v>6</v>
      </c>
      <c r="E81" s="168"/>
      <c r="F81" s="168"/>
      <c r="G81" s="15" t="str">
        <f ca="1">CONCATENATE(TEXT(G13,"0.00E+00")," (",(TEXT(G30,"0.00E+00")),", ",(TEXT(G47,"0.00E+00")),")")</f>
        <v>3.35E-08 (3.35E-08, 3.35E-08)</v>
      </c>
      <c r="H81" s="331" t="s">
        <v>182</v>
      </c>
      <c r="I81" s="15" t="e">
        <f t="shared" ca="1" si="3"/>
        <v>#N/A</v>
      </c>
      <c r="J81" s="368" t="s">
        <v>182</v>
      </c>
      <c r="K81" s="407" t="s">
        <v>182</v>
      </c>
      <c r="L81" s="407"/>
      <c r="M81" s="388"/>
      <c r="N81" s="388"/>
      <c r="O81" s="388"/>
      <c r="P81" s="388"/>
      <c r="Q81" s="388"/>
      <c r="R81" s="388"/>
      <c r="S81" s="388"/>
      <c r="T81" s="388"/>
      <c r="U81" s="388"/>
      <c r="V81" s="388"/>
      <c r="W81" s="388"/>
      <c r="X81" s="407"/>
      <c r="Y81" s="388"/>
      <c r="Z81" s="388"/>
      <c r="AA81" s="388"/>
      <c r="AB81" s="388"/>
      <c r="AC81" s="388"/>
      <c r="AN81" s="5"/>
    </row>
    <row r="82" spans="1:40" x14ac:dyDescent="0.25">
      <c r="A82" s="220" t="s">
        <v>6</v>
      </c>
      <c r="B82" s="48"/>
      <c r="C82" s="48"/>
      <c r="D82" s="19">
        <v>7</v>
      </c>
      <c r="E82" s="168"/>
      <c r="F82" s="168"/>
      <c r="G82" s="15" t="str">
        <f ca="1">CONCATENATE(TEXT(G14,"0.00E+00")," (",(TEXT(G31,"0.00E+00")),", ",(TEXT(G48,"0.00E+00")),")")</f>
        <v>4.22E-04 (4.22E-04, 4.22E-04)</v>
      </c>
      <c r="H82" s="331" t="s">
        <v>182</v>
      </c>
      <c r="I82" s="15" t="e">
        <f t="shared" ca="1" si="3"/>
        <v>#N/A</v>
      </c>
      <c r="J82" s="368" t="s">
        <v>182</v>
      </c>
      <c r="K82" s="407" t="s">
        <v>182</v>
      </c>
      <c r="L82" s="407"/>
      <c r="M82" s="388"/>
      <c r="N82" s="388"/>
      <c r="O82" s="388"/>
      <c r="P82" s="388"/>
      <c r="Q82" s="388"/>
      <c r="R82" s="388"/>
      <c r="S82" s="388"/>
      <c r="T82" s="388"/>
      <c r="U82" s="388"/>
      <c r="V82" s="388"/>
      <c r="W82" s="388"/>
      <c r="X82" s="407"/>
      <c r="Y82" s="388"/>
      <c r="Z82" s="388"/>
      <c r="AA82" s="388"/>
      <c r="AB82" s="388"/>
      <c r="AC82" s="388"/>
      <c r="AN82" s="5"/>
    </row>
    <row r="83" spans="1:40" x14ac:dyDescent="0.25">
      <c r="A83" s="220" t="s">
        <v>217</v>
      </c>
      <c r="B83" s="48"/>
      <c r="C83" s="48"/>
      <c r="D83" s="19">
        <v>8</v>
      </c>
      <c r="E83" s="168"/>
      <c r="F83" s="168"/>
      <c r="G83" s="15" t="str">
        <f ca="1">CONCATENATE(TEXT(G15,"0.00E+00")," (",(TEXT(G32,"0.00E+00")),", ",(TEXT(G49,"0.00E+00")),")")</f>
        <v>5.08E-04 (5.08E-04, 5.08E-04)</v>
      </c>
      <c r="H83" s="331" t="s">
        <v>182</v>
      </c>
      <c r="I83" s="15" t="e">
        <f t="shared" ca="1" si="3"/>
        <v>#N/A</v>
      </c>
      <c r="J83" s="368" t="s">
        <v>182</v>
      </c>
      <c r="K83" s="407" t="s">
        <v>182</v>
      </c>
      <c r="L83" s="407"/>
      <c r="M83" s="388"/>
      <c r="N83" s="388"/>
      <c r="O83" s="388"/>
      <c r="P83" s="388"/>
      <c r="Q83" s="388"/>
      <c r="R83" s="388"/>
      <c r="S83" s="388"/>
      <c r="T83" s="388"/>
      <c r="U83" s="388"/>
      <c r="V83" s="388"/>
      <c r="W83" s="388"/>
      <c r="X83" s="407"/>
      <c r="Y83" s="388"/>
      <c r="Z83" s="388"/>
      <c r="AA83" s="388"/>
      <c r="AB83" s="388"/>
      <c r="AC83" s="388"/>
      <c r="AN83" s="5"/>
    </row>
    <row r="84" spans="1:40" x14ac:dyDescent="0.25">
      <c r="A84" s="319" t="s">
        <v>184</v>
      </c>
      <c r="B84" s="320"/>
      <c r="C84" s="320"/>
      <c r="D84" s="341"/>
      <c r="E84" s="321"/>
      <c r="F84" s="321"/>
      <c r="G84" s="26" t="str">
        <f ca="1">CONCATENATE(TEXT(G16,"0.00E+00")," (",(TEXT(G33,"0.00E+00")),", ",(TEXT(G50,"0.00E+00")),")")</f>
        <v>1.02E+00 (1.02E+00, 1.02E+00)</v>
      </c>
      <c r="H84" s="337" t="s">
        <v>182</v>
      </c>
      <c r="I84" s="336" t="e">
        <f t="shared" ca="1" si="3"/>
        <v>#N/A</v>
      </c>
      <c r="J84" s="371" t="e">
        <f ca="1">CONCATENATE(TEXT(J16,"0.00E+00")," (",(TEXT(J33,"0.00E+00")),", ",(TEXT(J50,"0.00E+00")),")")</f>
        <v>#N/A</v>
      </c>
      <c r="K84" s="407" t="s">
        <v>182</v>
      </c>
      <c r="L84" s="407"/>
      <c r="M84" s="388"/>
      <c r="N84" s="388"/>
      <c r="O84" s="388"/>
      <c r="P84" s="388"/>
      <c r="Q84" s="388"/>
      <c r="R84" s="388"/>
      <c r="S84" s="388"/>
      <c r="T84" s="388"/>
      <c r="U84" s="388"/>
      <c r="V84" s="388"/>
      <c r="W84" s="388"/>
      <c r="X84" s="407"/>
      <c r="Y84" s="388"/>
      <c r="Z84" s="388"/>
      <c r="AA84" s="388"/>
      <c r="AB84" s="388"/>
      <c r="AC84" s="388"/>
      <c r="AN84" s="5"/>
    </row>
    <row r="85" spans="1:40" x14ac:dyDescent="0.25">
      <c r="A85" s="302" t="s">
        <v>584</v>
      </c>
      <c r="B85" s="57"/>
      <c r="C85" s="57"/>
      <c r="D85" s="382" t="s">
        <v>604</v>
      </c>
      <c r="E85" s="136"/>
      <c r="F85" s="348"/>
      <c r="G85" s="26" t="str">
        <f t="shared" ca="1" si="3"/>
        <v>9.82E-01 (9.82E-01, 9.82E-01)</v>
      </c>
      <c r="H85" s="11" t="str">
        <f t="shared" ca="1" si="3"/>
        <v>6.75E-01 (6.75E-01, 6.75E-01)</v>
      </c>
      <c r="I85" s="26" t="e">
        <f t="shared" ref="I85" ca="1" si="4">CONCATENATE(TEXT(I17,"0.00E+00")," (",(TEXT(I34,"0.00E+00")),", ",(TEXT(I51,"0.00E+00")),")")</f>
        <v>#N/A</v>
      </c>
      <c r="J85" s="371" t="e">
        <f ca="1">CONCATENATE(TEXT(J17,"0.00E+00")," (",(TEXT(J34,"0.00E+00")),", ",(TEXT(J51,"0.00E+00")),")")</f>
        <v>#N/A</v>
      </c>
      <c r="K85" s="407" t="s">
        <v>182</v>
      </c>
      <c r="L85" s="407"/>
      <c r="M85" s="388"/>
      <c r="N85" s="388"/>
      <c r="O85" s="388"/>
      <c r="P85" s="388"/>
      <c r="Q85" s="388"/>
      <c r="R85" s="388"/>
      <c r="S85" s="388"/>
      <c r="T85" s="388"/>
      <c r="U85" s="388"/>
      <c r="V85" s="388"/>
      <c r="W85" s="388"/>
      <c r="X85" s="407"/>
      <c r="Y85" s="388"/>
      <c r="Z85" s="388"/>
      <c r="AA85" s="388"/>
      <c r="AB85" s="388"/>
      <c r="AC85" s="388"/>
      <c r="AN85" s="5"/>
    </row>
    <row r="86" spans="1:40" x14ac:dyDescent="0.25">
      <c r="A86" s="204" t="s">
        <v>206</v>
      </c>
      <c r="B86" s="225"/>
      <c r="C86" s="225"/>
      <c r="D86" s="66" t="s">
        <v>207</v>
      </c>
      <c r="E86" s="129"/>
      <c r="F86" s="350"/>
      <c r="G86" s="20" t="str">
        <f t="shared" ca="1" si="3"/>
        <v>8.21E-01 (8.21E-01, 8.21E-01)</v>
      </c>
      <c r="H86" s="25" t="str">
        <f t="shared" ca="1" si="3"/>
        <v>6.75E-01 (6.75E-01, 6.75E-01)</v>
      </c>
      <c r="I86" s="21" t="e">
        <f t="shared" ref="I86" ca="1" si="5">CONCATENATE(TEXT(I18,"0.00E+00")," (",(TEXT(I35,"0.00E+00")),", ",(TEXT(I52,"0.00E+00")),")")</f>
        <v>#N/A</v>
      </c>
      <c r="J86" s="372" t="e">
        <f ca="1">CONCATENATE(TEXT(J18,"0.00E+00")," (",(TEXT(J35,"0.00E+00")),", ",(TEXT(J52,"0.00E+00")),")")</f>
        <v>#N/A</v>
      </c>
      <c r="K86" s="407" t="s">
        <v>182</v>
      </c>
      <c r="L86" s="407"/>
      <c r="M86" s="388"/>
      <c r="N86" s="388"/>
      <c r="O86" s="388"/>
      <c r="P86" s="388"/>
      <c r="Q86" s="388"/>
      <c r="R86" s="388"/>
      <c r="S86" s="388"/>
      <c r="T86" s="388"/>
      <c r="U86" s="388"/>
      <c r="V86" s="388"/>
      <c r="W86" s="388"/>
      <c r="X86" s="407"/>
      <c r="Y86" s="388"/>
      <c r="Z86" s="388"/>
      <c r="AA86" s="388"/>
      <c r="AB86" s="388"/>
      <c r="AC86" s="388"/>
      <c r="AN86" s="5"/>
    </row>
    <row r="87" spans="1:40" x14ac:dyDescent="0.25">
      <c r="A87" s="388"/>
      <c r="B87" s="388"/>
      <c r="C87" s="388"/>
      <c r="D87" s="388"/>
      <c r="E87" s="430"/>
      <c r="F87" s="388"/>
      <c r="G87" s="388"/>
      <c r="H87" s="407"/>
      <c r="I87" s="388"/>
      <c r="J87" s="407"/>
      <c r="K87" s="407"/>
      <c r="L87" s="407"/>
      <c r="M87" s="388"/>
      <c r="N87" s="388"/>
      <c r="O87" s="388"/>
      <c r="P87" s="388"/>
      <c r="Q87" s="388"/>
      <c r="R87" s="388"/>
      <c r="S87" s="388"/>
      <c r="T87" s="388"/>
      <c r="U87" s="388"/>
      <c r="V87" s="388"/>
      <c r="W87" s="388"/>
      <c r="X87" s="407"/>
      <c r="Y87" s="388"/>
      <c r="Z87" s="388"/>
      <c r="AA87" s="388"/>
      <c r="AB87" s="388"/>
      <c r="AC87" s="388"/>
      <c r="AN87" s="5"/>
    </row>
    <row r="88" spans="1:40" x14ac:dyDescent="0.25">
      <c r="A88" s="388"/>
      <c r="B88" s="388"/>
      <c r="C88" s="388"/>
      <c r="D88" s="388"/>
      <c r="E88" s="430"/>
      <c r="F88" s="388"/>
      <c r="G88" s="388"/>
      <c r="H88" s="407"/>
      <c r="I88" s="388"/>
      <c r="J88" s="407"/>
      <c r="K88" s="407"/>
      <c r="L88" s="407"/>
      <c r="M88" s="388"/>
      <c r="N88" s="388"/>
      <c r="O88" s="388"/>
      <c r="P88" s="388"/>
      <c r="Q88" s="388"/>
      <c r="R88" s="388"/>
      <c r="S88" s="388"/>
      <c r="T88" s="388"/>
      <c r="U88" s="388"/>
      <c r="V88" s="388"/>
      <c r="W88" s="388"/>
      <c r="X88" s="407"/>
      <c r="AN88" s="5"/>
    </row>
    <row r="89" spans="1:40" x14ac:dyDescent="0.25">
      <c r="A89" s="388"/>
      <c r="B89" s="388"/>
      <c r="C89" s="388"/>
      <c r="D89" s="388"/>
      <c r="E89" s="430"/>
      <c r="F89" s="388"/>
      <c r="G89" s="388"/>
      <c r="H89" s="407"/>
      <c r="I89" s="388"/>
      <c r="J89" s="407"/>
      <c r="K89" s="407"/>
      <c r="L89" s="407"/>
      <c r="M89" s="388"/>
      <c r="N89" s="388"/>
      <c r="O89" s="388"/>
      <c r="P89" s="388"/>
      <c r="Q89" s="388"/>
      <c r="R89" s="388"/>
      <c r="S89" s="388"/>
      <c r="T89" s="388"/>
      <c r="U89" s="388"/>
      <c r="V89" s="388"/>
      <c r="W89" s="388"/>
      <c r="X89" s="407"/>
      <c r="AN89" s="5"/>
    </row>
    <row r="90" spans="1:40" x14ac:dyDescent="0.25">
      <c r="A90" s="388"/>
      <c r="B90" s="388"/>
      <c r="C90" s="388"/>
      <c r="D90" s="388"/>
      <c r="E90" s="430"/>
      <c r="F90" s="388"/>
      <c r="G90" s="388"/>
      <c r="H90" s="407"/>
      <c r="I90" s="388"/>
      <c r="J90" s="407"/>
      <c r="K90" s="407"/>
      <c r="L90" s="407"/>
      <c r="M90" s="388"/>
      <c r="N90" s="388"/>
      <c r="O90" s="388"/>
      <c r="P90" s="388"/>
      <c r="Q90" s="388"/>
      <c r="R90" s="388"/>
      <c r="S90" s="388"/>
      <c r="T90" s="388"/>
      <c r="U90" s="388"/>
      <c r="V90" s="388"/>
      <c r="W90" s="388"/>
      <c r="X90" s="407"/>
      <c r="AN90" s="5"/>
    </row>
    <row r="91" spans="1:40" x14ac:dyDescent="0.25">
      <c r="A91" s="388"/>
      <c r="B91" s="388"/>
      <c r="C91" s="388"/>
      <c r="D91" s="388"/>
      <c r="E91" s="430"/>
      <c r="F91" s="388"/>
      <c r="G91" s="388"/>
      <c r="H91" s="407"/>
      <c r="I91" s="388"/>
      <c r="J91" s="407"/>
      <c r="K91" s="407"/>
      <c r="L91" s="407"/>
      <c r="M91" s="388"/>
      <c r="N91" s="388"/>
      <c r="O91" s="388"/>
      <c r="P91" s="388"/>
      <c r="Q91" s="388"/>
      <c r="R91" s="388"/>
      <c r="S91" s="388"/>
      <c r="T91" s="388"/>
      <c r="U91" s="388"/>
      <c r="V91" s="388"/>
      <c r="W91" s="388"/>
      <c r="X91" s="407"/>
      <c r="AN91" s="5"/>
    </row>
    <row r="92" spans="1:40" x14ac:dyDescent="0.25">
      <c r="A92" s="388"/>
      <c r="B92" s="388"/>
      <c r="C92" s="388"/>
      <c r="D92" s="388"/>
      <c r="E92" s="430"/>
      <c r="F92" s="388"/>
      <c r="G92" s="388"/>
      <c r="H92" s="407"/>
      <c r="I92" s="388"/>
      <c r="J92" s="407"/>
      <c r="K92" s="407"/>
      <c r="L92" s="407"/>
      <c r="M92" s="388"/>
      <c r="N92" s="388"/>
      <c r="O92" s="388"/>
      <c r="P92" s="388"/>
      <c r="Q92" s="388"/>
      <c r="R92" s="388"/>
      <c r="S92" s="388"/>
      <c r="T92" s="388"/>
      <c r="U92" s="388"/>
      <c r="V92" s="388"/>
      <c r="W92" s="388"/>
      <c r="X92" s="407"/>
      <c r="AN92" s="5"/>
    </row>
    <row r="93" spans="1:40" x14ac:dyDescent="0.25">
      <c r="A93" s="388"/>
      <c r="B93" s="388"/>
      <c r="C93" s="388"/>
      <c r="D93" s="388"/>
      <c r="E93" s="430"/>
      <c r="F93" s="388"/>
      <c r="G93" s="388"/>
      <c r="H93" s="407"/>
      <c r="I93" s="388"/>
      <c r="J93" s="407"/>
      <c r="K93" s="407"/>
      <c r="L93" s="407"/>
      <c r="M93" s="388"/>
      <c r="N93" s="388"/>
      <c r="O93" s="388"/>
      <c r="P93" s="388"/>
      <c r="Q93" s="388"/>
      <c r="R93" s="388"/>
      <c r="S93" s="388"/>
      <c r="T93" s="388"/>
      <c r="U93" s="388"/>
      <c r="V93" s="388"/>
      <c r="W93" s="388"/>
      <c r="X93" s="407"/>
      <c r="AN93" s="5"/>
    </row>
    <row r="94" spans="1:40" x14ac:dyDescent="0.25">
      <c r="A94" s="388"/>
      <c r="B94" s="388"/>
      <c r="C94" s="388"/>
      <c r="D94" s="388"/>
      <c r="E94" s="430"/>
      <c r="F94" s="388"/>
      <c r="G94" s="388"/>
      <c r="H94" s="407"/>
      <c r="I94" s="388"/>
      <c r="J94" s="407"/>
      <c r="K94" s="407"/>
      <c r="L94" s="407"/>
      <c r="M94" s="388"/>
      <c r="N94" s="388"/>
      <c r="O94" s="388"/>
      <c r="P94" s="388"/>
      <c r="Q94" s="388"/>
      <c r="R94" s="388"/>
      <c r="S94" s="388"/>
      <c r="T94" s="388"/>
      <c r="U94" s="388"/>
      <c r="V94" s="388"/>
      <c r="W94" s="388"/>
      <c r="X94" s="407"/>
      <c r="AN94" s="5"/>
    </row>
    <row r="95" spans="1:40" x14ac:dyDescent="0.25">
      <c r="A95" s="388"/>
      <c r="B95" s="388"/>
      <c r="C95" s="388"/>
      <c r="D95" s="388"/>
      <c r="E95" s="430"/>
      <c r="F95" s="388"/>
      <c r="G95" s="388"/>
      <c r="H95" s="407"/>
      <c r="I95" s="388"/>
      <c r="J95" s="407"/>
      <c r="K95" s="407"/>
      <c r="L95" s="407"/>
      <c r="M95" s="388"/>
      <c r="N95" s="388"/>
      <c r="O95" s="388"/>
      <c r="P95" s="388"/>
      <c r="Q95" s="388"/>
      <c r="R95" s="388"/>
      <c r="S95" s="388"/>
      <c r="T95" s="388"/>
      <c r="U95" s="388"/>
      <c r="V95" s="388"/>
      <c r="W95" s="388"/>
      <c r="X95" s="407"/>
      <c r="AN95" s="5"/>
    </row>
    <row r="96" spans="1:40" x14ac:dyDescent="0.25">
      <c r="A96" s="388"/>
      <c r="B96" s="388"/>
      <c r="C96" s="388"/>
      <c r="D96" s="388"/>
      <c r="E96" s="430"/>
      <c r="F96" s="388"/>
      <c r="G96" s="388"/>
      <c r="H96" s="407"/>
      <c r="I96" s="388"/>
      <c r="J96" s="407"/>
      <c r="K96" s="407"/>
      <c r="L96" s="407"/>
      <c r="M96" s="388"/>
      <c r="N96" s="388"/>
      <c r="O96" s="388"/>
      <c r="P96" s="388"/>
      <c r="Q96" s="388"/>
      <c r="R96" s="388"/>
      <c r="S96" s="388"/>
      <c r="T96" s="388"/>
      <c r="U96" s="388"/>
      <c r="V96" s="388"/>
      <c r="W96" s="388"/>
      <c r="X96" s="407"/>
      <c r="AN96" s="5"/>
    </row>
    <row r="97" spans="1:40" x14ac:dyDescent="0.25">
      <c r="A97" s="388"/>
      <c r="B97" s="388"/>
      <c r="C97" s="388"/>
      <c r="D97" s="388"/>
      <c r="E97" s="430"/>
      <c r="F97" s="388"/>
      <c r="G97" s="388"/>
      <c r="H97" s="407"/>
      <c r="I97" s="388"/>
      <c r="J97" s="407"/>
      <c r="K97" s="407"/>
      <c r="L97" s="407"/>
      <c r="M97" s="388"/>
      <c r="N97" s="388"/>
      <c r="O97" s="388"/>
      <c r="P97" s="388"/>
      <c r="Q97" s="388"/>
      <c r="R97" s="388"/>
      <c r="S97" s="388"/>
      <c r="T97" s="388"/>
      <c r="U97" s="388"/>
      <c r="V97" s="388"/>
      <c r="W97" s="388"/>
      <c r="X97" s="407"/>
      <c r="AN97" s="5"/>
    </row>
    <row r="98" spans="1:40" x14ac:dyDescent="0.25">
      <c r="A98" s="388"/>
      <c r="B98" s="388"/>
      <c r="C98" s="388"/>
      <c r="D98" s="388"/>
      <c r="E98" s="430"/>
      <c r="F98" s="388"/>
      <c r="G98" s="388"/>
      <c r="H98" s="407"/>
      <c r="I98" s="388"/>
      <c r="J98" s="407"/>
      <c r="K98" s="407"/>
      <c r="L98" s="407"/>
      <c r="M98" s="388"/>
      <c r="N98" s="388"/>
      <c r="O98" s="388"/>
      <c r="P98" s="388"/>
      <c r="Q98" s="388"/>
      <c r="R98" s="388"/>
      <c r="S98" s="388"/>
      <c r="T98" s="388"/>
      <c r="U98" s="388"/>
      <c r="V98" s="388"/>
      <c r="W98" s="388"/>
      <c r="X98" s="407"/>
      <c r="AN98" s="5"/>
    </row>
    <row r="99" spans="1:40" x14ac:dyDescent="0.25">
      <c r="A99" s="388"/>
      <c r="B99" s="388"/>
      <c r="C99" s="388"/>
      <c r="D99" s="388"/>
      <c r="E99" s="430"/>
      <c r="F99" s="388"/>
      <c r="G99" s="388"/>
      <c r="H99" s="407"/>
      <c r="I99" s="388"/>
      <c r="J99" s="407"/>
      <c r="K99" s="407"/>
      <c r="L99" s="407"/>
      <c r="M99" s="388"/>
      <c r="N99" s="388"/>
      <c r="O99" s="388"/>
      <c r="P99" s="388"/>
      <c r="Q99" s="388"/>
      <c r="R99" s="388"/>
      <c r="S99" s="388"/>
      <c r="T99" s="388"/>
      <c r="U99" s="388"/>
      <c r="V99" s="388"/>
      <c r="W99" s="388"/>
      <c r="X99" s="407"/>
      <c r="AN99" s="5"/>
    </row>
    <row r="100" spans="1:40" x14ac:dyDescent="0.25">
      <c r="A100" s="388"/>
      <c r="B100" s="388"/>
      <c r="C100" s="388"/>
      <c r="D100" s="388"/>
      <c r="E100" s="430"/>
      <c r="F100" s="388"/>
      <c r="G100" s="388"/>
      <c r="H100" s="407"/>
      <c r="I100" s="388"/>
      <c r="J100" s="407"/>
      <c r="K100" s="407"/>
      <c r="L100" s="407"/>
      <c r="M100" s="388"/>
      <c r="N100" s="388"/>
      <c r="O100" s="388"/>
      <c r="P100" s="388"/>
      <c r="Q100" s="388"/>
      <c r="R100" s="388"/>
      <c r="S100" s="388"/>
      <c r="T100" s="388"/>
      <c r="U100" s="388"/>
      <c r="V100" s="388"/>
      <c r="W100" s="388"/>
      <c r="X100" s="407"/>
      <c r="AN100" s="5"/>
    </row>
    <row r="101" spans="1:40" x14ac:dyDescent="0.25">
      <c r="A101" s="388"/>
      <c r="B101" s="388"/>
      <c r="C101" s="388"/>
      <c r="D101" s="388"/>
      <c r="E101" s="430"/>
      <c r="F101" s="388"/>
      <c r="G101" s="388"/>
      <c r="H101" s="407"/>
      <c r="I101" s="388"/>
      <c r="J101" s="407"/>
      <c r="K101" s="407"/>
      <c r="L101" s="407"/>
      <c r="M101" s="388"/>
      <c r="N101" s="388"/>
      <c r="O101" s="388"/>
      <c r="P101" s="388"/>
      <c r="Q101" s="388"/>
      <c r="R101" s="388"/>
      <c r="S101" s="388"/>
      <c r="T101" s="388"/>
      <c r="U101" s="388"/>
      <c r="V101" s="388"/>
      <c r="W101" s="388"/>
      <c r="X101" s="407"/>
      <c r="AN101" s="5"/>
    </row>
    <row r="102" spans="1:40" x14ac:dyDescent="0.25">
      <c r="A102" s="388"/>
      <c r="B102" s="388"/>
      <c r="C102" s="388"/>
      <c r="D102" s="388"/>
      <c r="E102" s="430"/>
      <c r="F102" s="388"/>
      <c r="G102" s="388"/>
      <c r="H102" s="407"/>
      <c r="I102" s="388"/>
      <c r="J102" s="407"/>
      <c r="K102" s="407"/>
      <c r="L102" s="407"/>
      <c r="M102" s="388"/>
      <c r="N102" s="388"/>
      <c r="O102" s="388"/>
      <c r="P102" s="388"/>
      <c r="Q102" s="388"/>
      <c r="R102" s="388"/>
      <c r="S102" s="388"/>
      <c r="T102" s="388"/>
      <c r="U102" s="388"/>
      <c r="V102" s="388"/>
      <c r="W102" s="388"/>
      <c r="X102" s="407"/>
      <c r="AN102" s="5"/>
    </row>
    <row r="103" spans="1:40" x14ac:dyDescent="0.25">
      <c r="A103" s="388"/>
      <c r="B103" s="388"/>
      <c r="C103" s="388"/>
      <c r="D103" s="388"/>
      <c r="E103" s="430"/>
      <c r="F103" s="388"/>
      <c r="G103" s="388"/>
      <c r="H103" s="407"/>
      <c r="I103" s="388"/>
      <c r="J103" s="407"/>
      <c r="K103" s="407"/>
      <c r="L103" s="407"/>
      <c r="M103" s="388"/>
      <c r="N103" s="388"/>
      <c r="O103" s="388"/>
      <c r="P103" s="388"/>
      <c r="Q103" s="388"/>
      <c r="R103" s="388"/>
      <c r="S103" s="388"/>
      <c r="T103" s="388"/>
      <c r="U103" s="388"/>
      <c r="V103" s="388"/>
      <c r="W103" s="388"/>
      <c r="X103" s="407"/>
      <c r="AN103" s="5"/>
    </row>
    <row r="104" spans="1:40" x14ac:dyDescent="0.25">
      <c r="A104" s="388"/>
      <c r="B104" s="388"/>
      <c r="C104" s="388"/>
      <c r="D104" s="388"/>
      <c r="E104" s="430"/>
      <c r="F104" s="388"/>
      <c r="G104" s="388"/>
      <c r="H104" s="407"/>
      <c r="I104" s="388"/>
      <c r="J104" s="407"/>
      <c r="K104" s="407"/>
      <c r="L104" s="407"/>
      <c r="M104" s="388"/>
      <c r="N104" s="388"/>
      <c r="O104" s="388"/>
      <c r="P104" s="388"/>
      <c r="Q104" s="388"/>
      <c r="R104" s="388"/>
      <c r="S104" s="388"/>
      <c r="T104" s="388"/>
      <c r="U104" s="388"/>
      <c r="V104" s="388"/>
      <c r="W104" s="388"/>
      <c r="X104" s="407"/>
      <c r="AN104" s="5"/>
    </row>
    <row r="105" spans="1:40" x14ac:dyDescent="0.25">
      <c r="A105" s="388"/>
      <c r="B105" s="388"/>
      <c r="C105" s="388"/>
      <c r="D105" s="388"/>
      <c r="E105" s="430"/>
      <c r="F105" s="388"/>
      <c r="G105" s="388"/>
      <c r="H105" s="407"/>
      <c r="I105" s="388"/>
      <c r="J105" s="407"/>
      <c r="K105" s="407"/>
      <c r="L105" s="407"/>
      <c r="M105" s="388"/>
      <c r="N105" s="388"/>
      <c r="O105" s="388"/>
      <c r="P105" s="388"/>
      <c r="Q105" s="388"/>
      <c r="R105" s="388"/>
      <c r="S105" s="388"/>
      <c r="T105" s="388"/>
      <c r="U105" s="388"/>
      <c r="V105" s="388"/>
      <c r="W105" s="388"/>
      <c r="X105" s="407"/>
      <c r="AN105" s="5"/>
    </row>
    <row r="106" spans="1:40" x14ac:dyDescent="0.25">
      <c r="A106" s="388"/>
      <c r="B106" s="388"/>
      <c r="C106" s="388"/>
      <c r="D106" s="388"/>
      <c r="E106" s="430"/>
      <c r="F106" s="388"/>
      <c r="G106" s="388"/>
      <c r="H106" s="407"/>
      <c r="I106" s="388"/>
      <c r="J106" s="407"/>
      <c r="K106" s="407"/>
      <c r="L106" s="407"/>
      <c r="M106" s="388"/>
      <c r="N106" s="388"/>
      <c r="O106" s="388"/>
      <c r="P106" s="388"/>
      <c r="Q106" s="388"/>
      <c r="R106" s="388"/>
      <c r="S106" s="388"/>
      <c r="T106" s="388"/>
      <c r="U106" s="388"/>
      <c r="V106" s="388"/>
      <c r="W106" s="388"/>
      <c r="X106" s="407"/>
      <c r="AN106" s="5"/>
    </row>
    <row r="107" spans="1:40" x14ac:dyDescent="0.25">
      <c r="A107" s="388"/>
      <c r="B107" s="388"/>
      <c r="C107" s="388"/>
      <c r="D107" s="388"/>
      <c r="E107" s="430"/>
      <c r="F107" s="388"/>
      <c r="G107" s="388"/>
      <c r="H107" s="407"/>
      <c r="I107" s="388"/>
      <c r="J107" s="407"/>
      <c r="K107" s="407"/>
      <c r="L107" s="407"/>
      <c r="M107" s="388"/>
      <c r="N107" s="388"/>
      <c r="O107" s="388"/>
      <c r="P107" s="388"/>
      <c r="Q107" s="388"/>
      <c r="R107" s="388"/>
      <c r="S107" s="388"/>
      <c r="T107" s="388"/>
      <c r="U107" s="388"/>
      <c r="V107" s="388"/>
      <c r="W107" s="388"/>
      <c r="X107" s="407"/>
      <c r="AN107" s="5"/>
    </row>
    <row r="108" spans="1:40" x14ac:dyDescent="0.25">
      <c r="A108" s="388"/>
      <c r="B108" s="388"/>
      <c r="C108" s="388"/>
      <c r="D108" s="388"/>
      <c r="E108" s="430"/>
      <c r="F108" s="388"/>
      <c r="G108" s="388"/>
      <c r="H108" s="407"/>
      <c r="I108" s="388"/>
      <c r="J108" s="407"/>
      <c r="K108" s="407"/>
      <c r="L108" s="407"/>
      <c r="M108" s="388"/>
      <c r="N108" s="388"/>
      <c r="O108" s="388"/>
      <c r="P108" s="388"/>
      <c r="Q108" s="388"/>
      <c r="R108" s="388"/>
      <c r="S108" s="388"/>
      <c r="T108" s="388"/>
      <c r="U108" s="388"/>
      <c r="V108" s="388"/>
      <c r="W108" s="388"/>
      <c r="X108" s="407"/>
      <c r="AN108" s="5"/>
    </row>
    <row r="109" spans="1:40" x14ac:dyDescent="0.25">
      <c r="A109" s="388"/>
      <c r="B109" s="388"/>
      <c r="C109" s="388"/>
      <c r="D109" s="388"/>
      <c r="E109" s="430"/>
      <c r="F109" s="388"/>
      <c r="G109" s="388"/>
      <c r="H109" s="407"/>
      <c r="I109" s="388"/>
      <c r="J109" s="407"/>
      <c r="K109" s="407"/>
      <c r="L109" s="407"/>
      <c r="M109" s="388"/>
      <c r="N109" s="388"/>
      <c r="O109" s="388"/>
      <c r="P109" s="388"/>
      <c r="Q109" s="388"/>
      <c r="R109" s="388"/>
      <c r="S109" s="388"/>
      <c r="T109" s="388"/>
      <c r="U109" s="388"/>
      <c r="V109" s="388"/>
      <c r="W109" s="388"/>
      <c r="X109" s="407"/>
      <c r="AN109" s="5"/>
    </row>
    <row r="110" spans="1:40" x14ac:dyDescent="0.25">
      <c r="A110" s="388"/>
      <c r="B110" s="388"/>
      <c r="C110" s="388"/>
      <c r="D110" s="388"/>
      <c r="E110" s="430"/>
      <c r="F110" s="388"/>
      <c r="G110" s="388"/>
      <c r="H110" s="407"/>
      <c r="I110" s="388"/>
      <c r="J110" s="407"/>
      <c r="K110" s="407"/>
      <c r="L110" s="407"/>
      <c r="M110" s="388"/>
      <c r="N110" s="388"/>
      <c r="O110" s="388"/>
      <c r="P110" s="388"/>
      <c r="Q110" s="388"/>
      <c r="R110" s="388"/>
      <c r="S110" s="388"/>
      <c r="T110" s="388"/>
      <c r="U110" s="388"/>
      <c r="V110" s="388"/>
      <c r="W110" s="388"/>
      <c r="X110" s="407"/>
      <c r="AN110" s="5"/>
    </row>
    <row r="111" spans="1:40" x14ac:dyDescent="0.25">
      <c r="A111" s="388"/>
      <c r="B111" s="388"/>
      <c r="C111" s="388"/>
      <c r="D111" s="388"/>
      <c r="E111" s="430"/>
      <c r="F111" s="388"/>
      <c r="G111" s="388"/>
      <c r="H111" s="407"/>
      <c r="I111" s="388"/>
      <c r="J111" s="407"/>
      <c r="K111" s="407"/>
      <c r="L111" s="407"/>
      <c r="M111" s="388"/>
      <c r="N111" s="388"/>
      <c r="O111" s="388"/>
      <c r="P111" s="388"/>
      <c r="Q111" s="388"/>
      <c r="R111" s="388"/>
      <c r="S111" s="388"/>
      <c r="T111" s="388"/>
      <c r="U111" s="388"/>
      <c r="V111" s="388"/>
      <c r="W111" s="388"/>
      <c r="X111" s="407"/>
      <c r="AN111" s="5"/>
    </row>
    <row r="112" spans="1:40" x14ac:dyDescent="0.25">
      <c r="A112" s="388"/>
      <c r="B112" s="388"/>
      <c r="C112" s="388"/>
      <c r="D112" s="388"/>
      <c r="E112" s="430"/>
      <c r="F112" s="388"/>
      <c r="G112" s="388"/>
      <c r="H112" s="407"/>
      <c r="I112" s="388"/>
      <c r="J112" s="407"/>
      <c r="K112" s="407"/>
      <c r="L112" s="407"/>
      <c r="M112" s="388"/>
      <c r="N112" s="388"/>
      <c r="O112" s="388"/>
      <c r="P112" s="388"/>
      <c r="Q112" s="388"/>
      <c r="R112" s="388"/>
      <c r="S112" s="388"/>
      <c r="T112" s="388"/>
      <c r="U112" s="388"/>
      <c r="V112" s="388"/>
      <c r="W112" s="388"/>
      <c r="X112" s="407"/>
      <c r="AN112" s="5"/>
    </row>
    <row r="113" spans="1:40" x14ac:dyDescent="0.25">
      <c r="A113" s="388"/>
      <c r="B113" s="388"/>
      <c r="C113" s="388"/>
      <c r="D113" s="388"/>
      <c r="E113" s="430"/>
      <c r="F113" s="388"/>
      <c r="G113" s="388"/>
      <c r="H113" s="407"/>
      <c r="I113" s="388"/>
      <c r="J113" s="407"/>
      <c r="K113" s="407"/>
      <c r="L113" s="407"/>
      <c r="M113" s="388"/>
      <c r="N113" s="388"/>
      <c r="O113" s="388"/>
      <c r="P113" s="388"/>
      <c r="Q113" s="388"/>
      <c r="R113" s="388"/>
      <c r="S113" s="388"/>
      <c r="T113" s="388"/>
      <c r="U113" s="388"/>
      <c r="V113" s="388"/>
      <c r="W113" s="388"/>
      <c r="X113" s="407"/>
      <c r="AN113" s="5"/>
    </row>
    <row r="114" spans="1:40" x14ac:dyDescent="0.25">
      <c r="A114" s="388"/>
      <c r="B114" s="388"/>
      <c r="C114" s="388"/>
      <c r="D114" s="388"/>
      <c r="E114" s="430"/>
      <c r="F114" s="388"/>
      <c r="G114" s="388"/>
      <c r="H114" s="407"/>
      <c r="I114" s="388"/>
      <c r="J114" s="407"/>
      <c r="K114" s="407"/>
      <c r="L114" s="407"/>
      <c r="M114" s="388"/>
      <c r="N114" s="388"/>
      <c r="O114" s="388"/>
      <c r="P114" s="388"/>
      <c r="Q114" s="388"/>
      <c r="R114" s="388"/>
      <c r="S114" s="388"/>
      <c r="T114" s="388"/>
      <c r="U114" s="388"/>
      <c r="V114" s="388"/>
      <c r="W114" s="388"/>
      <c r="X114" s="407"/>
      <c r="AN114" s="5"/>
    </row>
    <row r="115" spans="1:40" x14ac:dyDescent="0.25">
      <c r="A115" s="388"/>
      <c r="B115" s="388"/>
      <c r="C115" s="388"/>
      <c r="D115" s="388"/>
      <c r="E115" s="430"/>
      <c r="F115" s="388"/>
      <c r="G115" s="388"/>
      <c r="H115" s="407"/>
      <c r="I115" s="388"/>
      <c r="J115" s="407"/>
      <c r="K115" s="407"/>
      <c r="L115" s="407"/>
      <c r="M115" s="388"/>
      <c r="N115" s="388"/>
      <c r="O115" s="388"/>
      <c r="P115" s="388"/>
      <c r="Q115" s="388"/>
      <c r="R115" s="388"/>
      <c r="S115" s="388"/>
      <c r="T115" s="388"/>
      <c r="U115" s="388"/>
      <c r="V115" s="388"/>
      <c r="W115" s="388"/>
      <c r="X115" s="407"/>
      <c r="AN115" s="5"/>
    </row>
    <row r="116" spans="1:40" x14ac:dyDescent="0.25">
      <c r="A116" s="388"/>
      <c r="B116" s="388"/>
      <c r="C116" s="388"/>
      <c r="D116" s="388"/>
      <c r="E116" s="430"/>
      <c r="F116" s="388"/>
      <c r="G116" s="388"/>
      <c r="H116" s="407"/>
      <c r="I116" s="388"/>
      <c r="J116" s="407"/>
      <c r="K116" s="407"/>
      <c r="L116" s="407"/>
      <c r="M116" s="388"/>
      <c r="N116" s="388"/>
      <c r="O116" s="388"/>
      <c r="P116" s="388"/>
      <c r="Q116" s="388"/>
      <c r="R116" s="388"/>
      <c r="S116" s="388"/>
      <c r="T116" s="388"/>
      <c r="U116" s="388"/>
      <c r="V116" s="388"/>
      <c r="W116" s="388"/>
      <c r="X116" s="407"/>
      <c r="AN116" s="5"/>
    </row>
    <row r="117" spans="1:40" x14ac:dyDescent="0.25">
      <c r="A117" s="388"/>
      <c r="B117" s="388"/>
      <c r="C117" s="388"/>
      <c r="D117" s="388"/>
      <c r="E117" s="430"/>
      <c r="F117" s="388"/>
      <c r="G117" s="388"/>
      <c r="H117" s="407"/>
      <c r="I117" s="388"/>
      <c r="J117" s="407"/>
      <c r="K117" s="407"/>
      <c r="L117" s="407"/>
      <c r="M117" s="388"/>
      <c r="N117" s="388"/>
      <c r="O117" s="388"/>
      <c r="P117" s="388"/>
      <c r="Q117" s="388"/>
      <c r="R117" s="388"/>
      <c r="S117" s="388"/>
      <c r="T117" s="388"/>
      <c r="U117" s="388"/>
      <c r="V117" s="388"/>
      <c r="W117" s="388"/>
      <c r="X117" s="407"/>
      <c r="AN117" s="5"/>
    </row>
  </sheetData>
  <mergeCells count="14">
    <mergeCell ref="G39:H39"/>
    <mergeCell ref="G22:H22"/>
    <mergeCell ref="G5:H5"/>
    <mergeCell ref="I5:J5"/>
    <mergeCell ref="G21:H21"/>
    <mergeCell ref="I21:J21"/>
    <mergeCell ref="G38:H38"/>
    <mergeCell ref="I38:J38"/>
    <mergeCell ref="G73:H73"/>
    <mergeCell ref="G56:H56"/>
    <mergeCell ref="G55:H55"/>
    <mergeCell ref="I55:J55"/>
    <mergeCell ref="G72:H72"/>
    <mergeCell ref="I72:J7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Q42"/>
  <sheetViews>
    <sheetView workbookViewId="0">
      <selection activeCell="I43" sqref="I43"/>
    </sheetView>
  </sheetViews>
  <sheetFormatPr defaultRowHeight="15" x14ac:dyDescent="0.25"/>
  <cols>
    <col min="1" max="5" width="9.140625" style="187"/>
    <col min="6" max="6" width="10.42578125" style="187" customWidth="1"/>
    <col min="7" max="7" width="9" style="187" customWidth="1"/>
    <col min="8" max="8" width="15.140625" style="187" customWidth="1"/>
    <col min="9" max="9" width="5.42578125" style="188" customWidth="1"/>
    <col min="10" max="10" width="16.28515625" style="187" customWidth="1"/>
    <col min="11" max="11" width="17.7109375" style="187" customWidth="1"/>
    <col min="12" max="16384" width="9.140625" style="187"/>
  </cols>
  <sheetData>
    <row r="2" spans="1:17" x14ac:dyDescent="0.25">
      <c r="A2" s="187" t="s">
        <v>21</v>
      </c>
      <c r="B2" s="187" t="s">
        <v>22</v>
      </c>
      <c r="C2" s="187" t="s">
        <v>23</v>
      </c>
      <c r="E2" s="187" t="s">
        <v>1</v>
      </c>
      <c r="F2" s="187" t="s">
        <v>88</v>
      </c>
      <c r="G2" s="187" t="s">
        <v>1</v>
      </c>
      <c r="H2" s="187" t="s">
        <v>18</v>
      </c>
      <c r="J2" s="400" t="s">
        <v>128</v>
      </c>
      <c r="K2" s="401" t="s">
        <v>24</v>
      </c>
      <c r="M2" s="187" t="s">
        <v>130</v>
      </c>
      <c r="P2" s="331"/>
      <c r="Q2" s="402" t="b">
        <v>1</v>
      </c>
    </row>
    <row r="3" spans="1:17" x14ac:dyDescent="0.25">
      <c r="A3" s="187">
        <v>0</v>
      </c>
      <c r="B3" s="187" t="s">
        <v>612</v>
      </c>
      <c r="C3" s="187" t="s">
        <v>611</v>
      </c>
      <c r="K3" s="188"/>
    </row>
    <row r="4" spans="1:17" x14ac:dyDescent="0.25">
      <c r="A4" s="187">
        <v>1</v>
      </c>
      <c r="B4" s="187" t="s">
        <v>610</v>
      </c>
      <c r="C4" s="187" t="s">
        <v>613</v>
      </c>
      <c r="E4" s="189">
        <v>12</v>
      </c>
      <c r="F4" s="189" t="s">
        <v>9</v>
      </c>
      <c r="G4" s="189">
        <v>0</v>
      </c>
      <c r="H4" s="189" t="s">
        <v>90</v>
      </c>
      <c r="J4" s="400" t="s">
        <v>2</v>
      </c>
      <c r="K4" s="188">
        <v>1</v>
      </c>
    </row>
    <row r="5" spans="1:17" x14ac:dyDescent="0.25">
      <c r="A5" s="187">
        <v>2</v>
      </c>
      <c r="B5" s="187" t="s">
        <v>0</v>
      </c>
      <c r="C5" s="187" t="s">
        <v>0</v>
      </c>
      <c r="E5" s="189">
        <v>24</v>
      </c>
      <c r="F5" s="189" t="s">
        <v>10</v>
      </c>
      <c r="G5" s="189">
        <v>12</v>
      </c>
      <c r="H5" s="189" t="s">
        <v>127</v>
      </c>
      <c r="J5" s="400" t="s">
        <v>3</v>
      </c>
      <c r="K5" s="188">
        <v>2</v>
      </c>
    </row>
    <row r="6" spans="1:17" x14ac:dyDescent="0.25">
      <c r="A6" s="187">
        <v>3</v>
      </c>
      <c r="B6" s="187" t="s">
        <v>603</v>
      </c>
      <c r="C6" s="187" t="s">
        <v>603</v>
      </c>
      <c r="E6" s="189">
        <v>48</v>
      </c>
      <c r="F6" s="189" t="s">
        <v>91</v>
      </c>
      <c r="G6" s="189">
        <v>24</v>
      </c>
      <c r="H6" s="189" t="s">
        <v>19</v>
      </c>
      <c r="J6" s="400" t="s">
        <v>7</v>
      </c>
      <c r="K6" s="188">
        <v>3</v>
      </c>
      <c r="M6" s="400"/>
    </row>
    <row r="7" spans="1:17" x14ac:dyDescent="0.25">
      <c r="A7" s="187">
        <v>4</v>
      </c>
      <c r="B7" s="187" t="s">
        <v>25</v>
      </c>
      <c r="C7" s="187" t="s">
        <v>26</v>
      </c>
      <c r="E7" s="189">
        <v>60</v>
      </c>
      <c r="F7" s="189" t="s">
        <v>92</v>
      </c>
      <c r="G7" s="189">
        <v>36</v>
      </c>
      <c r="H7" s="189" t="s">
        <v>93</v>
      </c>
      <c r="J7" s="187" t="s">
        <v>4</v>
      </c>
      <c r="K7" s="188">
        <v>4</v>
      </c>
    </row>
    <row r="8" spans="1:17" x14ac:dyDescent="0.25">
      <c r="A8" s="187">
        <v>5</v>
      </c>
      <c r="B8" s="187" t="s">
        <v>27</v>
      </c>
      <c r="C8" s="187" t="s">
        <v>28</v>
      </c>
      <c r="E8" s="189">
        <v>72</v>
      </c>
      <c r="F8" s="189" t="s">
        <v>94</v>
      </c>
      <c r="G8" s="189">
        <v>48</v>
      </c>
      <c r="H8" s="189" t="s">
        <v>95</v>
      </c>
      <c r="J8" s="400" t="s">
        <v>5</v>
      </c>
      <c r="K8" s="401">
        <v>5</v>
      </c>
    </row>
    <row r="9" spans="1:17" x14ac:dyDescent="0.25">
      <c r="A9" s="187">
        <v>6</v>
      </c>
      <c r="B9" s="187" t="s">
        <v>107</v>
      </c>
      <c r="C9" s="187" t="s">
        <v>108</v>
      </c>
      <c r="E9" s="189">
        <v>84</v>
      </c>
      <c r="F9" s="189" t="s">
        <v>96</v>
      </c>
      <c r="G9" s="189">
        <v>60</v>
      </c>
      <c r="H9" s="189" t="s">
        <v>97</v>
      </c>
      <c r="J9" s="400" t="s">
        <v>37</v>
      </c>
      <c r="K9" s="188">
        <v>6</v>
      </c>
    </row>
    <row r="10" spans="1:17" x14ac:dyDescent="0.25">
      <c r="A10" s="187">
        <v>7</v>
      </c>
      <c r="B10" s="187" t="s">
        <v>29</v>
      </c>
      <c r="C10" s="187" t="s">
        <v>30</v>
      </c>
      <c r="E10" s="189">
        <v>96</v>
      </c>
      <c r="F10" s="189" t="s">
        <v>98</v>
      </c>
      <c r="G10" s="189">
        <v>72</v>
      </c>
      <c r="H10" s="189" t="s">
        <v>99</v>
      </c>
      <c r="J10" s="400" t="s">
        <v>6</v>
      </c>
      <c r="K10" s="188">
        <v>7</v>
      </c>
    </row>
    <row r="11" spans="1:17" x14ac:dyDescent="0.25">
      <c r="A11" s="187">
        <v>8</v>
      </c>
      <c r="B11" s="187" t="s">
        <v>31</v>
      </c>
      <c r="C11" s="187" t="s">
        <v>32</v>
      </c>
      <c r="E11" s="189">
        <v>108</v>
      </c>
      <c r="F11" s="189" t="s">
        <v>100</v>
      </c>
      <c r="G11" s="189">
        <v>84</v>
      </c>
      <c r="H11" s="189" t="s">
        <v>101</v>
      </c>
      <c r="J11" s="187" t="s">
        <v>20</v>
      </c>
      <c r="K11" s="188">
        <v>8</v>
      </c>
    </row>
    <row r="12" spans="1:17" x14ac:dyDescent="0.25">
      <c r="A12" s="187">
        <v>9</v>
      </c>
      <c r="B12" s="187" t="s">
        <v>33</v>
      </c>
      <c r="C12" s="187" t="s">
        <v>34</v>
      </c>
      <c r="E12" s="189">
        <v>120</v>
      </c>
      <c r="F12" s="189" t="s">
        <v>102</v>
      </c>
      <c r="G12" s="189">
        <v>96</v>
      </c>
      <c r="H12" s="189" t="s">
        <v>103</v>
      </c>
      <c r="L12" s="188"/>
    </row>
    <row r="13" spans="1:17" x14ac:dyDescent="0.25">
      <c r="A13" s="187">
        <v>10</v>
      </c>
      <c r="B13" s="187" t="s">
        <v>35</v>
      </c>
      <c r="C13" s="187" t="s">
        <v>36</v>
      </c>
      <c r="E13" s="189">
        <v>1000</v>
      </c>
      <c r="F13" s="189" t="s">
        <v>89</v>
      </c>
      <c r="G13" s="189">
        <v>108</v>
      </c>
      <c r="H13" s="189" t="s">
        <v>104</v>
      </c>
      <c r="L13" s="188"/>
    </row>
    <row r="14" spans="1:17" x14ac:dyDescent="0.25">
      <c r="A14" s="187">
        <v>11</v>
      </c>
      <c r="B14" s="187" t="s">
        <v>38</v>
      </c>
      <c r="C14" s="187" t="s">
        <v>39</v>
      </c>
      <c r="J14" s="400" t="s">
        <v>129</v>
      </c>
      <c r="K14" s="188"/>
    </row>
    <row r="15" spans="1:17" x14ac:dyDescent="0.25">
      <c r="A15" s="187">
        <v>12</v>
      </c>
      <c r="B15" s="187" t="s">
        <v>40</v>
      </c>
      <c r="C15" s="187" t="s">
        <v>41</v>
      </c>
      <c r="K15" s="188"/>
    </row>
    <row r="16" spans="1:17" x14ac:dyDescent="0.25">
      <c r="A16" s="187">
        <v>13</v>
      </c>
      <c r="B16" s="187" t="s">
        <v>42</v>
      </c>
      <c r="C16" s="187" t="s">
        <v>43</v>
      </c>
      <c r="J16" s="400" t="s">
        <v>54</v>
      </c>
      <c r="K16" s="401" t="s">
        <v>55</v>
      </c>
      <c r="L16" s="400" t="s">
        <v>12</v>
      </c>
    </row>
    <row r="17" spans="1:12" x14ac:dyDescent="0.25">
      <c r="A17" s="187">
        <v>14</v>
      </c>
      <c r="B17" s="187" t="s">
        <v>44</v>
      </c>
      <c r="C17" s="187" t="s">
        <v>45</v>
      </c>
      <c r="J17" s="400" t="s">
        <v>58</v>
      </c>
      <c r="K17" s="401" t="s">
        <v>59</v>
      </c>
      <c r="L17" s="400" t="s">
        <v>15</v>
      </c>
    </row>
    <row r="18" spans="1:12" x14ac:dyDescent="0.25">
      <c r="A18" s="187">
        <v>15</v>
      </c>
      <c r="B18" s="187" t="s">
        <v>46</v>
      </c>
      <c r="C18" s="187" t="s">
        <v>47</v>
      </c>
      <c r="J18" s="400" t="s">
        <v>62</v>
      </c>
      <c r="K18" s="401" t="s">
        <v>15</v>
      </c>
      <c r="L18" s="400" t="s">
        <v>13</v>
      </c>
    </row>
    <row r="19" spans="1:12" x14ac:dyDescent="0.25">
      <c r="A19" s="187">
        <v>16</v>
      </c>
      <c r="B19" s="187" t="s">
        <v>48</v>
      </c>
      <c r="C19" s="187" t="s">
        <v>49</v>
      </c>
      <c r="J19" s="400" t="s">
        <v>65</v>
      </c>
      <c r="K19" s="401" t="s">
        <v>66</v>
      </c>
      <c r="L19" s="400" t="s">
        <v>16</v>
      </c>
    </row>
    <row r="20" spans="1:12" x14ac:dyDescent="0.25">
      <c r="A20" s="187">
        <v>17</v>
      </c>
      <c r="B20" s="187" t="s">
        <v>50</v>
      </c>
      <c r="C20" s="187" t="s">
        <v>51</v>
      </c>
      <c r="J20" s="400" t="s">
        <v>69</v>
      </c>
      <c r="K20" s="401" t="s">
        <v>70</v>
      </c>
      <c r="L20" s="400" t="s">
        <v>17</v>
      </c>
    </row>
    <row r="21" spans="1:12" x14ac:dyDescent="0.25">
      <c r="A21" s="187">
        <v>18</v>
      </c>
      <c r="B21" s="187" t="s">
        <v>52</v>
      </c>
      <c r="C21" s="187" t="s">
        <v>53</v>
      </c>
      <c r="J21" s="400" t="s">
        <v>73</v>
      </c>
      <c r="K21" s="401" t="s">
        <v>74</v>
      </c>
      <c r="L21" s="400" t="s">
        <v>59</v>
      </c>
    </row>
    <row r="22" spans="1:12" x14ac:dyDescent="0.25">
      <c r="A22" s="187">
        <v>19</v>
      </c>
      <c r="B22" s="187" t="s">
        <v>56</v>
      </c>
      <c r="C22" s="187" t="s">
        <v>57</v>
      </c>
      <c r="J22" s="400" t="s">
        <v>77</v>
      </c>
      <c r="K22" s="401" t="s">
        <v>17</v>
      </c>
      <c r="L22" s="400" t="s">
        <v>14</v>
      </c>
    </row>
    <row r="23" spans="1:12" x14ac:dyDescent="0.25">
      <c r="A23" s="187">
        <v>20</v>
      </c>
      <c r="B23" s="187" t="s">
        <v>60</v>
      </c>
      <c r="C23" s="187" t="s">
        <v>61</v>
      </c>
      <c r="J23" s="400" t="s">
        <v>80</v>
      </c>
      <c r="K23" s="401" t="s">
        <v>12</v>
      </c>
      <c r="L23" s="400" t="s">
        <v>11</v>
      </c>
    </row>
    <row r="24" spans="1:12" x14ac:dyDescent="0.25">
      <c r="A24" s="187">
        <v>21</v>
      </c>
      <c r="B24" s="187" t="s">
        <v>63</v>
      </c>
      <c r="C24" s="187" t="s">
        <v>64</v>
      </c>
    </row>
    <row r="25" spans="1:12" x14ac:dyDescent="0.25">
      <c r="A25" s="187">
        <v>22</v>
      </c>
      <c r="B25" s="187" t="s">
        <v>67</v>
      </c>
      <c r="C25" s="187" t="s">
        <v>68</v>
      </c>
    </row>
    <row r="26" spans="1:12" x14ac:dyDescent="0.25">
      <c r="A26" s="187">
        <v>23</v>
      </c>
      <c r="B26" s="187" t="s">
        <v>71</v>
      </c>
      <c r="C26" s="187" t="s">
        <v>72</v>
      </c>
    </row>
    <row r="27" spans="1:12" x14ac:dyDescent="0.25">
      <c r="A27" s="187">
        <v>24</v>
      </c>
      <c r="B27" s="187" t="s">
        <v>75</v>
      </c>
      <c r="C27" s="187" t="s">
        <v>76</v>
      </c>
    </row>
    <row r="28" spans="1:12" x14ac:dyDescent="0.25">
      <c r="A28" s="187">
        <v>25</v>
      </c>
      <c r="B28" s="187" t="s">
        <v>109</v>
      </c>
      <c r="C28" s="187" t="s">
        <v>110</v>
      </c>
    </row>
    <row r="29" spans="1:12" x14ac:dyDescent="0.25">
      <c r="A29" s="187">
        <v>26</v>
      </c>
      <c r="B29" s="187" t="s">
        <v>78</v>
      </c>
      <c r="C29" s="187" t="s">
        <v>79</v>
      </c>
    </row>
    <row r="30" spans="1:12" x14ac:dyDescent="0.25">
      <c r="A30" s="187">
        <v>27</v>
      </c>
      <c r="B30" s="187" t="s">
        <v>81</v>
      </c>
      <c r="C30" s="187" t="s">
        <v>82</v>
      </c>
    </row>
    <row r="31" spans="1:12" x14ac:dyDescent="0.25">
      <c r="A31" s="187">
        <v>28</v>
      </c>
      <c r="B31" s="187" t="s">
        <v>8</v>
      </c>
      <c r="C31" s="187" t="s">
        <v>83</v>
      </c>
    </row>
    <row r="32" spans="1:12" x14ac:dyDescent="0.25">
      <c r="A32" s="187">
        <v>29</v>
      </c>
      <c r="B32" s="187" t="s">
        <v>84</v>
      </c>
      <c r="C32" s="187" t="s">
        <v>85</v>
      </c>
    </row>
    <row r="33" spans="1:3" x14ac:dyDescent="0.25">
      <c r="A33" s="187">
        <v>30</v>
      </c>
      <c r="B33" s="187" t="s">
        <v>86</v>
      </c>
      <c r="C33" s="187" t="s">
        <v>87</v>
      </c>
    </row>
    <row r="34" spans="1:3" x14ac:dyDescent="0.25">
      <c r="A34" s="187">
        <v>31</v>
      </c>
      <c r="B34" s="187" t="s">
        <v>105</v>
      </c>
      <c r="C34" s="187" t="s">
        <v>106</v>
      </c>
    </row>
    <row r="35" spans="1:3" x14ac:dyDescent="0.25">
      <c r="A35" s="187">
        <v>32</v>
      </c>
      <c r="B35" s="187" t="s">
        <v>111</v>
      </c>
      <c r="C35" s="187" t="s">
        <v>112</v>
      </c>
    </row>
    <row r="36" spans="1:3" x14ac:dyDescent="0.25">
      <c r="A36" s="187">
        <v>33</v>
      </c>
      <c r="B36" s="187" t="s">
        <v>113</v>
      </c>
      <c r="C36" s="187" t="s">
        <v>114</v>
      </c>
    </row>
    <row r="37" spans="1:3" x14ac:dyDescent="0.25">
      <c r="A37" s="187">
        <v>34</v>
      </c>
      <c r="B37" s="187" t="s">
        <v>115</v>
      </c>
      <c r="C37" s="187" t="s">
        <v>116</v>
      </c>
    </row>
    <row r="38" spans="1:3" x14ac:dyDescent="0.25">
      <c r="A38" s="187">
        <v>35</v>
      </c>
      <c r="B38" s="187" t="s">
        <v>117</v>
      </c>
      <c r="C38" s="187" t="s">
        <v>118</v>
      </c>
    </row>
    <row r="39" spans="1:3" x14ac:dyDescent="0.25">
      <c r="A39" s="187">
        <v>36</v>
      </c>
      <c r="B39" s="187" t="s">
        <v>119</v>
      </c>
      <c r="C39" s="187" t="s">
        <v>120</v>
      </c>
    </row>
    <row r="40" spans="1:3" x14ac:dyDescent="0.25">
      <c r="A40" s="187">
        <v>37</v>
      </c>
      <c r="B40" s="187" t="s">
        <v>121</v>
      </c>
      <c r="C40" s="187" t="s">
        <v>122</v>
      </c>
    </row>
    <row r="41" spans="1:3" x14ac:dyDescent="0.25">
      <c r="A41" s="187">
        <v>38</v>
      </c>
      <c r="B41" s="187" t="s">
        <v>123</v>
      </c>
      <c r="C41" s="187" t="s">
        <v>124</v>
      </c>
    </row>
    <row r="42" spans="1:3" x14ac:dyDescent="0.25">
      <c r="A42" s="187">
        <v>39</v>
      </c>
      <c r="B42" s="187" t="s">
        <v>125</v>
      </c>
      <c r="C42" s="18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111</vt:i4>
      </vt:variant>
    </vt:vector>
  </HeadingPairs>
  <TitlesOfParts>
    <vt:vector size="121" baseType="lpstr">
      <vt:lpstr>User</vt:lpstr>
      <vt:lpstr>Model</vt:lpstr>
      <vt:lpstr>Surv</vt:lpstr>
      <vt:lpstr>Abattoir</vt:lpstr>
      <vt:lpstr>SRM</vt:lpstr>
      <vt:lpstr>Processing</vt:lpstr>
      <vt:lpstr>Infectivity</vt:lpstr>
      <vt:lpstr>RiskSerializationData</vt:lpstr>
      <vt:lpstr>Results (2)</vt:lpstr>
      <vt:lpstr>KEY</vt:lpstr>
      <vt:lpstr>Age</vt:lpstr>
      <vt:lpstr>Age_exposure</vt:lpstr>
      <vt:lpstr>Age_postinf</vt:lpstr>
      <vt:lpstr>Age_slaughter</vt:lpstr>
      <vt:lpstr>BOunit</vt:lpstr>
      <vt:lpstr>CInf</vt:lpstr>
      <vt:lpstr>CInf_1</vt:lpstr>
      <vt:lpstr>CInf_2</vt:lpstr>
      <vt:lpstr>CInf_3</vt:lpstr>
      <vt:lpstr>CInf_3i</vt:lpstr>
      <vt:lpstr>CInf_4</vt:lpstr>
      <vt:lpstr>CInf_5</vt:lpstr>
      <vt:lpstr>CInf_6</vt:lpstr>
      <vt:lpstr>CInf_7</vt:lpstr>
      <vt:lpstr>CInf_8</vt:lpstr>
      <vt:lpstr>CInf_9</vt:lpstr>
      <vt:lpstr>CLengh_1</vt:lpstr>
      <vt:lpstr>CLength_1</vt:lpstr>
      <vt:lpstr>CLength_2</vt:lpstr>
      <vt:lpstr>CLength_3</vt:lpstr>
      <vt:lpstr>CLength_3i</vt:lpstr>
      <vt:lpstr>CLength_4</vt:lpstr>
      <vt:lpstr>CLength_5</vt:lpstr>
      <vt:lpstr>CLength_9</vt:lpstr>
      <vt:lpstr>ColonIntestcorr</vt:lpstr>
      <vt:lpstr>Cumul_carcases</vt:lpstr>
      <vt:lpstr>Date</vt:lpstr>
      <vt:lpstr>End</vt:lpstr>
      <vt:lpstr>Fixed_carcases</vt:lpstr>
      <vt:lpstr>Ileocorr</vt:lpstr>
      <vt:lpstr>Inf</vt:lpstr>
      <vt:lpstr>Inf_1</vt:lpstr>
      <vt:lpstr>Inf_2</vt:lpstr>
      <vt:lpstr>Inf_3</vt:lpstr>
      <vt:lpstr>Inf_3i</vt:lpstr>
      <vt:lpstr>Inf_4</vt:lpstr>
      <vt:lpstr>Inf_5</vt:lpstr>
      <vt:lpstr>Inf_6</vt:lpstr>
      <vt:lpstr>Inf_7</vt:lpstr>
      <vt:lpstr>Inf_8</vt:lpstr>
      <vt:lpstr>Inf_9</vt:lpstr>
      <vt:lpstr>Inf_yr</vt:lpstr>
      <vt:lpstr>Inf_yr_1</vt:lpstr>
      <vt:lpstr>Inf_yr_2</vt:lpstr>
      <vt:lpstr>Inf_yr_3</vt:lpstr>
      <vt:lpstr>Inf_yr_3i</vt:lpstr>
      <vt:lpstr>Inf_yr_4</vt:lpstr>
      <vt:lpstr>Inf_yr_5</vt:lpstr>
      <vt:lpstr>Inf_yr_6</vt:lpstr>
      <vt:lpstr>Inf_yr_7</vt:lpstr>
      <vt:lpstr>Inf_yr_8</vt:lpstr>
      <vt:lpstr>Inf_yr_9</vt:lpstr>
      <vt:lpstr>Infm_1</vt:lpstr>
      <vt:lpstr>Infm_2</vt:lpstr>
      <vt:lpstr>Infm_3</vt:lpstr>
      <vt:lpstr>Infm_3i</vt:lpstr>
      <vt:lpstr>Infm_4</vt:lpstr>
      <vt:lpstr>Infm_5</vt:lpstr>
      <vt:lpstr>Infm_9</vt:lpstr>
      <vt:lpstr>Length_yr1</vt:lpstr>
      <vt:lpstr>Length_yr2</vt:lpstr>
      <vt:lpstr>Length_yr3</vt:lpstr>
      <vt:lpstr>Length_yr3i</vt:lpstr>
      <vt:lpstr>Length_yr4</vt:lpstr>
      <vt:lpstr>Length_yr5</vt:lpstr>
      <vt:lpstr>Length_yr9</vt:lpstr>
      <vt:lpstr>Mesentericwts</vt:lpstr>
      <vt:lpstr>N_carcases</vt:lpstr>
      <vt:lpstr>P_processing_1</vt:lpstr>
      <vt:lpstr>P_processing_2</vt:lpstr>
      <vt:lpstr>P_processing_3</vt:lpstr>
      <vt:lpstr>P_processing_4</vt:lpstr>
      <vt:lpstr>P_processing_5</vt:lpstr>
      <vt:lpstr>P_processing_6</vt:lpstr>
      <vt:lpstr>P_processing_7</vt:lpstr>
      <vt:lpstr>P_processing_8</vt:lpstr>
      <vt:lpstr>Scenario</vt:lpstr>
      <vt:lpstr>Tgunit</vt:lpstr>
      <vt:lpstr>Titre_1</vt:lpstr>
      <vt:lpstr>Titre_1_m</vt:lpstr>
      <vt:lpstr>Titre_2</vt:lpstr>
      <vt:lpstr>Titre_3i</vt:lpstr>
      <vt:lpstr>Titre_3ii</vt:lpstr>
      <vt:lpstr>Titre_4</vt:lpstr>
      <vt:lpstr>Titre_5</vt:lpstr>
      <vt:lpstr>Titre_6</vt:lpstr>
      <vt:lpstr>Titre_6_m</vt:lpstr>
      <vt:lpstr>Titre_7</vt:lpstr>
      <vt:lpstr>Titre_7_m</vt:lpstr>
      <vt:lpstr>Titre_8</vt:lpstr>
      <vt:lpstr>Titre_8_m</vt:lpstr>
      <vt:lpstr>Titre_lower</vt:lpstr>
      <vt:lpstr>TitreBO_1</vt:lpstr>
      <vt:lpstr>TitreBO_2</vt:lpstr>
      <vt:lpstr>TitreBO_3i</vt:lpstr>
      <vt:lpstr>TitreBO_3ii</vt:lpstr>
      <vt:lpstr>TitreBO_4</vt:lpstr>
      <vt:lpstr>TitreBO_5</vt:lpstr>
      <vt:lpstr>TitreBO_6</vt:lpstr>
      <vt:lpstr>TitreBO_7</vt:lpstr>
      <vt:lpstr>TitreBO_8</vt:lpstr>
      <vt:lpstr>Uncertainty</vt:lpstr>
      <vt:lpstr>Weight_1</vt:lpstr>
      <vt:lpstr>Weight_2</vt:lpstr>
      <vt:lpstr>Weight_3i</vt:lpstr>
      <vt:lpstr>Weight_3ii</vt:lpstr>
      <vt:lpstr>Weight_4</vt:lpstr>
      <vt:lpstr>Weight_5</vt:lpstr>
      <vt:lpstr>Weight_6</vt:lpstr>
      <vt:lpstr>Weight_7</vt:lpstr>
      <vt:lpstr>Weight_8</vt:lpstr>
    </vt:vector>
  </TitlesOfParts>
  <Company>Veterinary Laboratories Agency</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Adkin, Amie (AHVLA)</dc:creator>
  <cp:lastModifiedBy>Adkin, Amie (AHVLA)</cp:lastModifiedBy>
  <dcterms:created xsi:type="dcterms:W3CDTF">2013-04-12T18:48:45Z</dcterms:created>
  <dcterms:modified xsi:type="dcterms:W3CDTF">2014-09-05T11:32:37Z</dcterms:modified>
</cp:coreProperties>
</file>