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15180" windowHeight="7560"/>
  </bookViews>
  <sheets>
    <sheet name="User" sheetId="10" r:id="rId1"/>
    <sheet name="Model" sheetId="5" r:id="rId2"/>
    <sheet name="Surv" sheetId="1" r:id="rId3"/>
    <sheet name="Abattoir" sheetId="2" r:id="rId4"/>
    <sheet name="SRM" sheetId="6" r:id="rId5"/>
    <sheet name="Processing" sheetId="7" r:id="rId6"/>
    <sheet name="Infectivity" sheetId="4" r:id="rId7"/>
    <sheet name="_@RISKFitInformation" sheetId="9" state="hidden" r:id="rId8"/>
    <sheet name="Results" sheetId="8" r:id="rId9"/>
    <sheet name="KEY" sheetId="3" r:id="rId10"/>
    <sheet name="Resampler" sheetId="11" r:id="rId11"/>
  </sheets>
  <definedNames>
    <definedName name="_AtRisk_FitDataRange_FIT_4DCC3_C303" hidden="1">Model!$J$13:$J$22</definedName>
    <definedName name="_AtRisk_FitDataRange_FIT_C0EAA_14F91" hidden="1">Model!$E$10:$I$19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16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Model!$J$4:$J$4</definedName>
    <definedName name="Age_slaughter">Surv!$I$6</definedName>
    <definedName name="Inf_1">Model!$H$14</definedName>
    <definedName name="Inf_2">Model!$H$15</definedName>
    <definedName name="Inf_3">Model!$H$16</definedName>
    <definedName name="Inf_4">Model!$H$17</definedName>
    <definedName name="Inf_5">Model!$H$18</definedName>
    <definedName name="Inf_6">Model!$H$19</definedName>
    <definedName name="Inf_yr_1">Model!$I$14</definedName>
    <definedName name="Inf_yr_2">Model!$I$15</definedName>
    <definedName name="Inf_yr_3">Model!$I$16</definedName>
    <definedName name="Inf_yr_4">Model!$I$17</definedName>
    <definedName name="Inf_yr_5">Model!$I$18</definedName>
    <definedName name="Inf_yr_6">Model!$I$19</definedName>
    <definedName name="N_carcaseARQ">Model!$G$6</definedName>
    <definedName name="N_carcaseVRQ">Model!$G$5</definedName>
    <definedName name="P_processing_1">Processing!$J$6</definedName>
    <definedName name="P_processing_2">Processing!$J$7</definedName>
    <definedName name="P_processing_3">Processing!$J$8</definedName>
    <definedName name="P_processing_4">Processing!$J$9</definedName>
    <definedName name="P_processing_5">Processing!$J$10</definedName>
    <definedName name="P_processing_6">Processing!$J$11</definedName>
    <definedName name="Pal_Workbook_GUID" hidden="1">"IHX9K9BIBJM2THN7GKYE5ZIW"</definedName>
    <definedName name="Prev_cases">Surv!$I$7</definedName>
    <definedName name="Proc_1">Model!$G$14</definedName>
    <definedName name="Proc_2">Model!$G$15</definedName>
    <definedName name="Proc_3">Model!$G$16</definedName>
    <definedName name="Proc_4">Model!$G$17</definedName>
    <definedName name="Proc_5">Model!$G$18</definedName>
    <definedName name="Proc_6">Model!$G$19</definedName>
    <definedName name="RiskAfterRecalcMacro" hidden="1">"Resample"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4444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SRMAge_1">Model!$F$14</definedName>
    <definedName name="SRMAge_2">Model!$F$15</definedName>
    <definedName name="SRMAge_3">Model!$F$16</definedName>
    <definedName name="SRMAge_4">Model!$F$17</definedName>
    <definedName name="SRMAge_5">Model!$F$18</definedName>
    <definedName name="SRMAge_6">Model!$F$19</definedName>
    <definedName name="Titre_1">Infectivity!$J$6</definedName>
    <definedName name="Titre_2">Infectivity!$J$7</definedName>
    <definedName name="Titre_3">Infectivity!$J$8</definedName>
    <definedName name="Titre_4">Infectivity!$J$9</definedName>
    <definedName name="Titre_5">Infectivity!$J$10</definedName>
    <definedName name="Titre_6">Infectivity!$J$11</definedName>
    <definedName name="Uncertainty">KEY!$Q$2</definedName>
    <definedName name="Weight_1">Abattoir!$K$6</definedName>
    <definedName name="Weight_2">Abattoir!$K$7</definedName>
    <definedName name="Weight_3">Abattoir!$K$8</definedName>
    <definedName name="Weight_4">Abattoir!$K$9</definedName>
    <definedName name="Weight_5">Abattoir!$K$10</definedName>
    <definedName name="Weight_6">Abattoir!$K$11</definedName>
  </definedNames>
  <calcPr calcId="144525" concurrentManualCount="4"/>
</workbook>
</file>

<file path=xl/calcChain.xml><?xml version="1.0" encoding="utf-8"?>
<calcChain xmlns="http://schemas.openxmlformats.org/spreadsheetml/2006/main">
  <c r="C11" i="9" l="1"/>
  <c r="C12" i="9"/>
  <c r="F23" i="1"/>
  <c r="G7" i="1"/>
  <c r="G7" i="7"/>
  <c r="F33" i="7"/>
  <c r="G19" i="5"/>
  <c r="E35" i="11"/>
  <c r="F32" i="7"/>
  <c r="G18" i="5"/>
  <c r="E34" i="11"/>
  <c r="F31" i="7"/>
  <c r="G17" i="5"/>
  <c r="E33" i="11"/>
  <c r="G16" i="5"/>
  <c r="E32" i="11"/>
  <c r="G15" i="5"/>
  <c r="E31" i="11"/>
  <c r="G14" i="5"/>
  <c r="E30" i="11"/>
  <c r="F12" i="6"/>
  <c r="F11" i="6"/>
  <c r="G11" i="6"/>
  <c r="F18" i="5"/>
  <c r="D34" i="11"/>
  <c r="F10" i="6"/>
  <c r="F15" i="5"/>
  <c r="D31" i="11"/>
  <c r="H27" i="2"/>
  <c r="I27" i="2"/>
  <c r="J33" i="4"/>
  <c r="K33" i="4"/>
  <c r="G6" i="7"/>
  <c r="G10" i="7"/>
  <c r="J10" i="7"/>
  <c r="J7" i="7"/>
  <c r="G8" i="7"/>
  <c r="J8" i="7"/>
  <c r="G8" i="1"/>
  <c r="I8" i="1"/>
  <c r="J12" i="6"/>
  <c r="J11" i="6"/>
  <c r="J10" i="6"/>
  <c r="I12" i="6"/>
  <c r="I11" i="6"/>
  <c r="I10" i="6"/>
  <c r="H12" i="6"/>
  <c r="H11" i="6"/>
  <c r="H10" i="6"/>
  <c r="G12" i="6"/>
  <c r="G10" i="6"/>
  <c r="E33" i="7"/>
  <c r="E32" i="7"/>
  <c r="E31" i="7"/>
  <c r="D33" i="7"/>
  <c r="D32" i="7"/>
  <c r="D31" i="7"/>
  <c r="M45" i="4"/>
  <c r="L45" i="4"/>
  <c r="N45" i="4"/>
  <c r="O45" i="4"/>
  <c r="M44" i="4"/>
  <c r="N44" i="4"/>
  <c r="O44" i="4"/>
  <c r="F33" i="4"/>
  <c r="G33" i="4"/>
  <c r="J27" i="2"/>
  <c r="N33" i="4"/>
  <c r="O33" i="4"/>
  <c r="J45" i="4"/>
  <c r="K45" i="4"/>
  <c r="F45" i="4"/>
  <c r="G45" i="4"/>
  <c r="N34" i="4"/>
  <c r="O34" i="4"/>
  <c r="N32" i="4"/>
  <c r="O32" i="4"/>
  <c r="J34" i="4"/>
  <c r="K34" i="4"/>
  <c r="J32" i="4"/>
  <c r="K32" i="4"/>
  <c r="F34" i="4"/>
  <c r="G34" i="4"/>
  <c r="F32" i="4"/>
  <c r="G32" i="4"/>
  <c r="F26" i="2"/>
  <c r="N28" i="2"/>
  <c r="N27" i="2"/>
  <c r="N26" i="2"/>
  <c r="I28" i="2"/>
  <c r="H28" i="2"/>
  <c r="J28" i="2"/>
  <c r="H26" i="2"/>
  <c r="I26" i="2"/>
  <c r="J26" i="2"/>
  <c r="F27" i="2"/>
  <c r="F28" i="2"/>
  <c r="C35" i="1"/>
  <c r="G11" i="7"/>
  <c r="J11" i="7"/>
  <c r="G9" i="7"/>
  <c r="J9" i="7"/>
  <c r="J6" i="7"/>
  <c r="F19" i="5"/>
  <c r="D35" i="11"/>
  <c r="F16" i="5"/>
  <c r="F14" i="5"/>
  <c r="F17" i="5"/>
  <c r="D33" i="11"/>
  <c r="D32" i="11"/>
  <c r="D30" i="11"/>
  <c r="I19" i="5"/>
  <c r="I18" i="5"/>
  <c r="I17" i="5"/>
  <c r="I16" i="5"/>
  <c r="I15" i="5"/>
  <c r="I14" i="5"/>
  <c r="K27" i="11"/>
  <c r="O27" i="11"/>
  <c r="M27" i="11"/>
  <c r="L27" i="11"/>
  <c r="J27" i="11"/>
  <c r="I6" i="1"/>
  <c r="H21" i="4" s="1"/>
  <c r="N27" i="11"/>
  <c r="F7" i="1"/>
  <c r="I7" i="1" s="1"/>
  <c r="I9" i="1" s="1"/>
  <c r="G5" i="5" s="1"/>
  <c r="J1" i="11" s="1"/>
  <c r="G34" i="8"/>
  <c r="G24" i="8"/>
  <c r="G14" i="8"/>
  <c r="G33" i="8"/>
  <c r="G23" i="8"/>
  <c r="G13" i="8"/>
  <c r="G22" i="8"/>
  <c r="G37" i="8"/>
  <c r="G12" i="8"/>
  <c r="G10" i="8"/>
  <c r="G26" i="8"/>
  <c r="G11" i="8"/>
  <c r="G9" i="8"/>
  <c r="G25" i="8"/>
  <c r="G21" i="8"/>
  <c r="G36" i="8"/>
  <c r="G38" i="8"/>
  <c r="G35" i="8"/>
  <c r="G18" i="2" l="1"/>
  <c r="I22" i="4"/>
  <c r="G23" i="4"/>
  <c r="H16" i="2"/>
  <c r="I20" i="4"/>
  <c r="I21" i="4"/>
  <c r="H22" i="4"/>
  <c r="G20" i="4"/>
  <c r="H19" i="4"/>
  <c r="H23" i="4"/>
  <c r="I19" i="4"/>
  <c r="I17" i="2"/>
  <c r="I16" i="2"/>
  <c r="G17" i="2"/>
  <c r="G18" i="4"/>
  <c r="G6" i="5"/>
  <c r="M1" i="11" s="1"/>
  <c r="I23" i="4"/>
  <c r="H18" i="4"/>
  <c r="I18" i="4"/>
  <c r="G21" i="4"/>
  <c r="J21" i="4" s="1"/>
  <c r="J9" i="4" s="1"/>
  <c r="H18" i="2"/>
  <c r="H17" i="2"/>
  <c r="K17" i="2" s="1"/>
  <c r="K10" i="2" s="1"/>
  <c r="G16" i="2"/>
  <c r="G22" i="4"/>
  <c r="J22" i="4" s="1"/>
  <c r="J10" i="4" s="1"/>
  <c r="G19" i="4"/>
  <c r="I18" i="2"/>
  <c r="K18" i="2" s="1"/>
  <c r="K8" i="2" s="1"/>
  <c r="H20" i="4"/>
  <c r="G45" i="8"/>
  <c r="G57" i="8"/>
  <c r="G47" i="8"/>
  <c r="G59" i="8"/>
  <c r="G46" i="8"/>
  <c r="G58" i="8"/>
  <c r="G48" i="8"/>
  <c r="G60" i="8"/>
  <c r="G49" i="8"/>
  <c r="G61" i="8"/>
  <c r="G62" i="8"/>
  <c r="G50" i="8"/>
  <c r="H18" i="5" l="1"/>
  <c r="J18" i="4"/>
  <c r="J6" i="4" s="1"/>
  <c r="K7" i="2"/>
  <c r="J20" i="4"/>
  <c r="J8" i="4" s="1"/>
  <c r="K16" i="2"/>
  <c r="J19" i="4"/>
  <c r="J7" i="4" s="1"/>
  <c r="J23" i="4"/>
  <c r="J11" i="4" s="1"/>
  <c r="H16" i="5"/>
  <c r="K11" i="2"/>
  <c r="F16" i="11"/>
  <c r="F14" i="11"/>
  <c r="F12" i="11"/>
  <c r="F11" i="11"/>
  <c r="F19" i="11"/>
  <c r="F6" i="11"/>
  <c r="F17" i="11"/>
  <c r="F21" i="11"/>
  <c r="F13" i="11"/>
  <c r="F25" i="8"/>
  <c r="F15" i="11"/>
  <c r="F22" i="11"/>
  <c r="F10" i="11"/>
  <c r="F7" i="11"/>
  <c r="F13" i="8"/>
  <c r="F20" i="11"/>
  <c r="F18" i="11"/>
  <c r="F25" i="11"/>
  <c r="F5" i="11"/>
  <c r="F24" i="11"/>
  <c r="F9" i="11"/>
  <c r="F23" i="11"/>
  <c r="F26" i="11"/>
  <c r="F8" i="11"/>
  <c r="F37" i="8"/>
  <c r="D7" i="11"/>
  <c r="D23" i="11"/>
  <c r="D22" i="11"/>
  <c r="D8" i="11"/>
  <c r="D5" i="11"/>
  <c r="D6" i="11"/>
  <c r="D11" i="11"/>
  <c r="D14" i="11"/>
  <c r="F11" i="8"/>
  <c r="D20" i="11"/>
  <c r="F23" i="8"/>
  <c r="F35" i="8"/>
  <c r="D10" i="11"/>
  <c r="D18" i="11"/>
  <c r="D12" i="11"/>
  <c r="D19" i="11"/>
  <c r="D25" i="11"/>
  <c r="D13" i="11"/>
  <c r="D15" i="11"/>
  <c r="D9" i="11"/>
  <c r="D26" i="11"/>
  <c r="D21" i="11"/>
  <c r="D16" i="11"/>
  <c r="D24" i="11"/>
  <c r="D17" i="11"/>
  <c r="F61" i="8" l="1"/>
  <c r="F49" i="8"/>
  <c r="H19" i="5"/>
  <c r="K9" i="2"/>
  <c r="H17" i="5" s="1"/>
  <c r="K6" i="2"/>
  <c r="H14" i="5" s="1"/>
  <c r="H15" i="5"/>
  <c r="F47" i="8"/>
  <c r="F59" i="8"/>
  <c r="G7" i="11"/>
  <c r="G18" i="11"/>
  <c r="G9" i="11"/>
  <c r="G8" i="11"/>
  <c r="G22" i="11"/>
  <c r="G17" i="11"/>
  <c r="G24" i="11"/>
  <c r="F26" i="8"/>
  <c r="G23" i="11"/>
  <c r="G11" i="11"/>
  <c r="G20" i="11"/>
  <c r="F14" i="8"/>
  <c r="G13" i="11"/>
  <c r="G6" i="11"/>
  <c r="G25" i="11"/>
  <c r="G21" i="11"/>
  <c r="G10" i="11"/>
  <c r="G16" i="11"/>
  <c r="G26" i="11"/>
  <c r="G5" i="11"/>
  <c r="G19" i="11"/>
  <c r="G12" i="11"/>
  <c r="F38" i="8"/>
  <c r="G14" i="11"/>
  <c r="G15" i="11"/>
  <c r="E20" i="11"/>
  <c r="E6" i="11"/>
  <c r="E17" i="11"/>
  <c r="E10" i="11"/>
  <c r="F36" i="8"/>
  <c r="E14" i="11"/>
  <c r="E25" i="11"/>
  <c r="E18" i="11"/>
  <c r="E24" i="11"/>
  <c r="E13" i="11"/>
  <c r="F24" i="8"/>
  <c r="E15" i="11"/>
  <c r="E21" i="11"/>
  <c r="E12" i="11"/>
  <c r="E11" i="11"/>
  <c r="E22" i="11"/>
  <c r="E5" i="11"/>
  <c r="E23" i="11"/>
  <c r="E7" i="11"/>
  <c r="F12" i="8"/>
  <c r="E8" i="11"/>
  <c r="E9" i="11"/>
  <c r="E16" i="11"/>
  <c r="E26" i="11"/>
  <c r="E19" i="11"/>
  <c r="B9" i="11"/>
  <c r="B19" i="11"/>
  <c r="B18" i="11"/>
  <c r="F33" i="8"/>
  <c r="B11" i="11"/>
  <c r="F21" i="8"/>
  <c r="B16" i="11"/>
  <c r="B26" i="11"/>
  <c r="F9" i="8"/>
  <c r="B21" i="11"/>
  <c r="B23" i="11"/>
  <c r="B5" i="11"/>
  <c r="B12" i="11"/>
  <c r="B15" i="11"/>
  <c r="B7" i="11"/>
  <c r="B25" i="11"/>
  <c r="B24" i="11"/>
  <c r="B14" i="11"/>
  <c r="B13" i="11"/>
  <c r="B8" i="11"/>
  <c r="B10" i="11"/>
  <c r="B22" i="11"/>
  <c r="B17" i="11"/>
  <c r="B20" i="11"/>
  <c r="B6" i="11"/>
  <c r="F34" i="8"/>
  <c r="C7" i="11"/>
  <c r="C11" i="11"/>
  <c r="C5" i="11"/>
  <c r="C15" i="11"/>
  <c r="C14" i="11"/>
  <c r="C6" i="11"/>
  <c r="F22" i="8"/>
  <c r="C12" i="11"/>
  <c r="C23" i="11"/>
  <c r="C21" i="11"/>
  <c r="C9" i="11"/>
  <c r="C25" i="11"/>
  <c r="C8" i="11"/>
  <c r="C20" i="11"/>
  <c r="C13" i="11"/>
  <c r="C22" i="11"/>
  <c r="F10" i="8"/>
  <c r="C19" i="11"/>
  <c r="C10" i="11"/>
  <c r="C24" i="11"/>
  <c r="C16" i="11"/>
  <c r="C18" i="11"/>
  <c r="C26" i="11"/>
  <c r="C17" i="11"/>
  <c r="F50" i="8" l="1"/>
  <c r="F62" i="8"/>
  <c r="F58" i="8"/>
  <c r="F46" i="8"/>
  <c r="F45" i="8"/>
  <c r="F57" i="8"/>
  <c r="F48" i="8"/>
  <c r="F60" i="8"/>
</calcChain>
</file>

<file path=xl/sharedStrings.xml><?xml version="1.0" encoding="utf-8"?>
<sst xmlns="http://schemas.openxmlformats.org/spreadsheetml/2006/main" count="659" uniqueCount="341">
  <si>
    <t>EU25</t>
  </si>
  <si>
    <t>Surveillance Component</t>
  </si>
  <si>
    <t>MS data loaded</t>
  </si>
  <si>
    <t>Year</t>
  </si>
  <si>
    <t>Surveillance characteristics for a random infected animal</t>
  </si>
  <si>
    <r>
      <t>Tissue Type (</t>
    </r>
    <r>
      <rPr>
        <b/>
        <i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</si>
  <si>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Symbol</t>
  </si>
  <si>
    <t>Value</t>
  </si>
  <si>
    <t>Unit</t>
  </si>
  <si>
    <t>Reference</t>
  </si>
  <si>
    <t>Age_slaughter</t>
  </si>
  <si>
    <t>see Tables below</t>
  </si>
  <si>
    <t>Table 1</t>
  </si>
  <si>
    <t>Apparent prevalence</t>
  </si>
  <si>
    <t>Number of cases in the slaughter stream of classical scrapie</t>
  </si>
  <si>
    <t>Prev_cases</t>
  </si>
  <si>
    <t>Uncertainty</t>
  </si>
  <si>
    <t>Variability</t>
  </si>
  <si>
    <t>P</t>
  </si>
  <si>
    <t>Infection prevalence factor</t>
  </si>
  <si>
    <t>Prev_factor</t>
  </si>
  <si>
    <t xml:space="preserve">Infection prevalence  </t>
  </si>
  <si>
    <t>Prev_Inf</t>
  </si>
  <si>
    <t>Table 2</t>
  </si>
  <si>
    <t>Infection prevalence factor between apparent prevalence and infection prevalence</t>
  </si>
  <si>
    <t>Min</t>
  </si>
  <si>
    <t>Max</t>
  </si>
  <si>
    <t>Mean</t>
  </si>
  <si>
    <t>Calculated</t>
  </si>
  <si>
    <t>For demonstration purposes - estimated from 2009 UK classical scrapie data (Del Rio Vilas, 2009)</t>
  </si>
  <si>
    <t>Table 3</t>
  </si>
  <si>
    <t>Proportion of cases to genotypes VRQ/VRQ and ARQ/ARQ</t>
  </si>
  <si>
    <t>For demonstration purposes taken from EFSA Journal 2010;8(12):1875</t>
  </si>
  <si>
    <t>Other</t>
  </si>
  <si>
    <t>VRQ/VRQ</t>
  </si>
  <si>
    <t>ARQ/ARQ</t>
  </si>
  <si>
    <t>Probability</t>
  </si>
  <si>
    <t>Tissue</t>
  </si>
  <si>
    <t>see Table 1</t>
  </si>
  <si>
    <t>see Table 2</t>
  </si>
  <si>
    <t>see Table 3</t>
  </si>
  <si>
    <t>Age at slaughter</t>
  </si>
  <si>
    <t>Number of animals slaughtered by age</t>
  </si>
  <si>
    <t>3-12 months</t>
  </si>
  <si>
    <t>&gt; 12 months</t>
  </si>
  <si>
    <t>Total</t>
  </si>
  <si>
    <t>EFSA Journal 2010;8(12):1875</t>
  </si>
  <si>
    <t>0 &lt; 3 months</t>
  </si>
  <si>
    <t>a</t>
  </si>
  <si>
    <t>interval</t>
  </si>
  <si>
    <t>Table 4</t>
  </si>
  <si>
    <t>Abattoir Component</t>
  </si>
  <si>
    <t>Abattoir weights for a random animal</t>
  </si>
  <si>
    <t>Tissue Type (t)</t>
  </si>
  <si>
    <t>Weight of tissues per animal</t>
  </si>
  <si>
    <t>Formula</t>
  </si>
  <si>
    <t>Description</t>
  </si>
  <si>
    <t>ML</t>
  </si>
  <si>
    <r>
      <t>Tissue type (</t>
    </r>
    <r>
      <rPr>
        <b/>
        <i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</si>
  <si>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r>
      <t xml:space="preserve">Variability by </t>
    </r>
    <r>
      <rPr>
        <b/>
        <sz val="10"/>
        <rFont val="Arial"/>
        <family val="2"/>
      </rPr>
      <t>Age</t>
    </r>
    <r>
      <rPr>
        <b/>
        <i/>
        <sz val="10"/>
        <rFont val="Arial"/>
        <family val="2"/>
      </rPr>
      <t xml:space="preserve"> (a)</t>
    </r>
  </si>
  <si>
    <t>Brain</t>
  </si>
  <si>
    <t>Muscle</t>
  </si>
  <si>
    <t>Journal</t>
  </si>
  <si>
    <t>2010;8(12):1875</t>
  </si>
  <si>
    <t>Age (months)</t>
  </si>
  <si>
    <t>Weight_l (10,a)</t>
  </si>
  <si>
    <t>Weight_u (10,a)</t>
  </si>
  <si>
    <t>Weight (10,a)</t>
  </si>
  <si>
    <t xml:space="preserve"> † average of age interval</t>
  </si>
  <si>
    <t>Weight_l (11,a)</t>
  </si>
  <si>
    <t>Weight_u (11,a)</t>
  </si>
  <si>
    <t>Weight (11,a)</t>
  </si>
  <si>
    <t>Weight of sheep tissue types by age (g)</t>
  </si>
  <si>
    <t>Ileal PP</t>
  </si>
  <si>
    <t>Weight_l (12,a)</t>
  </si>
  <si>
    <t>Weight_u (12,a)</t>
  </si>
  <si>
    <t>Weight (12,a)</t>
  </si>
  <si>
    <t>Weight of Brain by age</t>
  </si>
  <si>
    <t>Minimum weight (g)*</t>
  </si>
  <si>
    <t>Maximum weight (g)*</t>
  </si>
  <si>
    <t>Average weight (g)†</t>
  </si>
  <si>
    <t>Fitted ML weight (g)†</t>
  </si>
  <si>
    <t>Weight_ml (10,a)</t>
  </si>
  <si>
    <t>g</t>
  </si>
  <si>
    <t>Weight of muscle by age</t>
  </si>
  <si>
    <t>Weight of ileal Peyers Patches by age</t>
  </si>
  <si>
    <t>Weight_ml (11,a)</t>
  </si>
  <si>
    <t>Weight_ml (12,a)</t>
  </si>
  <si>
    <t>Infectivity Component</t>
  </si>
  <si>
    <t>Infectivity titre for a random infected animal</t>
  </si>
  <si>
    <t>Parameter description</t>
  </si>
  <si>
    <t>Mean - Variability</t>
  </si>
  <si>
    <t>All</t>
  </si>
  <si>
    <t>Unknown</t>
  </si>
  <si>
    <t>Data Tables</t>
  </si>
  <si>
    <t>Infectivity titre (Ovine Oral ID50/g)</t>
  </si>
  <si>
    <t>Infectivity titre</t>
  </si>
  <si>
    <t>Outputs</t>
  </si>
  <si>
    <t>infected carcases</t>
  </si>
  <si>
    <t>Main results: Amount of infectivity</t>
  </si>
  <si>
    <t>Per animal</t>
  </si>
  <si>
    <t>Per year</t>
  </si>
  <si>
    <t xml:space="preserve"> </t>
  </si>
  <si>
    <t>SRM?</t>
  </si>
  <si>
    <t>Processed?</t>
  </si>
  <si>
    <t>ID50 IC</t>
  </si>
  <si>
    <t>Brain, VRQ/VRQ</t>
  </si>
  <si>
    <t>Muscle, VRQ/VRQ</t>
  </si>
  <si>
    <t>Ileal Peyer's Patches, VRQ/VRQ</t>
  </si>
  <si>
    <t>Brain, ARQ/ARQ</t>
  </si>
  <si>
    <t>Muscle, ARQ/ARQ</t>
  </si>
  <si>
    <t>Ileal Peyer's Patches, ARQ/ARQ</t>
  </si>
  <si>
    <t>SRM Component</t>
  </si>
  <si>
    <t>SRM management selected by user</t>
  </si>
  <si>
    <t>SRM Management</t>
  </si>
  <si>
    <t>For all ages</t>
  </si>
  <si>
    <t>Not at any age</t>
  </si>
  <si>
    <t>Start age</t>
  </si>
  <si>
    <t>End age</t>
  </si>
  <si>
    <t>Processing Component</t>
  </si>
  <si>
    <t>Processing reduction for a random animal</t>
  </si>
  <si>
    <r>
      <t>Age (</t>
    </r>
    <r>
      <rPr>
        <b/>
        <i/>
        <sz val="10"/>
        <rFont val="Arial"/>
        <family val="2"/>
      </rPr>
      <t>a</t>
    </r>
    <r>
      <rPr>
        <b/>
        <sz val="10"/>
        <rFont val="Arial"/>
        <family val="2"/>
      </rPr>
      <t>)</t>
    </r>
  </si>
  <si>
    <t>Reduction of infectivity due to processing</t>
  </si>
  <si>
    <t>P_processing(t)</t>
  </si>
  <si>
    <t>User entry reduction of infectivity due to processing</t>
  </si>
  <si>
    <t>Processing</t>
  </si>
  <si>
    <t>For demonstration purposes - EFSA Journal 2010;8(12):1875</t>
  </si>
  <si>
    <t>For demonstration purposes - Apparent prevalence of slaughter stream (Data from EFSA Journal 2010;8(12):1875)</t>
  </si>
  <si>
    <t>*For demonstration purposes - EFSA</t>
  </si>
  <si>
    <t>Where NA() indicated, these outputs were not selected for this specific risk assessment</t>
  </si>
  <si>
    <t>Mean results</t>
  </si>
  <si>
    <t>Results from annual infectivity simulation</t>
  </si>
  <si>
    <t>2.5th results</t>
  </si>
  <si>
    <t>97.5th results</t>
  </si>
  <si>
    <t>Concatenated results (Number)</t>
  </si>
  <si>
    <t>Concatenated results (Scientific)</t>
  </si>
  <si>
    <t>Cumulative distributions for resample if required</t>
  </si>
  <si>
    <t>min</t>
  </si>
  <si>
    <t>max</t>
  </si>
  <si>
    <t xml:space="preserve">Per year Total </t>
  </si>
  <si>
    <t>VRQ/VRQ Number of infected animals in one year</t>
  </si>
  <si>
    <t>ARQ/ARQ Number of infected animals in one year</t>
  </si>
  <si>
    <t>N_carcasesVRQ</t>
  </si>
  <si>
    <t>N_carcasesARQ</t>
  </si>
  <si>
    <t>Created By Version</t>
  </si>
  <si>
    <t>5.5.0</t>
  </si>
  <si>
    <t>Required Version</t>
  </si>
  <si>
    <t>5.0.0</t>
  </si>
  <si>
    <t>Recommended Version</t>
  </si>
  <si>
    <t>Modified By Version</t>
  </si>
  <si>
    <t>Count</t>
  </si>
  <si>
    <t>GUID</t>
  </si>
  <si>
    <t>Name</t>
  </si>
  <si>
    <t>Range</t>
  </si>
  <si>
    <t>CRC</t>
  </si>
  <si>
    <t>Options</t>
  </si>
  <si>
    <t>Comp. Graph Serialization</t>
  </si>
  <si>
    <t>PP Graph Serialization</t>
  </si>
  <si>
    <t>QQ Graph Serialization</t>
  </si>
  <si>
    <t>Result Display Options</t>
  </si>
  <si>
    <t>FIT_4DCC3_C303</t>
  </si>
  <si>
    <t>Dataset 1</t>
  </si>
  <si>
    <t>F1	0	2	-1E+300	 1E+300	 1	0	0	 0	0	 1	21	BetaGeneral	BetaSubj	Binomial	Expon	ExtValue	Gamma	Geomet	IntUniform	InvGauss	Logistic	LogLogistic	Lognorm	NegBin	Normal	Pareto	Pearson5	Pearson6	Poisson	Triang	Uniform	Weibull	0	1	-1	1	 0	 1	0	0	0</t>
  </si>
  <si>
    <t>GF1_rK0qDwEABwCaAQwjACYANwByAHsAfACIAJQAeAEpAJQBLQD//wAAAAABAQEAAQQAAAAAAAAAAAEcRml0IENvbXBhcmlzb24gZm9yIERhdGFzZXQgMQEZUmlza05vcm1hbCgzMy42MjIsMjcuNjQ1KQEBBQABAAEDAQEA/wEBAQEBAAEBAQACAAEBAQEBAAEBAQACAAqzAAHBAADQAADlAAD6AAAPAQAkAQA5AQBOAQBjAQAMAAVJbnB1dAAAJQECAA0ABk5vcm1hbAABLwECABMADFVudXNlZCBDdXJ2ZQACTwECABMADFVudXNlZCBDdXJ2ZQADjAECABMADFVudXNlZCBDdXJ2ZQAEJwECABMADFVudXNlZCBDdXJ2ZQAFTAECABMADFVudXNlZCBDdXJ2ZQAGOQECABMADFVudXNlZCBDdXJ2ZQAHTgECABMADFVudXNlZCBDdXJ2ZQAIIwECABMADFVudXNlZCBDdXJ2ZQAJKQECAIABigEBAQIBmpmZmZmZqT8AAGZmZmZmZu4/AAAFAAEBAQA=</t>
  </si>
  <si>
    <t>FIT_C0EAA_14F91</t>
  </si>
  <si>
    <t>Dataset 2</t>
  </si>
  <si>
    <t>F1	0	0	-1E+300	 1E+300	 1	0	0	 0	0	 1	21	BetaGeneral	BetaSubj	Binomial	Expon	ExtValue	Gamma	Geomet	IntUniform	InvGauss	Logistic	LogLogistic	Lognorm	NegBin	Normal	Pareto	Pearson5	Pearson6	Poisson	Triang	Uniform	Weibull	0	1	-1	1	 0	 1	0	0	0</t>
  </si>
  <si>
    <t>GF1_rK0qDwEABwCyAQwjACYANwCIAJEAkgCeAKoAkAEpAKwBLQD//wAAAAABAQEAAQQAAAAAAAAAAAEcRml0IENvbXBhcmlzb24gZm9yIERhdGFzZXQgMgEvUmlza0ludkdhdXNzKDUxLjA4MywwLjU5MTgxLFJpc2tTaGlmdCgtMS4xNTUxKSkBAQUAAQABAwEBAP8BAQEBAQABAQEAAgABAQEBAQABAQEAAgAKyQAB1wAA6AAA/QAAEgEAJwEAPAEAUQEAZgEAewEADAAFSW5wdXQAACUBAgAPAAhJbnZHYXVzcwABLwECABMADFVudXNlZCBDdXJ2ZQACTwECABMADFVudXNlZCBDdXJ2ZQADjAECABMADFVudXNlZCBDdXJ2ZQAEJwECABMADFVudXNlZCBDdXJ2ZQAFTAECABMADFVudXNlZCBDdXJ2ZQAGOQECABMADFVudXNlZCBDdXJ2ZQAHTgECABMADFVudXNlZCBDdXJ2ZQAIIwECABMADFVudXNlZCBDdXJ2ZQAJKQECAJgBogEBAQIBmpmZmZmZqT8AAGZmZmZmZu4/AAAFAAEBAQA=</t>
  </si>
  <si>
    <t xml:space="preserve"> 0	 8								</t>
  </si>
  <si>
    <t>F1	0	 1000	 .95</t>
  </si>
  <si>
    <t>ID50 IC/g in C57B16</t>
  </si>
  <si>
    <t>ListIndex</t>
  </si>
  <si>
    <t>Initials</t>
  </si>
  <si>
    <t>Member States</t>
  </si>
  <si>
    <t>End (months)</t>
  </si>
  <si>
    <t>t</t>
  </si>
  <si>
    <t>Modelling Uncertainty and Variability</t>
  </si>
  <si>
    <t>AT</t>
  </si>
  <si>
    <t>Austria</t>
  </si>
  <si>
    <t>&lt;12</t>
  </si>
  <si>
    <t>&gt;0</t>
  </si>
  <si>
    <t>BE</t>
  </si>
  <si>
    <t>Belgium</t>
  </si>
  <si>
    <t>&gt;12</t>
  </si>
  <si>
    <t>CY</t>
  </si>
  <si>
    <t>Cyprus</t>
  </si>
  <si>
    <t>CZ</t>
  </si>
  <si>
    <t>Czech Republic</t>
  </si>
  <si>
    <t>DK</t>
  </si>
  <si>
    <t>Denmark</t>
  </si>
  <si>
    <t>EE</t>
  </si>
  <si>
    <t>Estonia</t>
  </si>
  <si>
    <t>FI</t>
  </si>
  <si>
    <t>Finland</t>
  </si>
  <si>
    <t>FR</t>
  </si>
  <si>
    <t>France</t>
  </si>
  <si>
    <t>DE</t>
  </si>
  <si>
    <t>Germany</t>
  </si>
  <si>
    <t>EL</t>
  </si>
  <si>
    <t>Greece</t>
  </si>
  <si>
    <t>HU</t>
  </si>
  <si>
    <t>Hungary</t>
  </si>
  <si>
    <t>IE</t>
  </si>
  <si>
    <t>Ireland</t>
  </si>
  <si>
    <t>IT</t>
  </si>
  <si>
    <t>Italy</t>
  </si>
  <si>
    <t>LV</t>
  </si>
  <si>
    <t>Latvia</t>
  </si>
  <si>
    <t>LT</t>
  </si>
  <si>
    <t>Lithuania</t>
  </si>
  <si>
    <t>LU</t>
  </si>
  <si>
    <t>Luxembourg</t>
  </si>
  <si>
    <t>MT</t>
  </si>
  <si>
    <t>Malta</t>
  </si>
  <si>
    <t>NL</t>
  </si>
  <si>
    <t>Netherlands</t>
  </si>
  <si>
    <t>PL</t>
  </si>
  <si>
    <t>Poland</t>
  </si>
  <si>
    <t>PT</t>
  </si>
  <si>
    <t>Portugal</t>
  </si>
  <si>
    <t>SK</t>
  </si>
  <si>
    <t>Slovakia</t>
  </si>
  <si>
    <t>SI</t>
  </si>
  <si>
    <t>Slovenia</t>
  </si>
  <si>
    <t>ES</t>
  </si>
  <si>
    <t>Spain</t>
  </si>
  <si>
    <t>SE</t>
  </si>
  <si>
    <t>Sweden</t>
  </si>
  <si>
    <t>UK</t>
  </si>
  <si>
    <t>United Kingdom</t>
  </si>
  <si>
    <t>NO</t>
  </si>
  <si>
    <t>Norway</t>
  </si>
  <si>
    <t>BG</t>
  </si>
  <si>
    <t>Bulgaria</t>
  </si>
  <si>
    <t>RO</t>
  </si>
  <si>
    <t>Romania</t>
  </si>
  <si>
    <t>CH</t>
  </si>
  <si>
    <t>Switzerland</t>
  </si>
  <si>
    <t>HR</t>
  </si>
  <si>
    <t>Croatia</t>
  </si>
  <si>
    <t>FYRM</t>
  </si>
  <si>
    <t>Former Yugoslave Republic of Macedonia</t>
  </si>
  <si>
    <t>IS</t>
  </si>
  <si>
    <t>Iceland</t>
  </si>
  <si>
    <t>TR</t>
  </si>
  <si>
    <t>Turkey</t>
  </si>
  <si>
    <t>ALB</t>
  </si>
  <si>
    <t>Albania</t>
  </si>
  <si>
    <t>BIH</t>
  </si>
  <si>
    <t>Bosnia and Herzegovina</t>
  </si>
  <si>
    <t>KS</t>
  </si>
  <si>
    <t>Kosovo under UN Security Council Resolution 1244</t>
  </si>
  <si>
    <t>ME</t>
  </si>
  <si>
    <t>Montenegro</t>
  </si>
  <si>
    <t>SRB</t>
  </si>
  <si>
    <t>Serbia</t>
  </si>
  <si>
    <t xml:space="preserve"> ID50 IC</t>
  </si>
  <si>
    <t>Version Demo</t>
  </si>
  <si>
    <t>EFSA Scrapie QRA Builder for use with Palisade @Risk 6.0</t>
  </si>
  <si>
    <t>Scenario</t>
  </si>
  <si>
    <t>&lt; 3 months</t>
  </si>
  <si>
    <t>Annual</t>
  </si>
  <si>
    <t>Classical cases</t>
  </si>
  <si>
    <t>Tested</t>
  </si>
  <si>
    <t>Scrapie Risk Assessment</t>
  </si>
  <si>
    <t>Infectivity of sheep tissue types by age for VRQ/VRQ (ID50 IC in C57B16)</t>
  </si>
  <si>
    <t>Infectivity of sheep tissue types by age for ARQ/ARQ (ID50 IC in C57B16)</t>
  </si>
  <si>
    <t>Minimum infectivity*</t>
  </si>
  <si>
    <t>Maximum infectivity *</t>
  </si>
  <si>
    <t>Average infectivity †</t>
  </si>
  <si>
    <t>Fitted ML infectivity †</t>
  </si>
  <si>
    <t>Minimum infectivity *</t>
  </si>
  <si>
    <t>Scrapie Tissue types</t>
  </si>
  <si>
    <t>Stream allocation</t>
  </si>
  <si>
    <t>SRM</t>
  </si>
  <si>
    <t>Processed</t>
  </si>
  <si>
    <t>EU27</t>
  </si>
  <si>
    <t>Weight_1</t>
  </si>
  <si>
    <t>Weight_2</t>
  </si>
  <si>
    <t>Weight_3</t>
  </si>
  <si>
    <t>Weight_4</t>
  </si>
  <si>
    <t>Weight_5</t>
  </si>
  <si>
    <t>Weight_6</t>
  </si>
  <si>
    <t>Weight(1, a)</t>
  </si>
  <si>
    <t>Weight(2, a)</t>
  </si>
  <si>
    <t>Weight(3, a)</t>
  </si>
  <si>
    <t>P_processing(1)</t>
  </si>
  <si>
    <t>P_processing(2)</t>
  </si>
  <si>
    <t>P_processing(3)</t>
  </si>
  <si>
    <t>P_processing(4)</t>
  </si>
  <si>
    <t>P_processing(5)</t>
  </si>
  <si>
    <t>P_processing(6)</t>
  </si>
  <si>
    <t>Titre_1</t>
  </si>
  <si>
    <t>Titre_2</t>
  </si>
  <si>
    <t>Titre_3</t>
  </si>
  <si>
    <t>Titre_4</t>
  </si>
  <si>
    <t>Titre_5</t>
  </si>
  <si>
    <t>Titre_6</t>
  </si>
  <si>
    <t>Titre(1,a)</t>
  </si>
  <si>
    <t>Titre(2,a)</t>
  </si>
  <si>
    <t>Titre(3,a)</t>
  </si>
  <si>
    <t>Titre(4,a)</t>
  </si>
  <si>
    <t>Titre(5,a)</t>
  </si>
  <si>
    <t>Titre(6,a)</t>
  </si>
  <si>
    <t>Titre_l (1,a)</t>
  </si>
  <si>
    <t>Titre_u (1,a)</t>
  </si>
  <si>
    <t>Titre (1,a)</t>
  </si>
  <si>
    <t>Titre_ml (1,a)</t>
  </si>
  <si>
    <t>Titre_l (2,a)</t>
  </si>
  <si>
    <t>Titre_u (2,a)</t>
  </si>
  <si>
    <t>Titre (2,a)</t>
  </si>
  <si>
    <t>Titre_ml (2,a)</t>
  </si>
  <si>
    <t>Titre_l (3,a)</t>
  </si>
  <si>
    <t>Titre_u (3,a)</t>
  </si>
  <si>
    <t>Titre (3,a)</t>
  </si>
  <si>
    <t>Titre_ml (3,a)</t>
  </si>
  <si>
    <t>Titre_l (4,a)</t>
  </si>
  <si>
    <t>Titre_u (4,a)</t>
  </si>
  <si>
    <t>Titre (4,a)</t>
  </si>
  <si>
    <t>Titre_ml (4,a)</t>
  </si>
  <si>
    <t>Titre_l (5,a)</t>
  </si>
  <si>
    <t>Titre_u (5,a)</t>
  </si>
  <si>
    <t>Titre (5,a)</t>
  </si>
  <si>
    <t>Titre_ml (5,a)</t>
  </si>
  <si>
    <t>Titre_l (6,a)</t>
  </si>
  <si>
    <t>Titre_u (6,a)</t>
  </si>
  <si>
    <t>Titre (6,a)</t>
  </si>
  <si>
    <t>Titre_ml (6,a)</t>
  </si>
  <si>
    <t>Infectivity</t>
  </si>
  <si>
    <t>Inf_1</t>
  </si>
  <si>
    <t>Inf_2</t>
  </si>
  <si>
    <t>Inf_3</t>
  </si>
  <si>
    <t>Inf_4</t>
  </si>
  <si>
    <t>Inf_5</t>
  </si>
  <si>
    <t>Inf_6</t>
  </si>
  <si>
    <t>ID50 IC/yr</t>
  </si>
  <si>
    <t>Resampler for annual estimates</t>
  </si>
  <si>
    <t>&lt;3</t>
  </si>
  <si>
    <t>&gt;3</t>
  </si>
  <si>
    <t>Dated: 20/09/13</t>
  </si>
  <si>
    <t>6.1.2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</si>
</sst>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E+00"/>
    <numFmt numFmtId="165" formatCode="0.0"/>
    <numFmt numFmtId="166" formatCode="0E+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.5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0" fillId="0" borderId="0" xfId="0" applyBorder="1"/>
    <xf numFmtId="0" fontId="0" fillId="0" borderId="9" xfId="0" applyBorder="1"/>
    <xf numFmtId="0" fontId="0" fillId="0" borderId="8" xfId="0" applyBorder="1"/>
    <xf numFmtId="0" fontId="6" fillId="0" borderId="0" xfId="0" applyFont="1" applyBorder="1"/>
    <xf numFmtId="0" fontId="8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Fill="1" applyBorder="1"/>
    <xf numFmtId="0" fontId="9" fillId="0" borderId="0" xfId="0" applyFont="1"/>
    <xf numFmtId="0" fontId="0" fillId="0" borderId="0" xfId="0" applyFont="1" applyFill="1" applyBorder="1"/>
    <xf numFmtId="0" fontId="10" fillId="0" borderId="0" xfId="0" applyFont="1"/>
    <xf numFmtId="0" fontId="10" fillId="0" borderId="3" xfId="0" applyFont="1" applyBorder="1"/>
    <xf numFmtId="0" fontId="10" fillId="0" borderId="4" xfId="0" applyFont="1" applyBorder="1"/>
    <xf numFmtId="0" fontId="10" fillId="0" borderId="0" xfId="0" applyFont="1" applyBorder="1"/>
    <xf numFmtId="0" fontId="10" fillId="0" borderId="9" xfId="0" applyFont="1" applyBorder="1"/>
    <xf numFmtId="0" fontId="10" fillId="0" borderId="8" xfId="0" applyFont="1" applyBorder="1"/>
    <xf numFmtId="0" fontId="10" fillId="0" borderId="0" xfId="0" applyFont="1" applyBorder="1" applyAlignment="1">
      <alignment horizontal="center"/>
    </xf>
    <xf numFmtId="0" fontId="10" fillId="0" borderId="5" xfId="0" applyFont="1" applyBorder="1"/>
    <xf numFmtId="0" fontId="10" fillId="0" borderId="6" xfId="0" applyFont="1" applyBorder="1"/>
    <xf numFmtId="0" fontId="10" fillId="0" borderId="6" xfId="0" applyFont="1" applyBorder="1" applyAlignment="1">
      <alignment horizontal="center"/>
    </xf>
    <xf numFmtId="0" fontId="10" fillId="0" borderId="7" xfId="0" applyFont="1" applyBorder="1"/>
    <xf numFmtId="0" fontId="10" fillId="0" borderId="2" xfId="0" applyFont="1" applyBorder="1"/>
    <xf numFmtId="0" fontId="10" fillId="0" borderId="4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/>
    <xf numFmtId="0" fontId="6" fillId="0" borderId="0" xfId="0" applyFont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3" fillId="0" borderId="8" xfId="0" applyFont="1" applyBorder="1"/>
    <xf numFmtId="2" fontId="10" fillId="0" borderId="0" xfId="0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14" fillId="0" borderId="0" xfId="0" applyFont="1" applyBorder="1" applyAlignment="1">
      <alignment horizontal="center" vertical="top" wrapText="1"/>
    </xf>
    <xf numFmtId="0" fontId="6" fillId="0" borderId="0" xfId="0" applyFont="1" applyFill="1" applyBorder="1"/>
    <xf numFmtId="0" fontId="8" fillId="0" borderId="6" xfId="0" applyFont="1" applyFill="1" applyBorder="1" applyAlignment="1">
      <alignment horizontal="center"/>
    </xf>
    <xf numFmtId="2" fontId="10" fillId="0" borderId="6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top" wrapText="1"/>
    </xf>
    <xf numFmtId="2" fontId="0" fillId="0" borderId="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4" fillId="0" borderId="9" xfId="0" applyFont="1" applyFill="1" applyBorder="1" applyAlignment="1">
      <alignment horizontal="center" vertical="top" wrapText="1"/>
    </xf>
    <xf numFmtId="0" fontId="15" fillId="0" borderId="9" xfId="0" applyFont="1" applyBorder="1" applyAlignment="1">
      <alignment horizontal="center" vertical="top" wrapText="1"/>
    </xf>
    <xf numFmtId="0" fontId="10" fillId="0" borderId="9" xfId="0" applyFont="1" applyBorder="1" applyAlignment="1">
      <alignment horizontal="center"/>
    </xf>
    <xf numFmtId="2" fontId="10" fillId="0" borderId="9" xfId="0" applyNumberFormat="1" applyFont="1" applyFill="1" applyBorder="1" applyAlignment="1">
      <alignment horizontal="center"/>
    </xf>
    <xf numFmtId="2" fontId="10" fillId="0" borderId="7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4" fillId="0" borderId="8" xfId="0" applyFont="1" applyBorder="1" applyAlignment="1">
      <alignment horizontal="center" vertical="top" wrapText="1"/>
    </xf>
    <xf numFmtId="0" fontId="14" fillId="0" borderId="0" xfId="0" applyFont="1" applyFill="1" applyBorder="1" applyAlignment="1">
      <alignment horizontal="center" wrapText="1"/>
    </xf>
    <xf numFmtId="0" fontId="14" fillId="0" borderId="6" xfId="0" applyFont="1" applyFill="1" applyBorder="1" applyAlignment="1">
      <alignment horizontal="center" wrapText="1"/>
    </xf>
    <xf numFmtId="0" fontId="1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left"/>
    </xf>
    <xf numFmtId="49" fontId="14" fillId="0" borderId="8" xfId="0" applyNumberFormat="1" applyFont="1" applyBorder="1" applyAlignment="1">
      <alignment horizontal="center" wrapTex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4" fillId="0" borderId="8" xfId="0" applyNumberFormat="1" applyFont="1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8" fillId="0" borderId="0" xfId="0" applyFont="1" applyBorder="1" applyAlignment="1"/>
    <xf numFmtId="0" fontId="8" fillId="0" borderId="3" xfId="0" applyFont="1" applyBorder="1" applyAlignment="1"/>
    <xf numFmtId="0" fontId="14" fillId="0" borderId="4" xfId="0" applyFont="1" applyBorder="1" applyAlignment="1">
      <alignment horizontal="center" vertical="top"/>
    </xf>
    <xf numFmtId="0" fontId="14" fillId="0" borderId="6" xfId="0" applyNumberFormat="1" applyFont="1" applyBorder="1" applyAlignment="1">
      <alignment horizontal="center" vertical="top" wrapText="1"/>
    </xf>
    <xf numFmtId="2" fontId="10" fillId="0" borderId="6" xfId="0" applyNumberFormat="1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6" xfId="0" applyFont="1" applyBorder="1" applyAlignment="1">
      <alignment horizontal="left"/>
    </xf>
    <xf numFmtId="0" fontId="8" fillId="0" borderId="6" xfId="0" applyFont="1" applyBorder="1" applyAlignment="1"/>
    <xf numFmtId="2" fontId="10" fillId="0" borderId="3" xfId="0" applyNumberFormat="1" applyFont="1" applyBorder="1" applyAlignment="1">
      <alignment horizontal="center"/>
    </xf>
    <xf numFmtId="0" fontId="3" fillId="0" borderId="8" xfId="0" applyFont="1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3" fillId="0" borderId="2" xfId="0" applyFont="1" applyFill="1" applyBorder="1"/>
    <xf numFmtId="0" fontId="0" fillId="0" borderId="3" xfId="0" applyFill="1" applyBorder="1"/>
    <xf numFmtId="2" fontId="7" fillId="0" borderId="0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 vertical="top" wrapText="1"/>
    </xf>
    <xf numFmtId="0" fontId="17" fillId="0" borderId="0" xfId="0" applyFont="1" applyFill="1" applyBorder="1" applyAlignment="1">
      <alignment horizontal="left"/>
    </xf>
    <xf numFmtId="0" fontId="18" fillId="0" borderId="9" xfId="0" applyFont="1" applyFill="1" applyBorder="1" applyAlignment="1">
      <alignment horizontal="left"/>
    </xf>
    <xf numFmtId="0" fontId="7" fillId="0" borderId="9" xfId="0" applyFont="1" applyFill="1" applyBorder="1"/>
    <xf numFmtId="0" fontId="0" fillId="0" borderId="6" xfId="0" applyFont="1" applyFill="1" applyBorder="1"/>
    <xf numFmtId="0" fontId="7" fillId="0" borderId="7" xfId="0" applyFont="1" applyFill="1" applyBorder="1"/>
    <xf numFmtId="0" fontId="10" fillId="2" borderId="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0" borderId="12" xfId="0" applyFont="1" applyFill="1" applyBorder="1"/>
    <xf numFmtId="0" fontId="0" fillId="0" borderId="13" xfId="0" applyFill="1" applyBorder="1"/>
    <xf numFmtId="0" fontId="0" fillId="0" borderId="13" xfId="0" applyFill="1" applyBorder="1" applyAlignment="1">
      <alignment horizontal="center"/>
    </xf>
    <xf numFmtId="0" fontId="6" fillId="0" borderId="13" xfId="0" applyFont="1" applyFill="1" applyBorder="1"/>
    <xf numFmtId="1" fontId="0" fillId="0" borderId="13" xfId="0" applyNumberFormat="1" applyFill="1" applyBorder="1" applyAlignment="1">
      <alignment horizontal="center"/>
    </xf>
    <xf numFmtId="0" fontId="8" fillId="0" borderId="13" xfId="0" applyFont="1" applyFill="1" applyBorder="1"/>
    <xf numFmtId="0" fontId="0" fillId="0" borderId="14" xfId="0" applyFill="1" applyBorder="1"/>
    <xf numFmtId="1" fontId="0" fillId="0" borderId="0" xfId="0" applyNumberFormat="1" applyFill="1" applyBorder="1" applyAlignment="1">
      <alignment horizontal="center"/>
    </xf>
    <xf numFmtId="0" fontId="0" fillId="0" borderId="8" xfId="0" applyFill="1" applyBorder="1"/>
    <xf numFmtId="0" fontId="8" fillId="0" borderId="9" xfId="0" applyFont="1" applyBorder="1" applyAlignment="1">
      <alignment horizontal="center"/>
    </xf>
    <xf numFmtId="0" fontId="8" fillId="0" borderId="8" xfId="0" applyFont="1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6" xfId="0" applyFill="1" applyBorder="1" applyAlignment="1">
      <alignment horizontal="center"/>
    </xf>
    <xf numFmtId="0" fontId="6" fillId="2" borderId="6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8" fillId="0" borderId="9" xfId="0" applyFont="1" applyFill="1" applyBorder="1" applyAlignment="1">
      <alignment horizontal="center"/>
    </xf>
    <xf numFmtId="0" fontId="8" fillId="0" borderId="2" xfId="0" applyFont="1" applyBorder="1"/>
    <xf numFmtId="0" fontId="8" fillId="0" borderId="8" xfId="0" applyFont="1" applyBorder="1" applyAlignment="1">
      <alignment horizontal="center" wrapText="1"/>
    </xf>
    <xf numFmtId="0" fontId="8" fillId="0" borderId="8" xfId="0" applyFont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 applyAlignment="1">
      <alignment horizontal="center"/>
    </xf>
    <xf numFmtId="0" fontId="8" fillId="2" borderId="0" xfId="0" applyFont="1" applyFill="1" applyBorder="1"/>
    <xf numFmtId="0" fontId="8" fillId="2" borderId="6" xfId="0" applyFont="1" applyFill="1" applyBorder="1"/>
    <xf numFmtId="0" fontId="6" fillId="2" borderId="0" xfId="0" applyFont="1" applyFill="1" applyBorder="1"/>
    <xf numFmtId="2" fontId="0" fillId="2" borderId="0" xfId="0" applyNumberFormat="1" applyFill="1" applyBorder="1" applyAlignment="1">
      <alignment horizontal="center"/>
    </xf>
    <xf numFmtId="2" fontId="0" fillId="2" borderId="6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3" fillId="0" borderId="3" xfId="0" applyFont="1" applyFill="1" applyBorder="1"/>
    <xf numFmtId="0" fontId="3" fillId="0" borderId="3" xfId="0" applyFont="1" applyFill="1" applyBorder="1" applyAlignment="1">
      <alignment horizontal="center"/>
    </xf>
    <xf numFmtId="0" fontId="20" fillId="0" borderId="3" xfId="0" applyFont="1" applyFill="1" applyBorder="1"/>
    <xf numFmtId="0" fontId="3" fillId="0" borderId="4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6" xfId="0" applyFont="1" applyFill="1" applyBorder="1"/>
    <xf numFmtId="0" fontId="0" fillId="0" borderId="6" xfId="0" applyFill="1" applyBorder="1"/>
    <xf numFmtId="2" fontId="7" fillId="0" borderId="6" xfId="0" applyNumberFormat="1" applyFont="1" applyFill="1" applyBorder="1" applyAlignment="1">
      <alignment horizontal="center"/>
    </xf>
    <xf numFmtId="0" fontId="10" fillId="0" borderId="8" xfId="0" applyFont="1" applyFill="1" applyBorder="1"/>
    <xf numFmtId="0" fontId="10" fillId="0" borderId="5" xfId="0" applyFont="1" applyFill="1" applyBorder="1"/>
    <xf numFmtId="0" fontId="19" fillId="0" borderId="6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2" fontId="0" fillId="0" borderId="6" xfId="0" applyNumberFormat="1" applyFont="1" applyFill="1" applyBorder="1" applyAlignment="1">
      <alignment horizontal="center"/>
    </xf>
    <xf numFmtId="0" fontId="0" fillId="0" borderId="0" xfId="0" quotePrefix="1"/>
    <xf numFmtId="166" fontId="0" fillId="0" borderId="0" xfId="0" applyNumberFormat="1" applyFill="1" applyBorder="1" applyAlignment="1">
      <alignment horizontal="center"/>
    </xf>
    <xf numFmtId="166" fontId="14" fillId="0" borderId="0" xfId="0" applyNumberFormat="1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center"/>
    </xf>
    <xf numFmtId="166" fontId="10" fillId="0" borderId="9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wrapText="1"/>
    </xf>
    <xf numFmtId="166" fontId="10" fillId="0" borderId="6" xfId="0" applyNumberFormat="1" applyFont="1" applyFill="1" applyBorder="1" applyAlignment="1">
      <alignment horizontal="center"/>
    </xf>
    <xf numFmtId="166" fontId="10" fillId="0" borderId="7" xfId="0" applyNumberFormat="1" applyFont="1" applyFill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166" fontId="10" fillId="0" borderId="6" xfId="0" applyNumberFormat="1" applyFont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7" fillId="0" borderId="6" xfId="0" applyNumberFormat="1" applyFont="1" applyFill="1" applyBorder="1" applyAlignment="1">
      <alignment horizontal="center"/>
    </xf>
    <xf numFmtId="0" fontId="8" fillId="0" borderId="6" xfId="0" applyFont="1" applyFill="1" applyBorder="1"/>
    <xf numFmtId="166" fontId="0" fillId="0" borderId="0" xfId="0" applyNumberFormat="1"/>
    <xf numFmtId="166" fontId="0" fillId="0" borderId="5" xfId="0" applyNumberFormat="1" applyBorder="1" applyAlignment="1">
      <alignment horizontal="center"/>
    </xf>
    <xf numFmtId="0" fontId="0" fillId="3" borderId="0" xfId="0" applyFill="1"/>
    <xf numFmtId="0" fontId="10" fillId="0" borderId="12" xfId="0" applyFont="1" applyBorder="1"/>
    <xf numFmtId="0" fontId="10" fillId="0" borderId="13" xfId="0" applyFont="1" applyBorder="1"/>
    <xf numFmtId="0" fontId="10" fillId="0" borderId="14" xfId="0" applyFont="1" applyBorder="1"/>
    <xf numFmtId="3" fontId="0" fillId="0" borderId="0" xfId="0" applyNumberFormat="1"/>
    <xf numFmtId="0" fontId="0" fillId="0" borderId="3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8" fillId="0" borderId="15" xfId="0" applyFont="1" applyFill="1" applyBorder="1" applyAlignment="1">
      <alignment horizontal="center"/>
    </xf>
    <xf numFmtId="166" fontId="0" fillId="0" borderId="15" xfId="0" applyNumberFormat="1" applyFill="1" applyBorder="1" applyAlignment="1">
      <alignment horizontal="center"/>
    </xf>
    <xf numFmtId="166" fontId="0" fillId="0" borderId="11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3" fillId="0" borderId="2" xfId="0" applyFont="1" applyFill="1" applyBorder="1" applyAlignment="1">
      <alignment horizontal="left"/>
    </xf>
    <xf numFmtId="0" fontId="3" fillId="0" borderId="3" xfId="0" applyFont="1" applyFill="1" applyBorder="1" applyAlignment="1">
      <alignment horizontal="left"/>
    </xf>
    <xf numFmtId="0" fontId="10" fillId="0" borderId="3" xfId="0" applyFont="1" applyFill="1" applyBorder="1"/>
    <xf numFmtId="0" fontId="10" fillId="0" borderId="4" xfId="0" applyFont="1" applyFill="1" applyBorder="1"/>
    <xf numFmtId="0" fontId="3" fillId="0" borderId="8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10" fillId="0" borderId="0" xfId="0" applyFont="1" applyFill="1" applyBorder="1"/>
    <xf numFmtId="0" fontId="10" fillId="0" borderId="9" xfId="0" applyFont="1" applyFill="1" applyBorder="1"/>
    <xf numFmtId="0" fontId="8" fillId="0" borderId="8" xfId="0" applyFont="1" applyFill="1" applyBorder="1" applyAlignment="1">
      <alignment horizontal="left"/>
    </xf>
    <xf numFmtId="0" fontId="12" fillId="0" borderId="0" xfId="0" applyFont="1" applyFill="1" applyBorder="1"/>
    <xf numFmtId="0" fontId="6" fillId="0" borderId="0" xfId="0" applyFont="1" applyFill="1" applyBorder="1" applyAlignment="1">
      <alignment horizontal="left"/>
    </xf>
    <xf numFmtId="164" fontId="10" fillId="0" borderId="0" xfId="0" applyNumberFormat="1" applyFont="1" applyFill="1" applyBorder="1" applyAlignment="1">
      <alignment horizontal="center"/>
    </xf>
    <xf numFmtId="164" fontId="8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>
      <alignment horizontal="center"/>
    </xf>
    <xf numFmtId="0" fontId="10" fillId="0" borderId="6" xfId="0" applyFont="1" applyFill="1" applyBorder="1"/>
    <xf numFmtId="0" fontId="6" fillId="0" borderId="6" xfId="0" applyFont="1" applyFill="1" applyBorder="1"/>
    <xf numFmtId="164" fontId="10" fillId="0" borderId="6" xfId="0" applyNumberFormat="1" applyFont="1" applyFill="1" applyBorder="1" applyAlignment="1">
      <alignment horizontal="center"/>
    </xf>
    <xf numFmtId="0" fontId="10" fillId="0" borderId="7" xfId="0" applyFont="1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Border="1"/>
    <xf numFmtId="0" fontId="8" fillId="4" borderId="0" xfId="0" applyFont="1" applyFill="1" applyBorder="1"/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2" fontId="0" fillId="4" borderId="0" xfId="0" applyNumberFormat="1" applyFill="1" applyBorder="1" applyAlignment="1">
      <alignment horizontal="center"/>
    </xf>
    <xf numFmtId="0" fontId="13" fillId="4" borderId="0" xfId="0" applyFont="1" applyFill="1" applyBorder="1"/>
    <xf numFmtId="0" fontId="6" fillId="4" borderId="0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2" fontId="6" fillId="4" borderId="0" xfId="0" applyNumberFormat="1" applyFont="1" applyFill="1" applyBorder="1"/>
    <xf numFmtId="0" fontId="9" fillId="4" borderId="0" xfId="0" applyFont="1" applyFill="1"/>
    <xf numFmtId="0" fontId="3" fillId="4" borderId="0" xfId="0" applyFont="1" applyFill="1"/>
    <xf numFmtId="0" fontId="9" fillId="4" borderId="1" xfId="0" applyFont="1" applyFill="1" applyBorder="1" applyAlignment="1">
      <alignment horizontal="center"/>
    </xf>
    <xf numFmtId="0" fontId="11" fillId="4" borderId="0" xfId="0" applyFont="1" applyFill="1"/>
    <xf numFmtId="0" fontId="9" fillId="4" borderId="1" xfId="0" applyFont="1" applyFill="1" applyBorder="1"/>
    <xf numFmtId="0" fontId="4" fillId="4" borderId="0" xfId="0" applyFont="1" applyFill="1"/>
    <xf numFmtId="0" fontId="10" fillId="4" borderId="0" xfId="0" applyFont="1" applyFill="1"/>
    <xf numFmtId="0" fontId="10" fillId="4" borderId="6" xfId="0" applyFont="1" applyFill="1" applyBorder="1"/>
    <xf numFmtId="0" fontId="10" fillId="4" borderId="0" xfId="0" applyFont="1" applyFill="1" applyBorder="1"/>
    <xf numFmtId="0" fontId="10" fillId="4" borderId="3" xfId="0" applyFont="1" applyFill="1" applyBorder="1"/>
    <xf numFmtId="0" fontId="10" fillId="4" borderId="0" xfId="0" applyFont="1" applyFill="1" applyAlignment="1">
      <alignment horizontal="center"/>
    </xf>
    <xf numFmtId="0" fontId="10" fillId="4" borderId="8" xfId="0" applyFont="1" applyFill="1" applyBorder="1"/>
    <xf numFmtId="0" fontId="10" fillId="4" borderId="9" xfId="0" applyFont="1" applyFill="1" applyBorder="1"/>
    <xf numFmtId="0" fontId="13" fillId="4" borderId="0" xfId="0" applyFont="1" applyFill="1"/>
    <xf numFmtId="0" fontId="9" fillId="4" borderId="0" xfId="0" applyFont="1" applyFill="1" applyAlignment="1">
      <alignment horizontal="center"/>
    </xf>
    <xf numFmtId="0" fontId="9" fillId="4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  <xf numFmtId="0" fontId="8" fillId="4" borderId="0" xfId="0" applyFont="1" applyFill="1"/>
    <xf numFmtId="0" fontId="12" fillId="0" borderId="0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 vertical="top"/>
    </xf>
    <xf numFmtId="0" fontId="8" fillId="4" borderId="0" xfId="0" applyFont="1" applyFill="1" applyAlignment="1"/>
    <xf numFmtId="0" fontId="14" fillId="4" borderId="0" xfId="0" applyFont="1" applyFill="1" applyBorder="1" applyAlignment="1">
      <alignment horizontal="center" vertical="top" wrapText="1"/>
    </xf>
    <xf numFmtId="0" fontId="10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21" fillId="4" borderId="0" xfId="0" applyFont="1" applyFill="1" applyBorder="1" applyAlignment="1">
      <alignment horizontal="center" vertical="top" wrapText="1"/>
    </xf>
    <xf numFmtId="0" fontId="6" fillId="4" borderId="0" xfId="0" applyFont="1" applyFill="1" applyBorder="1" applyAlignment="1">
      <alignment horizontal="center" wrapText="1"/>
    </xf>
    <xf numFmtId="0" fontId="1" fillId="4" borderId="0" xfId="0" applyFont="1" applyFill="1"/>
    <xf numFmtId="0" fontId="0" fillId="0" borderId="4" xfId="0" applyFill="1" applyBorder="1"/>
    <xf numFmtId="0" fontId="0" fillId="0" borderId="9" xfId="0" applyFill="1" applyBorder="1"/>
    <xf numFmtId="166" fontId="0" fillId="0" borderId="6" xfId="0" applyNumberFormat="1" applyFill="1" applyBorder="1" applyAlignment="1">
      <alignment horizontal="center"/>
    </xf>
    <xf numFmtId="0" fontId="0" fillId="0" borderId="7" xfId="0" applyFill="1" applyBorder="1"/>
    <xf numFmtId="1" fontId="0" fillId="4" borderId="0" xfId="0" applyNumberFormat="1" applyFill="1" applyBorder="1"/>
    <xf numFmtId="0" fontId="1" fillId="4" borderId="0" xfId="0" applyFont="1" applyFill="1" applyBorder="1"/>
    <xf numFmtId="166" fontId="0" fillId="4" borderId="0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1" fontId="0" fillId="4" borderId="0" xfId="0" applyNumberFormat="1" applyFill="1" applyBorder="1" applyAlignment="1">
      <alignment horizontal="center"/>
    </xf>
    <xf numFmtId="166" fontId="0" fillId="4" borderId="0" xfId="0" applyNumberFormat="1" applyFill="1"/>
    <xf numFmtId="0" fontId="3" fillId="4" borderId="0" xfId="0" applyFont="1" applyFill="1" applyBorder="1"/>
    <xf numFmtId="0" fontId="22" fillId="2" borderId="0" xfId="0" applyFont="1" applyFill="1"/>
    <xf numFmtId="0" fontId="0" fillId="2" borderId="0" xfId="0" applyFill="1"/>
    <xf numFmtId="1" fontId="0" fillId="2" borderId="1" xfId="0" applyNumberFormat="1" applyFill="1" applyBorder="1"/>
    <xf numFmtId="0" fontId="0" fillId="2" borderId="1" xfId="0" applyFill="1" applyBorder="1"/>
    <xf numFmtId="0" fontId="1" fillId="2" borderId="0" xfId="0" applyFont="1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166" fontId="0" fillId="2" borderId="8" xfId="0" applyNumberForma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66" fontId="0" fillId="2" borderId="9" xfId="0" applyNumberForma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6" fontId="0" fillId="2" borderId="6" xfId="0" applyNumberForma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0" fontId="0" fillId="2" borderId="12" xfId="0" applyFill="1" applyBorder="1"/>
    <xf numFmtId="166" fontId="0" fillId="2" borderId="13" xfId="0" applyNumberFormat="1" applyFill="1" applyBorder="1" applyAlignment="1">
      <alignment horizontal="center"/>
    </xf>
    <xf numFmtId="166" fontId="0" fillId="2" borderId="14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5" fillId="0" borderId="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5" fillId="0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85725</xdr:rowOff>
        </xdr:from>
        <xdr:to>
          <xdr:col>9</xdr:col>
          <xdr:colOff>28575</xdr:colOff>
          <xdr:row>7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Model Setup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</sheetPr>
  <dimension ref="B2:J2"/>
  <sheetViews>
    <sheetView tabSelected="1" workbookViewId="0"/>
  </sheetViews>
  <sheetFormatPr defaultRowHeight="15" x14ac:dyDescent="0.25"/>
  <cols>
    <col min="1" max="16384" width="9.140625" style="186"/>
  </cols>
  <sheetData>
    <row r="2" spans="2:10" x14ac:dyDescent="0.25">
      <c r="B2" s="186" t="s">
        <v>257</v>
      </c>
      <c r="D2" s="186" t="s">
        <v>258</v>
      </c>
      <c r="J2" s="186" t="s">
        <v>339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Form_Click">
                <anchor moveWithCells="1" sizeWithCells="1">
                  <from>
                    <xdr:col>6</xdr:col>
                    <xdr:colOff>28575</xdr:colOff>
                    <xdr:row>5</xdr:row>
                    <xdr:rowOff>85725</xdr:rowOff>
                  </from>
                  <to>
                    <xdr:col>9</xdr:col>
                    <xdr:colOff>28575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Y148"/>
  <sheetViews>
    <sheetView workbookViewId="0"/>
  </sheetViews>
  <sheetFormatPr defaultRowHeight="15" x14ac:dyDescent="0.25"/>
  <cols>
    <col min="1" max="1" width="3" style="222" customWidth="1"/>
    <col min="4" max="4" width="4.42578125" customWidth="1"/>
    <col min="5" max="5" width="23.140625" style="17" customWidth="1"/>
    <col min="6" max="6" width="17.7109375" customWidth="1"/>
    <col min="7" max="7" width="10.7109375" customWidth="1"/>
    <col min="8" max="8" width="11" customWidth="1"/>
    <col min="9" max="9" width="11.140625" customWidth="1"/>
    <col min="10" max="10" width="9.85546875" style="224" customWidth="1"/>
    <col min="11" max="14" width="9.85546875" style="222" customWidth="1"/>
    <col min="15" max="25" width="9.140625" style="222"/>
  </cols>
  <sheetData>
    <row r="1" spans="1:25" ht="18" x14ac:dyDescent="0.25">
      <c r="A1" s="221" t="s">
        <v>264</v>
      </c>
      <c r="B1" s="222"/>
      <c r="C1" s="222"/>
      <c r="D1" s="222"/>
      <c r="E1" s="223"/>
      <c r="F1" s="222"/>
      <c r="G1" s="222"/>
      <c r="H1" s="222"/>
      <c r="I1" s="222"/>
    </row>
    <row r="2" spans="1:25" s="21" customFormat="1" x14ac:dyDescent="0.25">
      <c r="A2" s="224"/>
      <c r="B2" s="225"/>
      <c r="C2" s="224"/>
      <c r="D2" s="224"/>
      <c r="E2" s="226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</row>
    <row r="3" spans="1:25" x14ac:dyDescent="0.25">
      <c r="B3" s="225"/>
      <c r="C3" s="224"/>
      <c r="D3" s="224"/>
      <c r="E3" s="226"/>
      <c r="F3" s="227"/>
      <c r="G3" s="227"/>
      <c r="H3" s="228"/>
      <c r="I3" s="222"/>
    </row>
    <row r="4" spans="1:25" ht="18" x14ac:dyDescent="0.25">
      <c r="A4" s="229" t="s">
        <v>97</v>
      </c>
      <c r="B4" s="224"/>
      <c r="C4" s="224"/>
      <c r="D4" s="224"/>
      <c r="E4" s="226"/>
      <c r="F4" s="224"/>
      <c r="G4" s="224"/>
      <c r="H4" s="224"/>
      <c r="I4" s="227"/>
      <c r="J4" s="230"/>
    </row>
    <row r="5" spans="1:25" x14ac:dyDescent="0.25">
      <c r="A5" s="225"/>
      <c r="B5" s="112" t="s">
        <v>140</v>
      </c>
      <c r="C5" s="113"/>
      <c r="D5" s="113"/>
      <c r="E5" s="114"/>
      <c r="F5" s="115" t="s">
        <v>142</v>
      </c>
      <c r="G5" s="116">
        <f ca="1">_xll.RiskOutput()+ROUND(Surv!I9*Surv!F15*Surv!C33,0)</f>
        <v>1117</v>
      </c>
      <c r="H5" s="117" t="s">
        <v>98</v>
      </c>
      <c r="I5" s="118"/>
      <c r="J5" s="230"/>
    </row>
    <row r="6" spans="1:25" x14ac:dyDescent="0.25">
      <c r="A6" s="225"/>
      <c r="B6" s="112" t="s">
        <v>141</v>
      </c>
      <c r="C6" s="113"/>
      <c r="D6" s="113"/>
      <c r="E6" s="114"/>
      <c r="F6" s="115" t="s">
        <v>143</v>
      </c>
      <c r="G6" s="116">
        <f ca="1">_xll.RiskOutput()+ROUND(Surv!I9*Surv!F15*Surv!C34,0)</f>
        <v>41717</v>
      </c>
      <c r="H6" s="117" t="s">
        <v>98</v>
      </c>
      <c r="I6" s="118"/>
      <c r="J6" s="230"/>
    </row>
    <row r="7" spans="1:25" s="222" customFormat="1" x14ac:dyDescent="0.25">
      <c r="A7" s="225"/>
      <c r="B7" s="225"/>
      <c r="C7" s="224"/>
      <c r="D7" s="224"/>
      <c r="E7" s="226"/>
      <c r="F7" s="227"/>
      <c r="G7" s="234"/>
      <c r="H7" s="225"/>
      <c r="I7" s="224"/>
      <c r="J7" s="230"/>
    </row>
    <row r="8" spans="1:25" s="222" customFormat="1" x14ac:dyDescent="0.25">
      <c r="A8" s="225"/>
      <c r="B8" s="225"/>
      <c r="C8" s="224"/>
      <c r="D8" s="224"/>
      <c r="E8" s="226"/>
      <c r="F8" s="227"/>
      <c r="G8" s="235"/>
      <c r="H8" s="227"/>
      <c r="I8" s="224"/>
      <c r="J8" s="224"/>
    </row>
    <row r="9" spans="1:25" s="222" customFormat="1" ht="18" x14ac:dyDescent="0.25">
      <c r="A9" s="229" t="s">
        <v>99</v>
      </c>
      <c r="B9" s="225"/>
      <c r="C9" s="224"/>
      <c r="D9" s="224"/>
      <c r="E9" s="226"/>
      <c r="F9" s="227"/>
      <c r="G9" s="227"/>
      <c r="H9" s="227"/>
      <c r="J9" s="224"/>
    </row>
    <row r="10" spans="1:25" x14ac:dyDescent="0.25">
      <c r="A10" s="224"/>
      <c r="B10" s="100"/>
      <c r="C10" s="101"/>
      <c r="D10" s="101"/>
      <c r="E10" s="191"/>
      <c r="F10" s="101"/>
      <c r="G10" s="101"/>
      <c r="H10" s="198" t="s">
        <v>100</v>
      </c>
      <c r="I10" s="192" t="s">
        <v>101</v>
      </c>
      <c r="J10" s="230"/>
    </row>
    <row r="11" spans="1:25" x14ac:dyDescent="0.25">
      <c r="A11" s="224"/>
      <c r="B11" s="97"/>
      <c r="C11" s="21"/>
      <c r="D11" s="21"/>
      <c r="E11" s="13"/>
      <c r="F11" s="21"/>
      <c r="G11" s="21"/>
      <c r="H11" s="199" t="s">
        <v>328</v>
      </c>
      <c r="I11" s="193" t="s">
        <v>328</v>
      </c>
      <c r="J11" s="230" t="s">
        <v>102</v>
      </c>
      <c r="N11" s="230" t="s">
        <v>102</v>
      </c>
    </row>
    <row r="12" spans="1:25" x14ac:dyDescent="0.25">
      <c r="A12" s="224"/>
      <c r="B12" s="97"/>
      <c r="C12" s="21"/>
      <c r="D12" s="21"/>
      <c r="E12" s="13"/>
      <c r="F12" s="21"/>
      <c r="G12" s="21"/>
      <c r="H12" s="194"/>
      <c r="I12" s="194"/>
      <c r="J12" s="231" t="s">
        <v>102</v>
      </c>
      <c r="N12" s="222" t="s">
        <v>102</v>
      </c>
    </row>
    <row r="13" spans="1:25" x14ac:dyDescent="0.25">
      <c r="A13" s="224"/>
      <c r="B13" s="97"/>
      <c r="C13" s="21"/>
      <c r="D13" s="21"/>
      <c r="E13" s="13" t="s">
        <v>37</v>
      </c>
      <c r="F13" s="13" t="s">
        <v>103</v>
      </c>
      <c r="G13" s="13" t="s">
        <v>104</v>
      </c>
      <c r="H13" s="195" t="s">
        <v>256</v>
      </c>
      <c r="I13" s="195" t="s">
        <v>256</v>
      </c>
      <c r="J13" s="232" t="s">
        <v>102</v>
      </c>
      <c r="N13" s="222" t="s">
        <v>102</v>
      </c>
    </row>
    <row r="14" spans="1:25" x14ac:dyDescent="0.25">
      <c r="A14" s="224"/>
      <c r="B14" s="122" t="s">
        <v>106</v>
      </c>
      <c r="C14" s="21"/>
      <c r="D14" s="21"/>
      <c r="E14" s="13">
        <v>1</v>
      </c>
      <c r="F14" s="119" t="b">
        <f>IF(SRM!F7=1,TRUE,IF(SRM!G7=1,FALSE,IF(AND(Age_slaughter&gt;SRM!I7,Age_slaughter&lt;SRM!J7),TRUE,FALSE)))</f>
        <v>0</v>
      </c>
      <c r="G14" s="119" t="b">
        <f>IF(Processing!F28=0,FALSE,TRUE)</f>
        <v>0</v>
      </c>
      <c r="H14" s="196">
        <f ca="1">_xll.RiskOutput("Inf_1")+IF(AND(SRMAge_1=FALSE,Proc_1=FALSE),Weight_1*Titre_1,IF(AND(SRMAge_1=FALSE,Proc_1=TRUE),Weight_1*Titre_1*(1-P_processing_1),NA))</f>
        <v>0</v>
      </c>
      <c r="I14" s="196">
        <f>_xll.RiskOutput()+Resampler!J28</f>
        <v>0</v>
      </c>
      <c r="J14" s="233" t="s">
        <v>102</v>
      </c>
    </row>
    <row r="15" spans="1:25" x14ac:dyDescent="0.25">
      <c r="A15" s="224"/>
      <c r="B15" s="122" t="s">
        <v>107</v>
      </c>
      <c r="C15" s="21"/>
      <c r="D15" s="21"/>
      <c r="E15" s="13">
        <v>2</v>
      </c>
      <c r="F15" s="119" t="b">
        <f>IF(SRM!F8=1,TRUE,IF(SRM!G8=1,FALSE,IF(AND(Age_slaughter&gt;SRM!I8,Age_slaughter&lt;SRM!J8),TRUE,FALSE)))</f>
        <v>0</v>
      </c>
      <c r="G15" s="119" t="b">
        <f>IF(Processing!F29=0,FALSE,TRUE)</f>
        <v>0</v>
      </c>
      <c r="H15" s="196">
        <f ca="1">_xll.RiskOutput("Inf_2")+IF(AND(SRMAge_2=FALSE,Proc_2=FALSE),Weight_2*Titre_2,IF(AND(SRMAge_2=FALSE,Proc_2=TRUE),Weight_2*Titre_2*(2-P_processing_2),NA))</f>
        <v>0</v>
      </c>
      <c r="I15" s="196">
        <f>_xll.RiskOutput()+Resampler!K28</f>
        <v>0</v>
      </c>
      <c r="J15" s="233" t="s">
        <v>102</v>
      </c>
    </row>
    <row r="16" spans="1:25" x14ac:dyDescent="0.25">
      <c r="A16" s="224"/>
      <c r="B16" s="122" t="s">
        <v>108</v>
      </c>
      <c r="C16" s="21"/>
      <c r="D16" s="21"/>
      <c r="E16" s="13">
        <v>3</v>
      </c>
      <c r="F16" s="119" t="b">
        <f>IF(SRM!F9=1,TRUE,IF(SRM!G9=1,FALSE,IF(AND(Age_slaughter&gt;SRM!I9,Age_slaughter&lt;SRM!J9),TRUE,FALSE)))</f>
        <v>0</v>
      </c>
      <c r="G16" s="119" t="b">
        <f>IF(Processing!F30=0,FALSE,TRUE)</f>
        <v>0</v>
      </c>
      <c r="H16" s="196">
        <f ca="1">_xll.RiskOutput("Inf_3")+IF(AND(SRMAge_3=FALSE,Proc_3=FALSE),Weight_3*Titre_3,IF(AND(SRMAge_3=FALSE,Proc_3=TRUE),Weight_3*Titre_3*(3-P_processing_3),NA))</f>
        <v>51106.117397040573</v>
      </c>
      <c r="I16" s="196">
        <f>_xll.RiskOutput()+Resampler!L28</f>
        <v>0</v>
      </c>
      <c r="J16" s="233" t="s">
        <v>102</v>
      </c>
    </row>
    <row r="17" spans="1:10" x14ac:dyDescent="0.25">
      <c r="B17" s="10" t="s">
        <v>109</v>
      </c>
      <c r="C17" s="8"/>
      <c r="D17" s="8"/>
      <c r="E17" s="13">
        <v>4</v>
      </c>
      <c r="F17" s="119" t="b">
        <f>IF(SRM!F10=1,TRUE,IF(SRM!G10=1,FALSE,IF(AND(Age_slaughter&gt;SRM!I10,Age_slaughter&lt;SRM!J10),TRUE,FALSE)))</f>
        <v>0</v>
      </c>
      <c r="G17" s="119" t="b">
        <f>IF(Processing!F31=0,FALSE,TRUE)</f>
        <v>0</v>
      </c>
      <c r="H17" s="196">
        <f ca="1">_xll.RiskOutput("Inf_4")+IF(AND(SRMAge_4=FALSE,Proc_4=FALSE),Weight_4*Titre_4,IF(AND(SRMAge_4=FALSE,Proc_4=TRUE),Weight_4*Titre_4*(4-P_processing_4),NA))</f>
        <v>0</v>
      </c>
      <c r="I17" s="196">
        <f>_xll.RiskOutput()+Resampler!M28</f>
        <v>0</v>
      </c>
      <c r="J17" s="233" t="s">
        <v>102</v>
      </c>
    </row>
    <row r="18" spans="1:10" x14ac:dyDescent="0.25">
      <c r="A18" s="224"/>
      <c r="B18" s="120" t="s">
        <v>110</v>
      </c>
      <c r="C18" s="21"/>
      <c r="D18" s="21"/>
      <c r="E18" s="13">
        <v>5</v>
      </c>
      <c r="F18" s="119" t="b">
        <f>IF(SRM!F11=1,TRUE,IF(SRM!G11=1,FALSE,IF(AND(Age_slaughter&gt;SRM!I11,Age_slaughter&lt;SRM!J11),TRUE,FALSE)))</f>
        <v>0</v>
      </c>
      <c r="G18" s="119" t="b">
        <f>IF(Processing!F32=0,FALSE,TRUE)</f>
        <v>0</v>
      </c>
      <c r="H18" s="196">
        <f ca="1">_xll.RiskOutput("Inf_5")+IF(AND(SRMAge_5=FALSE,Proc_5=FALSE),Weight_5*Titre_5,IF(AND(SRMAge_5=FALSE,Proc_5=TRUE),Weight_5*Titre_5*(5-P_processing_5),NA))</f>
        <v>0</v>
      </c>
      <c r="I18" s="196">
        <f>_xll.RiskOutput()+Resampler!N28</f>
        <v>0</v>
      </c>
      <c r="J18" s="233" t="s">
        <v>102</v>
      </c>
    </row>
    <row r="19" spans="1:10" x14ac:dyDescent="0.25">
      <c r="B19" s="4" t="s">
        <v>111</v>
      </c>
      <c r="C19" s="5"/>
      <c r="D19" s="5"/>
      <c r="E19" s="126">
        <v>6</v>
      </c>
      <c r="F19" s="14" t="b">
        <f>IF(SRM!F12=1,TRUE,IF(SRM!G12=1,FALSE,IF(AND(Age_slaughter&gt;SRM!I12,Age_slaughter&lt;SRM!J12),TRUE,FALSE)))</f>
        <v>0</v>
      </c>
      <c r="G19" s="14" t="b">
        <f>IF(Processing!F33=0,FALSE,TRUE)</f>
        <v>0</v>
      </c>
      <c r="H19" s="197">
        <f ca="1">_xll.RiskOutput("Inf_6")+IF(AND(SRMAge_6=FALSE,Proc_6=FALSE),Weight_6*Titre_6,IF(AND(SRMAge_6=FALSE,Proc_6=TRUE),Weight_6*Titre_6*(6-P_processing_6),NA))</f>
        <v>0</v>
      </c>
      <c r="I19" s="197">
        <f>_xll.RiskOutput()+Resampler!O28</f>
        <v>0</v>
      </c>
      <c r="J19" s="233" t="s">
        <v>102</v>
      </c>
    </row>
    <row r="20" spans="1:10" s="222" customFormat="1" x14ac:dyDescent="0.25">
      <c r="E20" s="223"/>
      <c r="F20" s="234"/>
      <c r="G20" s="234"/>
      <c r="J20" s="224"/>
    </row>
    <row r="21" spans="1:10" s="222" customFormat="1" x14ac:dyDescent="0.25">
      <c r="E21" s="223"/>
      <c r="F21" s="234"/>
      <c r="G21" s="234"/>
      <c r="J21" s="224"/>
    </row>
    <row r="22" spans="1:10" s="222" customFormat="1" x14ac:dyDescent="0.25">
      <c r="E22" s="223"/>
      <c r="J22" s="224"/>
    </row>
    <row r="23" spans="1:10" s="222" customFormat="1" x14ac:dyDescent="0.25">
      <c r="E23" s="223"/>
      <c r="J23" s="224"/>
    </row>
    <row r="24" spans="1:10" s="222" customFormat="1" x14ac:dyDescent="0.25">
      <c r="E24" s="223"/>
      <c r="J24" s="224"/>
    </row>
    <row r="25" spans="1:10" s="222" customFormat="1" x14ac:dyDescent="0.25">
      <c r="E25" s="223"/>
      <c r="J25" s="224"/>
    </row>
    <row r="26" spans="1:10" s="222" customFormat="1" x14ac:dyDescent="0.25">
      <c r="E26" s="223"/>
      <c r="J26" s="224"/>
    </row>
    <row r="27" spans="1:10" s="222" customFormat="1" x14ac:dyDescent="0.25">
      <c r="E27" s="223"/>
      <c r="J27" s="224"/>
    </row>
    <row r="28" spans="1:10" s="222" customFormat="1" x14ac:dyDescent="0.25">
      <c r="E28" s="223"/>
      <c r="J28" s="224"/>
    </row>
    <row r="29" spans="1:10" s="222" customFormat="1" x14ac:dyDescent="0.25">
      <c r="E29" s="223"/>
      <c r="J29" s="224"/>
    </row>
    <row r="30" spans="1:10" s="222" customFormat="1" x14ac:dyDescent="0.25">
      <c r="E30" s="223"/>
      <c r="J30" s="224"/>
    </row>
    <row r="31" spans="1:10" s="222" customFormat="1" x14ac:dyDescent="0.25">
      <c r="E31" s="223"/>
      <c r="J31" s="224"/>
    </row>
    <row r="32" spans="1:10" s="222" customFormat="1" x14ac:dyDescent="0.25">
      <c r="E32" s="223"/>
      <c r="J32" s="224"/>
    </row>
    <row r="33" spans="5:10" s="222" customFormat="1" x14ac:dyDescent="0.25">
      <c r="E33" s="223"/>
      <c r="J33" s="224"/>
    </row>
    <row r="34" spans="5:10" s="222" customFormat="1" x14ac:dyDescent="0.25">
      <c r="E34" s="223"/>
      <c r="J34" s="224"/>
    </row>
    <row r="35" spans="5:10" s="222" customFormat="1" x14ac:dyDescent="0.25">
      <c r="E35" s="223"/>
      <c r="J35" s="224"/>
    </row>
    <row r="36" spans="5:10" s="222" customFormat="1" x14ac:dyDescent="0.25">
      <c r="E36" s="223"/>
      <c r="J36" s="224"/>
    </row>
    <row r="37" spans="5:10" s="222" customFormat="1" x14ac:dyDescent="0.25">
      <c r="E37" s="223"/>
      <c r="J37" s="224"/>
    </row>
    <row r="38" spans="5:10" s="222" customFormat="1" x14ac:dyDescent="0.25">
      <c r="E38" s="223"/>
      <c r="J38" s="224"/>
    </row>
    <row r="39" spans="5:10" s="222" customFormat="1" x14ac:dyDescent="0.25">
      <c r="E39" s="223"/>
      <c r="J39" s="224"/>
    </row>
    <row r="40" spans="5:10" s="222" customFormat="1" x14ac:dyDescent="0.25">
      <c r="E40" s="223"/>
      <c r="J40" s="224"/>
    </row>
    <row r="41" spans="5:10" s="222" customFormat="1" x14ac:dyDescent="0.25">
      <c r="E41" s="223"/>
      <c r="J41" s="224"/>
    </row>
    <row r="42" spans="5:10" s="222" customFormat="1" x14ac:dyDescent="0.25">
      <c r="E42" s="223"/>
      <c r="J42" s="224"/>
    </row>
    <row r="43" spans="5:10" s="222" customFormat="1" x14ac:dyDescent="0.25">
      <c r="E43" s="223"/>
      <c r="J43" s="224"/>
    </row>
    <row r="44" spans="5:10" s="222" customFormat="1" x14ac:dyDescent="0.25">
      <c r="E44" s="223"/>
      <c r="J44" s="224"/>
    </row>
    <row r="45" spans="5:10" s="222" customFormat="1" x14ac:dyDescent="0.25">
      <c r="E45" s="223"/>
      <c r="J45" s="224"/>
    </row>
    <row r="46" spans="5:10" s="222" customFormat="1" x14ac:dyDescent="0.25">
      <c r="E46" s="223"/>
      <c r="J46" s="224"/>
    </row>
    <row r="47" spans="5:10" s="222" customFormat="1" x14ac:dyDescent="0.25">
      <c r="E47" s="223"/>
      <c r="J47" s="224"/>
    </row>
    <row r="48" spans="5:10" s="222" customFormat="1" x14ac:dyDescent="0.25">
      <c r="E48" s="223"/>
      <c r="J48" s="224"/>
    </row>
    <row r="49" spans="5:10" s="222" customFormat="1" x14ac:dyDescent="0.25">
      <c r="E49" s="223"/>
      <c r="J49" s="224"/>
    </row>
    <row r="50" spans="5:10" s="222" customFormat="1" x14ac:dyDescent="0.25">
      <c r="E50" s="223"/>
      <c r="J50" s="224"/>
    </row>
    <row r="51" spans="5:10" s="222" customFormat="1" x14ac:dyDescent="0.25">
      <c r="E51" s="223"/>
      <c r="J51" s="224"/>
    </row>
    <row r="52" spans="5:10" s="222" customFormat="1" x14ac:dyDescent="0.25">
      <c r="E52" s="223"/>
      <c r="J52" s="224"/>
    </row>
    <row r="53" spans="5:10" s="222" customFormat="1" x14ac:dyDescent="0.25">
      <c r="E53" s="223"/>
      <c r="J53" s="224"/>
    </row>
    <row r="54" spans="5:10" s="222" customFormat="1" x14ac:dyDescent="0.25">
      <c r="E54" s="223"/>
      <c r="J54" s="224"/>
    </row>
    <row r="55" spans="5:10" s="222" customFormat="1" x14ac:dyDescent="0.25">
      <c r="E55" s="223"/>
      <c r="J55" s="224"/>
    </row>
    <row r="56" spans="5:10" s="222" customFormat="1" x14ac:dyDescent="0.25">
      <c r="E56" s="223"/>
      <c r="J56" s="224"/>
    </row>
    <row r="57" spans="5:10" s="222" customFormat="1" x14ac:dyDescent="0.25">
      <c r="E57" s="223"/>
      <c r="J57" s="224"/>
    </row>
    <row r="58" spans="5:10" s="222" customFormat="1" x14ac:dyDescent="0.25">
      <c r="E58" s="223"/>
      <c r="J58" s="224"/>
    </row>
    <row r="59" spans="5:10" s="222" customFormat="1" x14ac:dyDescent="0.25">
      <c r="E59" s="223"/>
      <c r="J59" s="224"/>
    </row>
    <row r="60" spans="5:10" s="222" customFormat="1" x14ac:dyDescent="0.25">
      <c r="E60" s="223"/>
      <c r="J60" s="224"/>
    </row>
    <row r="61" spans="5:10" s="222" customFormat="1" x14ac:dyDescent="0.25">
      <c r="E61" s="223"/>
      <c r="J61" s="224"/>
    </row>
    <row r="62" spans="5:10" s="222" customFormat="1" x14ac:dyDescent="0.25">
      <c r="E62" s="223"/>
      <c r="J62" s="224"/>
    </row>
    <row r="63" spans="5:10" s="222" customFormat="1" x14ac:dyDescent="0.25">
      <c r="E63" s="223"/>
      <c r="J63" s="224"/>
    </row>
    <row r="64" spans="5:10" s="222" customFormat="1" x14ac:dyDescent="0.25">
      <c r="E64" s="223"/>
      <c r="J64" s="224"/>
    </row>
    <row r="65" spans="5:10" s="222" customFormat="1" x14ac:dyDescent="0.25">
      <c r="E65" s="223"/>
      <c r="J65" s="224"/>
    </row>
    <row r="66" spans="5:10" s="222" customFormat="1" x14ac:dyDescent="0.25">
      <c r="E66" s="223"/>
      <c r="J66" s="224"/>
    </row>
    <row r="67" spans="5:10" s="222" customFormat="1" x14ac:dyDescent="0.25">
      <c r="E67" s="223"/>
      <c r="J67" s="224"/>
    </row>
    <row r="68" spans="5:10" s="222" customFormat="1" x14ac:dyDescent="0.25">
      <c r="E68" s="223"/>
      <c r="J68" s="224"/>
    </row>
    <row r="69" spans="5:10" s="222" customFormat="1" x14ac:dyDescent="0.25">
      <c r="E69" s="223"/>
      <c r="J69" s="224"/>
    </row>
    <row r="70" spans="5:10" s="222" customFormat="1" x14ac:dyDescent="0.25">
      <c r="E70" s="223"/>
      <c r="J70" s="224"/>
    </row>
    <row r="71" spans="5:10" s="222" customFormat="1" x14ac:dyDescent="0.25">
      <c r="E71" s="223"/>
      <c r="J71" s="224"/>
    </row>
    <row r="72" spans="5:10" s="222" customFormat="1" x14ac:dyDescent="0.25">
      <c r="E72" s="223"/>
      <c r="J72" s="224"/>
    </row>
    <row r="73" spans="5:10" s="222" customFormat="1" x14ac:dyDescent="0.25">
      <c r="E73" s="223"/>
      <c r="J73" s="224"/>
    </row>
    <row r="74" spans="5:10" s="222" customFormat="1" x14ac:dyDescent="0.25">
      <c r="E74" s="223"/>
      <c r="J74" s="224"/>
    </row>
    <row r="75" spans="5:10" s="222" customFormat="1" x14ac:dyDescent="0.25">
      <c r="E75" s="223"/>
      <c r="J75" s="224"/>
    </row>
    <row r="76" spans="5:10" s="222" customFormat="1" x14ac:dyDescent="0.25">
      <c r="E76" s="223"/>
      <c r="J76" s="224"/>
    </row>
    <row r="77" spans="5:10" s="222" customFormat="1" x14ac:dyDescent="0.25">
      <c r="E77" s="223"/>
      <c r="J77" s="224"/>
    </row>
    <row r="78" spans="5:10" s="222" customFormat="1" x14ac:dyDescent="0.25">
      <c r="E78" s="223"/>
      <c r="J78" s="224"/>
    </row>
    <row r="79" spans="5:10" s="222" customFormat="1" x14ac:dyDescent="0.25">
      <c r="E79" s="223"/>
      <c r="J79" s="224"/>
    </row>
    <row r="80" spans="5:10" s="222" customFormat="1" x14ac:dyDescent="0.25">
      <c r="E80" s="223"/>
      <c r="J80" s="224"/>
    </row>
    <row r="81" spans="5:10" s="222" customFormat="1" x14ac:dyDescent="0.25">
      <c r="E81" s="223"/>
      <c r="J81" s="224"/>
    </row>
    <row r="82" spans="5:10" s="222" customFormat="1" x14ac:dyDescent="0.25">
      <c r="E82" s="223"/>
      <c r="J82" s="224"/>
    </row>
    <row r="83" spans="5:10" s="222" customFormat="1" x14ac:dyDescent="0.25">
      <c r="E83" s="223"/>
      <c r="J83" s="224"/>
    </row>
    <row r="84" spans="5:10" s="222" customFormat="1" x14ac:dyDescent="0.25">
      <c r="E84" s="223"/>
      <c r="J84" s="224"/>
    </row>
    <row r="85" spans="5:10" s="222" customFormat="1" x14ac:dyDescent="0.25">
      <c r="E85" s="223"/>
      <c r="J85" s="224"/>
    </row>
    <row r="86" spans="5:10" s="222" customFormat="1" x14ac:dyDescent="0.25">
      <c r="E86" s="223"/>
      <c r="J86" s="224"/>
    </row>
    <row r="87" spans="5:10" s="222" customFormat="1" x14ac:dyDescent="0.25">
      <c r="E87" s="223"/>
      <c r="J87" s="224"/>
    </row>
    <row r="88" spans="5:10" s="222" customFormat="1" x14ac:dyDescent="0.25">
      <c r="E88" s="223"/>
      <c r="J88" s="224"/>
    </row>
    <row r="89" spans="5:10" s="222" customFormat="1" x14ac:dyDescent="0.25">
      <c r="E89" s="223"/>
      <c r="J89" s="224"/>
    </row>
    <row r="90" spans="5:10" s="222" customFormat="1" x14ac:dyDescent="0.25">
      <c r="E90" s="223"/>
      <c r="J90" s="224"/>
    </row>
    <row r="91" spans="5:10" s="222" customFormat="1" x14ac:dyDescent="0.25">
      <c r="E91" s="223"/>
      <c r="J91" s="224"/>
    </row>
    <row r="92" spans="5:10" s="222" customFormat="1" x14ac:dyDescent="0.25">
      <c r="E92" s="223"/>
      <c r="J92" s="224"/>
    </row>
    <row r="93" spans="5:10" s="222" customFormat="1" x14ac:dyDescent="0.25">
      <c r="E93" s="223"/>
      <c r="J93" s="224"/>
    </row>
    <row r="94" spans="5:10" s="222" customFormat="1" x14ac:dyDescent="0.25">
      <c r="E94" s="223"/>
      <c r="J94" s="224"/>
    </row>
    <row r="95" spans="5:10" s="222" customFormat="1" x14ac:dyDescent="0.25">
      <c r="E95" s="223"/>
      <c r="J95" s="224"/>
    </row>
    <row r="96" spans="5:10" s="222" customFormat="1" x14ac:dyDescent="0.25">
      <c r="E96" s="223"/>
      <c r="J96" s="224"/>
    </row>
    <row r="97" spans="5:10" s="222" customFormat="1" x14ac:dyDescent="0.25">
      <c r="E97" s="223"/>
      <c r="J97" s="224"/>
    </row>
    <row r="98" spans="5:10" s="222" customFormat="1" x14ac:dyDescent="0.25">
      <c r="E98" s="223"/>
      <c r="J98" s="224"/>
    </row>
    <row r="99" spans="5:10" s="222" customFormat="1" x14ac:dyDescent="0.25">
      <c r="E99" s="223"/>
      <c r="J99" s="224"/>
    </row>
    <row r="100" spans="5:10" s="222" customFormat="1" x14ac:dyDescent="0.25">
      <c r="E100" s="223"/>
      <c r="J100" s="224"/>
    </row>
    <row r="101" spans="5:10" s="222" customFormat="1" x14ac:dyDescent="0.25">
      <c r="E101" s="223"/>
      <c r="J101" s="224"/>
    </row>
    <row r="102" spans="5:10" s="222" customFormat="1" x14ac:dyDescent="0.25">
      <c r="E102" s="223"/>
      <c r="J102" s="224"/>
    </row>
    <row r="103" spans="5:10" s="222" customFormat="1" x14ac:dyDescent="0.25">
      <c r="E103" s="223"/>
      <c r="J103" s="224"/>
    </row>
    <row r="104" spans="5:10" s="222" customFormat="1" x14ac:dyDescent="0.25">
      <c r="E104" s="223"/>
      <c r="J104" s="224"/>
    </row>
    <row r="105" spans="5:10" s="222" customFormat="1" x14ac:dyDescent="0.25">
      <c r="E105" s="223"/>
      <c r="J105" s="224"/>
    </row>
    <row r="106" spans="5:10" s="222" customFormat="1" x14ac:dyDescent="0.25">
      <c r="E106" s="223"/>
      <c r="J106" s="224"/>
    </row>
    <row r="107" spans="5:10" s="222" customFormat="1" x14ac:dyDescent="0.25">
      <c r="E107" s="223"/>
      <c r="J107" s="224"/>
    </row>
    <row r="108" spans="5:10" s="222" customFormat="1" x14ac:dyDescent="0.25">
      <c r="E108" s="223"/>
      <c r="J108" s="224"/>
    </row>
    <row r="109" spans="5:10" s="222" customFormat="1" x14ac:dyDescent="0.25">
      <c r="E109" s="223"/>
      <c r="J109" s="224"/>
    </row>
    <row r="110" spans="5:10" s="222" customFormat="1" x14ac:dyDescent="0.25">
      <c r="E110" s="223"/>
      <c r="J110" s="224"/>
    </row>
    <row r="111" spans="5:10" s="222" customFormat="1" x14ac:dyDescent="0.25">
      <c r="E111" s="223"/>
      <c r="J111" s="224"/>
    </row>
    <row r="112" spans="5:10" s="222" customFormat="1" x14ac:dyDescent="0.25">
      <c r="E112" s="223"/>
      <c r="J112" s="224"/>
    </row>
    <row r="113" spans="5:10" s="222" customFormat="1" x14ac:dyDescent="0.25">
      <c r="E113" s="223"/>
      <c r="J113" s="224"/>
    </row>
    <row r="114" spans="5:10" s="222" customFormat="1" x14ac:dyDescent="0.25">
      <c r="E114" s="223"/>
      <c r="J114" s="224"/>
    </row>
    <row r="115" spans="5:10" s="222" customFormat="1" x14ac:dyDescent="0.25">
      <c r="E115" s="223"/>
      <c r="J115" s="224"/>
    </row>
    <row r="116" spans="5:10" s="222" customFormat="1" x14ac:dyDescent="0.25">
      <c r="E116" s="223"/>
      <c r="J116" s="224"/>
    </row>
    <row r="117" spans="5:10" s="222" customFormat="1" x14ac:dyDescent="0.25">
      <c r="E117" s="223"/>
      <c r="J117" s="224"/>
    </row>
    <row r="118" spans="5:10" s="222" customFormat="1" x14ac:dyDescent="0.25">
      <c r="E118" s="223"/>
      <c r="J118" s="224"/>
    </row>
    <row r="119" spans="5:10" s="222" customFormat="1" x14ac:dyDescent="0.25">
      <c r="E119" s="223"/>
      <c r="J119" s="224"/>
    </row>
    <row r="120" spans="5:10" s="222" customFormat="1" x14ac:dyDescent="0.25">
      <c r="E120" s="223"/>
      <c r="J120" s="224"/>
    </row>
    <row r="121" spans="5:10" s="222" customFormat="1" x14ac:dyDescent="0.25">
      <c r="E121" s="223"/>
      <c r="J121" s="224"/>
    </row>
    <row r="122" spans="5:10" s="222" customFormat="1" x14ac:dyDescent="0.25">
      <c r="E122" s="223"/>
      <c r="J122" s="224"/>
    </row>
    <row r="123" spans="5:10" s="222" customFormat="1" x14ac:dyDescent="0.25">
      <c r="E123" s="223"/>
      <c r="J123" s="224"/>
    </row>
    <row r="124" spans="5:10" s="222" customFormat="1" x14ac:dyDescent="0.25">
      <c r="E124" s="223"/>
      <c r="J124" s="224"/>
    </row>
    <row r="125" spans="5:10" s="222" customFormat="1" x14ac:dyDescent="0.25">
      <c r="E125" s="223"/>
      <c r="J125" s="224"/>
    </row>
    <row r="126" spans="5:10" s="222" customFormat="1" x14ac:dyDescent="0.25">
      <c r="E126" s="223"/>
      <c r="J126" s="224"/>
    </row>
    <row r="127" spans="5:10" s="222" customFormat="1" x14ac:dyDescent="0.25">
      <c r="E127" s="223"/>
      <c r="J127" s="224"/>
    </row>
    <row r="128" spans="5:10" s="222" customFormat="1" x14ac:dyDescent="0.25">
      <c r="E128" s="223"/>
      <c r="J128" s="224"/>
    </row>
    <row r="129" spans="5:10" s="222" customFormat="1" x14ac:dyDescent="0.25">
      <c r="E129" s="223"/>
      <c r="J129" s="224"/>
    </row>
    <row r="130" spans="5:10" s="222" customFormat="1" x14ac:dyDescent="0.25">
      <c r="E130" s="223"/>
      <c r="J130" s="224"/>
    </row>
    <row r="131" spans="5:10" s="222" customFormat="1" x14ac:dyDescent="0.25">
      <c r="E131" s="223"/>
      <c r="J131" s="224"/>
    </row>
    <row r="132" spans="5:10" s="222" customFormat="1" x14ac:dyDescent="0.25">
      <c r="E132" s="223"/>
      <c r="J132" s="224"/>
    </row>
    <row r="133" spans="5:10" s="222" customFormat="1" x14ac:dyDescent="0.25">
      <c r="E133" s="223"/>
      <c r="J133" s="224"/>
    </row>
    <row r="134" spans="5:10" s="222" customFormat="1" x14ac:dyDescent="0.25">
      <c r="E134" s="223"/>
      <c r="J134" s="224"/>
    </row>
    <row r="135" spans="5:10" s="222" customFormat="1" x14ac:dyDescent="0.25">
      <c r="E135" s="223"/>
      <c r="J135" s="224"/>
    </row>
    <row r="136" spans="5:10" s="222" customFormat="1" x14ac:dyDescent="0.25">
      <c r="E136" s="223"/>
      <c r="J136" s="224"/>
    </row>
    <row r="137" spans="5:10" s="222" customFormat="1" x14ac:dyDescent="0.25">
      <c r="E137" s="223"/>
      <c r="J137" s="224"/>
    </row>
    <row r="138" spans="5:10" s="222" customFormat="1" x14ac:dyDescent="0.25">
      <c r="E138" s="223"/>
      <c r="J138" s="224"/>
    </row>
    <row r="139" spans="5:10" s="222" customFormat="1" x14ac:dyDescent="0.25">
      <c r="E139" s="223"/>
      <c r="J139" s="224"/>
    </row>
    <row r="140" spans="5:10" s="222" customFormat="1" x14ac:dyDescent="0.25">
      <c r="E140" s="223"/>
      <c r="J140" s="224"/>
    </row>
    <row r="141" spans="5:10" s="222" customFormat="1" x14ac:dyDescent="0.25">
      <c r="E141" s="223"/>
      <c r="J141" s="224"/>
    </row>
    <row r="142" spans="5:10" s="222" customFormat="1" x14ac:dyDescent="0.25">
      <c r="E142" s="223"/>
      <c r="J142" s="224"/>
    </row>
    <row r="143" spans="5:10" s="222" customFormat="1" x14ac:dyDescent="0.25">
      <c r="E143" s="223"/>
      <c r="J143" s="224"/>
    </row>
    <row r="144" spans="5:10" s="222" customFormat="1" x14ac:dyDescent="0.25">
      <c r="E144" s="223"/>
      <c r="J144" s="224"/>
    </row>
    <row r="145" spans="5:10" s="222" customFormat="1" x14ac:dyDescent="0.25">
      <c r="E145" s="223"/>
      <c r="J145" s="224"/>
    </row>
    <row r="146" spans="5:10" s="222" customFormat="1" x14ac:dyDescent="0.25">
      <c r="E146" s="223"/>
      <c r="J146" s="224"/>
    </row>
    <row r="147" spans="5:10" s="222" customFormat="1" x14ac:dyDescent="0.25">
      <c r="E147" s="223"/>
      <c r="J147" s="224"/>
    </row>
    <row r="148" spans="5:10" s="222" customFormat="1" x14ac:dyDescent="0.25">
      <c r="E148" s="223"/>
      <c r="J148" s="2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39997558519241921"/>
  </sheetPr>
  <dimension ref="A1:AL116"/>
  <sheetViews>
    <sheetView workbookViewId="0"/>
  </sheetViews>
  <sheetFormatPr defaultRowHeight="14.25" x14ac:dyDescent="0.2"/>
  <cols>
    <col min="1" max="1" width="9.140625" style="236"/>
    <col min="2" max="2" width="9.140625" style="22"/>
    <col min="3" max="3" width="10.140625" style="22" bestFit="1" customWidth="1"/>
    <col min="4" max="7" width="9.28515625" style="22" bestFit="1" customWidth="1"/>
    <col min="8" max="8" width="9.140625" style="22"/>
    <col min="9" max="9" width="9.28515625" style="22" bestFit="1" customWidth="1"/>
    <col min="10" max="13" width="9.140625" style="22"/>
    <col min="14" max="38" width="9.140625" style="236"/>
    <col min="39" max="16384" width="9.140625" style="22"/>
  </cols>
  <sheetData>
    <row r="1" spans="1:38" s="236" customFormat="1" ht="18" x14ac:dyDescent="0.25">
      <c r="A1" s="221" t="s">
        <v>1</v>
      </c>
      <c r="F1" s="237" t="s">
        <v>2</v>
      </c>
      <c r="H1" s="238" t="s">
        <v>276</v>
      </c>
      <c r="J1" s="239" t="s">
        <v>3</v>
      </c>
      <c r="K1" s="238">
        <v>2009</v>
      </c>
      <c r="M1" s="239" t="s">
        <v>259</v>
      </c>
      <c r="N1" s="240" t="s">
        <v>261</v>
      </c>
    </row>
    <row r="2" spans="1:38" s="236" customFormat="1" x14ac:dyDescent="0.2"/>
    <row r="3" spans="1:38" s="236" customFormat="1" ht="18" x14ac:dyDescent="0.25">
      <c r="B3" s="241" t="s">
        <v>4</v>
      </c>
    </row>
    <row r="4" spans="1:38" s="24" customFormat="1" ht="12.75" x14ac:dyDescent="0.2">
      <c r="A4" s="242"/>
      <c r="B4" s="203"/>
      <c r="C4" s="204" t="s">
        <v>5</v>
      </c>
      <c r="D4" s="205"/>
      <c r="E4" s="204" t="s">
        <v>6</v>
      </c>
      <c r="F4" s="204" t="s">
        <v>16</v>
      </c>
      <c r="G4" s="204" t="s">
        <v>17</v>
      </c>
      <c r="H4" s="204"/>
      <c r="I4" s="204" t="s">
        <v>7</v>
      </c>
      <c r="J4" s="204" t="s">
        <v>8</v>
      </c>
      <c r="K4" s="204" t="s">
        <v>9</v>
      </c>
      <c r="L4" s="205"/>
      <c r="M4" s="206"/>
      <c r="N4" s="242"/>
      <c r="O4" s="242"/>
      <c r="P4" s="242"/>
      <c r="Q4" s="242"/>
      <c r="R4" s="242"/>
      <c r="S4" s="242"/>
      <c r="T4" s="242"/>
      <c r="U4" s="242"/>
      <c r="V4" s="242"/>
      <c r="W4" s="242"/>
      <c r="X4" s="242"/>
      <c r="Y4" s="242"/>
      <c r="Z4" s="242"/>
      <c r="AA4" s="242"/>
      <c r="AB4" s="242"/>
      <c r="AC4" s="242"/>
      <c r="AD4" s="242"/>
      <c r="AE4" s="242"/>
      <c r="AF4" s="242"/>
      <c r="AG4" s="242"/>
      <c r="AH4" s="242"/>
      <c r="AI4" s="242"/>
      <c r="AJ4" s="242"/>
      <c r="AK4" s="242"/>
      <c r="AL4" s="242"/>
    </row>
    <row r="5" spans="1:38" s="24" customFormat="1" ht="12.75" x14ac:dyDescent="0.2">
      <c r="A5" s="242"/>
      <c r="B5" s="207"/>
      <c r="C5" s="208"/>
      <c r="D5" s="209"/>
      <c r="E5" s="208"/>
      <c r="F5" s="208"/>
      <c r="G5" s="208"/>
      <c r="H5" s="208"/>
      <c r="I5" s="208"/>
      <c r="J5" s="208"/>
      <c r="K5" s="208"/>
      <c r="L5" s="209"/>
      <c r="M5" s="210"/>
      <c r="N5" s="242"/>
      <c r="O5" s="242"/>
      <c r="P5" s="242"/>
      <c r="Q5" s="242"/>
      <c r="R5" s="242"/>
      <c r="S5" s="242"/>
      <c r="T5" s="242"/>
      <c r="U5" s="242"/>
      <c r="V5" s="242"/>
      <c r="W5" s="242"/>
      <c r="X5" s="242"/>
      <c r="Y5" s="242"/>
      <c r="Z5" s="242"/>
      <c r="AA5" s="242"/>
      <c r="AB5" s="242"/>
      <c r="AC5" s="242"/>
      <c r="AD5" s="242"/>
      <c r="AE5" s="242"/>
      <c r="AF5" s="242"/>
      <c r="AG5" s="242"/>
      <c r="AH5" s="242"/>
      <c r="AI5" s="242"/>
      <c r="AJ5" s="242"/>
      <c r="AK5" s="242"/>
      <c r="AL5" s="242"/>
    </row>
    <row r="6" spans="1:38" s="24" customFormat="1" ht="12.75" x14ac:dyDescent="0.2">
      <c r="A6" s="242"/>
      <c r="B6" s="211" t="s">
        <v>41</v>
      </c>
      <c r="C6" s="208"/>
      <c r="D6" s="212" t="s">
        <v>48</v>
      </c>
      <c r="E6" s="213" t="s">
        <v>10</v>
      </c>
      <c r="F6" s="208"/>
      <c r="G6" s="208"/>
      <c r="H6" s="208"/>
      <c r="I6" s="45">
        <f ca="1">_xll.RiskDiscrete(C16:E16,C15:E15)</f>
        <v>3</v>
      </c>
      <c r="J6" s="45" t="s">
        <v>49</v>
      </c>
      <c r="K6" s="60" t="s">
        <v>38</v>
      </c>
      <c r="L6" s="209"/>
      <c r="M6" s="210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</row>
    <row r="7" spans="1:38" s="24" customFormat="1" ht="12.75" x14ac:dyDescent="0.2">
      <c r="A7" s="242"/>
      <c r="B7" s="165" t="s">
        <v>13</v>
      </c>
      <c r="C7" s="209"/>
      <c r="D7" s="209"/>
      <c r="E7" s="62" t="s">
        <v>15</v>
      </c>
      <c r="F7" s="214">
        <f ca="1">_xll.RiskBeta(C23+1,D23-C23+1)</f>
        <v>3.3497265376622139E-4</v>
      </c>
      <c r="G7" s="214">
        <f>F23</f>
        <v>3.8025047067588748E-4</v>
      </c>
      <c r="H7" s="209"/>
      <c r="I7" s="215">
        <f ca="1">IF(Uncertainty=TRUE,F7,G7)</f>
        <v>3.3497265376622139E-4</v>
      </c>
      <c r="J7" s="45" t="s">
        <v>18</v>
      </c>
      <c r="K7" s="209" t="s">
        <v>39</v>
      </c>
      <c r="L7" s="209"/>
      <c r="M7" s="210"/>
      <c r="N7" s="242"/>
      <c r="O7" s="242"/>
      <c r="P7" s="242"/>
      <c r="Q7" s="242"/>
      <c r="R7" s="242"/>
      <c r="S7" s="242"/>
      <c r="T7" s="242"/>
      <c r="U7" s="242"/>
      <c r="V7" s="242"/>
      <c r="W7" s="242"/>
      <c r="X7" s="242"/>
      <c r="Y7" s="242"/>
      <c r="Z7" s="242"/>
      <c r="AA7" s="242"/>
      <c r="AB7" s="242"/>
      <c r="AC7" s="242"/>
      <c r="AD7" s="242"/>
      <c r="AE7" s="242"/>
      <c r="AF7" s="242"/>
      <c r="AG7" s="242"/>
      <c r="AH7" s="242"/>
      <c r="AI7" s="242"/>
      <c r="AJ7" s="242"/>
      <c r="AK7" s="242"/>
      <c r="AL7" s="242"/>
    </row>
    <row r="8" spans="1:38" s="24" customFormat="1" ht="12.75" x14ac:dyDescent="0.2">
      <c r="A8" s="242"/>
      <c r="B8" s="165" t="s">
        <v>19</v>
      </c>
      <c r="C8" s="209"/>
      <c r="D8" s="209"/>
      <c r="E8" s="62" t="s">
        <v>20</v>
      </c>
      <c r="F8" s="216" t="s">
        <v>93</v>
      </c>
      <c r="G8" s="75">
        <f>G28</f>
        <v>4.3600000000000003</v>
      </c>
      <c r="H8" s="209"/>
      <c r="I8" s="216">
        <f>G8</f>
        <v>4.3600000000000003</v>
      </c>
      <c r="J8" s="45" t="s">
        <v>18</v>
      </c>
      <c r="K8" s="209" t="s">
        <v>40</v>
      </c>
      <c r="L8" s="209"/>
      <c r="M8" s="210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42"/>
      <c r="AE8" s="242"/>
      <c r="AF8" s="242"/>
      <c r="AG8" s="242"/>
      <c r="AH8" s="242"/>
      <c r="AI8" s="242"/>
      <c r="AJ8" s="242"/>
      <c r="AK8" s="242"/>
      <c r="AL8" s="242"/>
    </row>
    <row r="9" spans="1:38" s="24" customFormat="1" ht="12.75" x14ac:dyDescent="0.2">
      <c r="A9" s="242"/>
      <c r="B9" s="166" t="s">
        <v>21</v>
      </c>
      <c r="C9" s="217"/>
      <c r="D9" s="217"/>
      <c r="E9" s="218" t="s">
        <v>22</v>
      </c>
      <c r="F9" s="217"/>
      <c r="G9" s="217"/>
      <c r="H9" s="217"/>
      <c r="I9" s="219">
        <f ca="1">Prev_cases*I8</f>
        <v>1.4604807704207254E-3</v>
      </c>
      <c r="J9" s="63" t="s">
        <v>18</v>
      </c>
      <c r="K9" s="217" t="s">
        <v>28</v>
      </c>
      <c r="L9" s="217"/>
      <c r="M9" s="220"/>
      <c r="N9" s="242"/>
      <c r="O9" s="242"/>
      <c r="P9" s="242"/>
      <c r="Q9" s="242"/>
      <c r="R9" s="242"/>
      <c r="S9" s="242"/>
      <c r="T9" s="242"/>
      <c r="U9" s="242"/>
      <c r="V9" s="242"/>
      <c r="W9" s="242"/>
      <c r="X9" s="242"/>
      <c r="Y9" s="242"/>
      <c r="Z9" s="242"/>
      <c r="AA9" s="242"/>
      <c r="AB9" s="242"/>
      <c r="AC9" s="242"/>
      <c r="AD9" s="242"/>
      <c r="AE9" s="242"/>
      <c r="AF9" s="242"/>
      <c r="AG9" s="242"/>
      <c r="AH9" s="242"/>
      <c r="AI9" s="242"/>
      <c r="AJ9" s="242"/>
      <c r="AK9" s="242"/>
      <c r="AL9" s="242"/>
    </row>
    <row r="10" spans="1:38" s="242" customFormat="1" ht="12.75" x14ac:dyDescent="0.2"/>
    <row r="11" spans="1:38" s="242" customFormat="1" ht="12.75" x14ac:dyDescent="0.2"/>
    <row r="12" spans="1:38" s="242" customFormat="1" ht="12.75" x14ac:dyDescent="0.2">
      <c r="A12" s="239" t="s">
        <v>12</v>
      </c>
      <c r="B12" s="239" t="s">
        <v>42</v>
      </c>
    </row>
    <row r="13" spans="1:38" s="242" customFormat="1" ht="12.75" x14ac:dyDescent="0.2">
      <c r="B13" s="243" t="s">
        <v>126</v>
      </c>
      <c r="C13" s="243"/>
      <c r="D13" s="243"/>
      <c r="E13" s="243"/>
      <c r="F13" s="243"/>
    </row>
    <row r="14" spans="1:38" s="24" customFormat="1" ht="15" x14ac:dyDescent="0.25">
      <c r="A14" s="248"/>
      <c r="B14"/>
      <c r="C14" t="s">
        <v>260</v>
      </c>
      <c r="D14" t="s">
        <v>43</v>
      </c>
      <c r="E14" t="s">
        <v>44</v>
      </c>
      <c r="F14" t="s">
        <v>45</v>
      </c>
      <c r="G14" s="247"/>
      <c r="H14" s="242"/>
      <c r="I14" s="242"/>
      <c r="J14" s="244"/>
      <c r="K14" s="244"/>
      <c r="L14" s="244"/>
      <c r="M14" s="244"/>
      <c r="N14" s="244"/>
      <c r="O14" s="242"/>
      <c r="P14" s="242"/>
      <c r="Q14" s="242"/>
      <c r="R14" s="242"/>
      <c r="S14" s="242"/>
      <c r="T14" s="242"/>
      <c r="U14" s="242"/>
      <c r="V14" s="242"/>
      <c r="W14" s="242"/>
      <c r="X14" s="242"/>
      <c r="Y14" s="242"/>
      <c r="Z14" s="242"/>
      <c r="AA14" s="242"/>
      <c r="AB14" s="242"/>
      <c r="AC14" s="242"/>
      <c r="AD14" s="242"/>
      <c r="AE14" s="242"/>
      <c r="AF14" s="242"/>
      <c r="AG14" s="242"/>
      <c r="AH14" s="242"/>
      <c r="AI14" s="242"/>
      <c r="AJ14" s="242"/>
      <c r="AK14" s="242"/>
      <c r="AL14" s="242"/>
    </row>
    <row r="15" spans="1:38" s="24" customFormat="1" ht="15" x14ac:dyDescent="0.25">
      <c r="A15" s="248"/>
      <c r="B15" t="s">
        <v>0</v>
      </c>
      <c r="C15" s="190">
        <v>11468894</v>
      </c>
      <c r="D15" s="190">
        <v>33836143</v>
      </c>
      <c r="E15" s="190">
        <v>5724462</v>
      </c>
      <c r="F15" s="190">
        <v>51006499</v>
      </c>
      <c r="G15" s="247"/>
      <c r="H15" s="242"/>
      <c r="I15" s="242"/>
      <c r="J15" s="244"/>
      <c r="K15" s="244"/>
      <c r="L15" s="244"/>
      <c r="M15" s="244"/>
      <c r="N15" s="244"/>
      <c r="O15" s="242"/>
      <c r="P15" s="242"/>
      <c r="Q15" s="242"/>
      <c r="R15" s="242"/>
      <c r="S15" s="242"/>
      <c r="T15" s="242"/>
      <c r="U15" s="242"/>
      <c r="V15" s="242"/>
      <c r="W15" s="242"/>
      <c r="X15" s="242"/>
      <c r="Y15" s="242"/>
      <c r="Z15" s="242"/>
      <c r="AA15" s="242"/>
      <c r="AB15" s="242"/>
      <c r="AC15" s="242"/>
      <c r="AD15" s="242"/>
      <c r="AE15" s="242"/>
      <c r="AF15" s="242"/>
      <c r="AG15" s="242"/>
      <c r="AH15" s="242"/>
      <c r="AI15" s="242"/>
      <c r="AJ15" s="242"/>
      <c r="AK15" s="242"/>
      <c r="AL15" s="242"/>
    </row>
    <row r="16" spans="1:38" s="24" customFormat="1" ht="12.75" x14ac:dyDescent="0.2">
      <c r="A16" s="242"/>
      <c r="B16" s="187"/>
      <c r="C16" s="188">
        <v>3</v>
      </c>
      <c r="D16" s="188">
        <v>12</v>
      </c>
      <c r="E16" s="188">
        <v>13</v>
      </c>
      <c r="F16" s="189"/>
      <c r="G16" s="242"/>
      <c r="H16" s="242"/>
      <c r="I16" s="242"/>
      <c r="J16" s="244"/>
      <c r="K16" s="244"/>
      <c r="L16" s="244"/>
      <c r="M16" s="244"/>
      <c r="N16" s="244"/>
      <c r="O16" s="242"/>
      <c r="P16" s="242"/>
      <c r="Q16" s="242"/>
      <c r="R16" s="242"/>
      <c r="S16" s="242"/>
      <c r="T16" s="242"/>
      <c r="U16" s="242"/>
      <c r="V16" s="242"/>
      <c r="W16" s="242"/>
      <c r="X16" s="242"/>
      <c r="Y16" s="242"/>
      <c r="Z16" s="242"/>
      <c r="AA16" s="242"/>
      <c r="AB16" s="242"/>
      <c r="AC16" s="242"/>
      <c r="AD16" s="242"/>
      <c r="AE16" s="242"/>
      <c r="AF16" s="242"/>
      <c r="AG16" s="242"/>
      <c r="AH16" s="242"/>
      <c r="AI16" s="242"/>
      <c r="AJ16" s="242"/>
      <c r="AK16" s="242"/>
      <c r="AL16" s="242"/>
    </row>
    <row r="17" spans="1:38" s="242" customFormat="1" ht="12.75" x14ac:dyDescent="0.2">
      <c r="J17" s="244"/>
      <c r="K17" s="244"/>
      <c r="L17" s="244"/>
      <c r="M17" s="244"/>
      <c r="N17" s="244"/>
    </row>
    <row r="18" spans="1:38" s="242" customFormat="1" ht="12.75" x14ac:dyDescent="0.2">
      <c r="J18" s="244"/>
      <c r="K18" s="244"/>
      <c r="L18" s="244"/>
      <c r="M18" s="244"/>
      <c r="N18" s="244"/>
    </row>
    <row r="19" spans="1:38" s="242" customFormat="1" ht="12.75" x14ac:dyDescent="0.2">
      <c r="B19" s="244"/>
      <c r="C19" s="244"/>
      <c r="D19" s="244"/>
      <c r="E19" s="244"/>
      <c r="F19" s="244"/>
    </row>
    <row r="20" spans="1:38" s="242" customFormat="1" ht="12.75" x14ac:dyDescent="0.2">
      <c r="A20" s="237" t="s">
        <v>23</v>
      </c>
      <c r="B20" s="237" t="s">
        <v>14</v>
      </c>
    </row>
    <row r="21" spans="1:38" s="242" customFormat="1" ht="12.75" x14ac:dyDescent="0.2">
      <c r="A21" s="237"/>
      <c r="B21" s="243" t="s">
        <v>127</v>
      </c>
      <c r="C21" s="243"/>
      <c r="D21" s="243"/>
    </row>
    <row r="22" spans="1:38" s="24" customFormat="1" ht="15" x14ac:dyDescent="0.25">
      <c r="A22" s="248"/>
      <c r="B22"/>
      <c r="C22" t="s">
        <v>262</v>
      </c>
      <c r="D22" t="s">
        <v>263</v>
      </c>
      <c r="E22" s="25"/>
      <c r="F22" s="36" t="s">
        <v>27</v>
      </c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2"/>
      <c r="AF22" s="242"/>
      <c r="AG22" s="242"/>
      <c r="AH22" s="242"/>
      <c r="AI22" s="242"/>
      <c r="AJ22" s="242"/>
      <c r="AK22" s="242"/>
      <c r="AL22" s="242"/>
    </row>
    <row r="23" spans="1:38" s="24" customFormat="1" ht="15" x14ac:dyDescent="0.25">
      <c r="A23" s="248"/>
      <c r="B23" t="s">
        <v>0</v>
      </c>
      <c r="C23">
        <v>246</v>
      </c>
      <c r="D23">
        <v>646942</v>
      </c>
      <c r="E23" s="32"/>
      <c r="F23" s="37">
        <f>C23/D23</f>
        <v>3.8025047067588748E-4</v>
      </c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/>
      <c r="AE23" s="242"/>
      <c r="AF23" s="242"/>
      <c r="AG23" s="242"/>
      <c r="AH23" s="242"/>
      <c r="AI23" s="242"/>
      <c r="AJ23" s="242"/>
      <c r="AK23" s="242"/>
      <c r="AL23" s="242"/>
    </row>
    <row r="24" spans="1:38" s="242" customFormat="1" ht="12.75" x14ac:dyDescent="0.2">
      <c r="B24" s="245"/>
      <c r="C24" s="245"/>
      <c r="D24" s="245"/>
      <c r="F24" s="246"/>
    </row>
    <row r="25" spans="1:38" s="242" customFormat="1" ht="12.75" x14ac:dyDescent="0.2">
      <c r="A25" s="239" t="s">
        <v>30</v>
      </c>
      <c r="B25" s="239" t="s">
        <v>24</v>
      </c>
      <c r="F25" s="246"/>
    </row>
    <row r="26" spans="1:38" s="242" customFormat="1" ht="12.75" x14ac:dyDescent="0.2">
      <c r="B26" s="242" t="s">
        <v>29</v>
      </c>
      <c r="F26" s="246"/>
    </row>
    <row r="27" spans="1:38" s="24" customFormat="1" ht="12.75" x14ac:dyDescent="0.2">
      <c r="A27" s="242"/>
      <c r="B27" s="38"/>
      <c r="C27" s="39"/>
      <c r="D27" s="39"/>
      <c r="E27" s="39"/>
      <c r="F27" s="36"/>
      <c r="G27" s="40" t="s">
        <v>27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/>
      <c r="T27" s="242"/>
      <c r="U27" s="242"/>
      <c r="V27" s="242"/>
      <c r="W27" s="242"/>
      <c r="X27" s="242"/>
      <c r="Y27" s="242"/>
      <c r="Z27" s="242"/>
      <c r="AA27" s="242"/>
      <c r="AB27" s="242"/>
      <c r="AC27" s="242"/>
      <c r="AD27" s="242"/>
      <c r="AE27" s="242"/>
      <c r="AF27" s="242"/>
      <c r="AG27" s="242"/>
      <c r="AH27" s="242"/>
      <c r="AI27" s="242"/>
      <c r="AJ27" s="242"/>
      <c r="AK27" s="242"/>
      <c r="AL27" s="242"/>
    </row>
    <row r="28" spans="1:38" s="24" customFormat="1" ht="12.75" x14ac:dyDescent="0.2">
      <c r="A28" s="242"/>
      <c r="B28" s="41"/>
      <c r="C28" s="33"/>
      <c r="D28" s="33"/>
      <c r="E28" s="33"/>
      <c r="F28" s="37"/>
      <c r="G28" s="42">
        <v>4.3600000000000003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</row>
    <row r="29" spans="1:38" s="242" customFormat="1" ht="12.75" x14ac:dyDescent="0.2"/>
    <row r="30" spans="1:38" s="242" customFormat="1" ht="12.75" x14ac:dyDescent="0.2">
      <c r="A30" s="239" t="s">
        <v>50</v>
      </c>
      <c r="B30" s="239" t="s">
        <v>31</v>
      </c>
    </row>
    <row r="31" spans="1:38" s="242" customFormat="1" ht="12.75" x14ac:dyDescent="0.2">
      <c r="B31" s="242" t="s">
        <v>32</v>
      </c>
    </row>
    <row r="32" spans="1:38" s="24" customFormat="1" ht="12.75" x14ac:dyDescent="0.2">
      <c r="A32" s="242"/>
      <c r="B32" s="35"/>
      <c r="C32" s="25" t="s">
        <v>36</v>
      </c>
      <c r="D32" s="25"/>
      <c r="E32" s="25"/>
      <c r="F32" s="25"/>
      <c r="G32" s="26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/>
      <c r="AK32" s="242"/>
      <c r="AL32" s="242"/>
    </row>
    <row r="33" spans="1:38" s="24" customFormat="1" ht="12.75" x14ac:dyDescent="0.2">
      <c r="A33" s="242"/>
      <c r="B33" s="43" t="s">
        <v>34</v>
      </c>
      <c r="C33" s="30">
        <v>1.4999999999999999E-2</v>
      </c>
      <c r="D33" s="27"/>
      <c r="E33" s="27"/>
      <c r="F33" s="27"/>
      <c r="G33" s="28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42"/>
      <c r="X33" s="242"/>
      <c r="Y33" s="242"/>
      <c r="Z33" s="242"/>
      <c r="AA33" s="242"/>
      <c r="AB33" s="242"/>
      <c r="AC33" s="242"/>
      <c r="AD33" s="242"/>
      <c r="AE33" s="242"/>
      <c r="AF33" s="242"/>
      <c r="AG33" s="242"/>
      <c r="AH33" s="242"/>
      <c r="AI33" s="242"/>
      <c r="AJ33" s="242"/>
      <c r="AK33" s="242"/>
      <c r="AL33" s="242"/>
    </row>
    <row r="34" spans="1:38" s="24" customFormat="1" ht="12.75" x14ac:dyDescent="0.2">
      <c r="A34" s="242"/>
      <c r="B34" s="43" t="s">
        <v>35</v>
      </c>
      <c r="C34" s="30">
        <v>0.56000000000000005</v>
      </c>
      <c r="D34" s="27"/>
      <c r="E34" s="27"/>
      <c r="F34" s="27"/>
      <c r="G34" s="28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/>
      <c r="Y34" s="242"/>
      <c r="Z34" s="242"/>
      <c r="AA34" s="242"/>
      <c r="AB34" s="242"/>
      <c r="AC34" s="242"/>
      <c r="AD34" s="242"/>
      <c r="AE34" s="242"/>
      <c r="AF34" s="242"/>
      <c r="AG34" s="242"/>
      <c r="AH34" s="242"/>
      <c r="AI34" s="242"/>
      <c r="AJ34" s="242"/>
      <c r="AK34" s="242"/>
      <c r="AL34" s="242"/>
    </row>
    <row r="35" spans="1:38" s="24" customFormat="1" ht="12.75" x14ac:dyDescent="0.2">
      <c r="A35" s="242"/>
      <c r="B35" s="41" t="s">
        <v>33</v>
      </c>
      <c r="C35" s="33">
        <f>1-C33-C34</f>
        <v>0.42499999999999993</v>
      </c>
      <c r="D35" s="32"/>
      <c r="E35" s="32"/>
      <c r="F35" s="32"/>
      <c r="G35" s="34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2"/>
      <c r="T35" s="242"/>
      <c r="U35" s="242"/>
      <c r="V35" s="242"/>
      <c r="W35" s="242"/>
      <c r="X35" s="242"/>
      <c r="Y35" s="242"/>
      <c r="Z35" s="242"/>
      <c r="AA35" s="242"/>
      <c r="AB35" s="242"/>
      <c r="AC35" s="242"/>
      <c r="AD35" s="242"/>
      <c r="AE35" s="242"/>
      <c r="AF35" s="242"/>
      <c r="AG35" s="242"/>
      <c r="AH35" s="242"/>
      <c r="AI35" s="242"/>
      <c r="AJ35" s="242"/>
      <c r="AK35" s="242"/>
      <c r="AL35" s="242"/>
    </row>
    <row r="36" spans="1:38" s="242" customFormat="1" ht="12.75" x14ac:dyDescent="0.2"/>
    <row r="37" spans="1:38" s="242" customFormat="1" ht="12.75" x14ac:dyDescent="0.2"/>
    <row r="38" spans="1:38" s="242" customFormat="1" ht="12.75" x14ac:dyDescent="0.2"/>
    <row r="39" spans="1:38" s="242" customFormat="1" ht="12.75" x14ac:dyDescent="0.2"/>
    <row r="40" spans="1:38" s="242" customFormat="1" ht="12.75" x14ac:dyDescent="0.2"/>
    <row r="41" spans="1:38" s="242" customFormat="1" ht="12.75" x14ac:dyDescent="0.2"/>
    <row r="42" spans="1:38" s="242" customFormat="1" ht="12.75" x14ac:dyDescent="0.2"/>
    <row r="43" spans="1:38" s="236" customFormat="1" x14ac:dyDescent="0.2"/>
    <row r="44" spans="1:38" s="236" customFormat="1" x14ac:dyDescent="0.2"/>
    <row r="45" spans="1:38" s="236" customFormat="1" x14ac:dyDescent="0.2"/>
    <row r="46" spans="1:38" s="236" customFormat="1" x14ac:dyDescent="0.2"/>
    <row r="47" spans="1:38" s="236" customFormat="1" x14ac:dyDescent="0.2"/>
    <row r="48" spans="1:38" s="236" customFormat="1" x14ac:dyDescent="0.2"/>
    <row r="49" s="236" customFormat="1" x14ac:dyDescent="0.2"/>
    <row r="50" s="236" customFormat="1" x14ac:dyDescent="0.2"/>
    <row r="51" s="236" customFormat="1" x14ac:dyDescent="0.2"/>
    <row r="52" s="236" customFormat="1" x14ac:dyDescent="0.2"/>
    <row r="53" s="236" customFormat="1" x14ac:dyDescent="0.2"/>
    <row r="54" s="236" customFormat="1" x14ac:dyDescent="0.2"/>
    <row r="55" s="236" customFormat="1" x14ac:dyDescent="0.2"/>
    <row r="56" s="236" customFormat="1" x14ac:dyDescent="0.2"/>
    <row r="57" s="236" customFormat="1" x14ac:dyDescent="0.2"/>
    <row r="58" s="236" customFormat="1" x14ac:dyDescent="0.2"/>
    <row r="59" s="236" customFormat="1" x14ac:dyDescent="0.2"/>
    <row r="60" s="236" customFormat="1" x14ac:dyDescent="0.2"/>
    <row r="61" s="236" customFormat="1" x14ac:dyDescent="0.2"/>
    <row r="62" s="236" customFormat="1" x14ac:dyDescent="0.2"/>
    <row r="63" s="236" customFormat="1" x14ac:dyDescent="0.2"/>
    <row r="64" s="236" customFormat="1" x14ac:dyDescent="0.2"/>
    <row r="65" s="236" customFormat="1" x14ac:dyDescent="0.2"/>
    <row r="66" s="236" customFormat="1" x14ac:dyDescent="0.2"/>
    <row r="67" s="236" customFormat="1" x14ac:dyDescent="0.2"/>
    <row r="68" s="236" customFormat="1" x14ac:dyDescent="0.2"/>
    <row r="69" s="236" customFormat="1" x14ac:dyDescent="0.2"/>
    <row r="70" s="236" customFormat="1" x14ac:dyDescent="0.2"/>
    <row r="71" s="236" customFormat="1" x14ac:dyDescent="0.2"/>
    <row r="72" s="236" customFormat="1" x14ac:dyDescent="0.2"/>
    <row r="73" s="236" customFormat="1" x14ac:dyDescent="0.2"/>
    <row r="74" s="236" customFormat="1" x14ac:dyDescent="0.2"/>
    <row r="75" s="236" customFormat="1" x14ac:dyDescent="0.2"/>
    <row r="76" s="236" customFormat="1" x14ac:dyDescent="0.2"/>
    <row r="77" s="236" customFormat="1" x14ac:dyDescent="0.2"/>
    <row r="78" s="236" customFormat="1" x14ac:dyDescent="0.2"/>
    <row r="79" s="236" customFormat="1" x14ac:dyDescent="0.2"/>
    <row r="80" s="236" customFormat="1" x14ac:dyDescent="0.2"/>
    <row r="81" s="236" customFormat="1" x14ac:dyDescent="0.2"/>
    <row r="82" s="236" customFormat="1" x14ac:dyDescent="0.2"/>
    <row r="83" s="236" customFormat="1" x14ac:dyDescent="0.2"/>
    <row r="84" s="236" customFormat="1" x14ac:dyDescent="0.2"/>
    <row r="85" s="236" customFormat="1" x14ac:dyDescent="0.2"/>
    <row r="86" s="236" customFormat="1" x14ac:dyDescent="0.2"/>
    <row r="87" s="236" customFormat="1" x14ac:dyDescent="0.2"/>
    <row r="88" s="236" customFormat="1" x14ac:dyDescent="0.2"/>
    <row r="89" s="236" customFormat="1" x14ac:dyDescent="0.2"/>
    <row r="90" s="236" customFormat="1" x14ac:dyDescent="0.2"/>
    <row r="91" s="236" customFormat="1" x14ac:dyDescent="0.2"/>
    <row r="92" s="236" customFormat="1" x14ac:dyDescent="0.2"/>
    <row r="93" s="236" customFormat="1" x14ac:dyDescent="0.2"/>
    <row r="94" s="236" customFormat="1" x14ac:dyDescent="0.2"/>
    <row r="95" s="236" customFormat="1" x14ac:dyDescent="0.2"/>
    <row r="96" s="236" customFormat="1" x14ac:dyDescent="0.2"/>
    <row r="97" s="236" customFormat="1" x14ac:dyDescent="0.2"/>
    <row r="98" s="236" customFormat="1" x14ac:dyDescent="0.2"/>
    <row r="99" s="236" customFormat="1" x14ac:dyDescent="0.2"/>
    <row r="100" s="236" customFormat="1" x14ac:dyDescent="0.2"/>
    <row r="101" s="236" customFormat="1" x14ac:dyDescent="0.2"/>
    <row r="102" s="236" customFormat="1" x14ac:dyDescent="0.2"/>
    <row r="103" s="236" customFormat="1" x14ac:dyDescent="0.2"/>
    <row r="104" s="236" customFormat="1" x14ac:dyDescent="0.2"/>
    <row r="105" s="236" customFormat="1" x14ac:dyDescent="0.2"/>
    <row r="106" s="236" customFormat="1" x14ac:dyDescent="0.2"/>
    <row r="107" s="236" customFormat="1" x14ac:dyDescent="0.2"/>
    <row r="108" s="236" customFormat="1" x14ac:dyDescent="0.2"/>
    <row r="109" s="236" customFormat="1" x14ac:dyDescent="0.2"/>
    <row r="110" s="236" customFormat="1" x14ac:dyDescent="0.2"/>
    <row r="111" s="236" customFormat="1" x14ac:dyDescent="0.2"/>
    <row r="112" s="236" customFormat="1" x14ac:dyDescent="0.2"/>
    <row r="113" s="236" customFormat="1" x14ac:dyDescent="0.2"/>
    <row r="114" s="236" customFormat="1" x14ac:dyDescent="0.2"/>
    <row r="115" s="236" customFormat="1" x14ac:dyDescent="0.2"/>
    <row r="116" s="236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A1:Z153"/>
  <sheetViews>
    <sheetView workbookViewId="0"/>
  </sheetViews>
  <sheetFormatPr defaultRowHeight="14.25" x14ac:dyDescent="0.2"/>
  <cols>
    <col min="1" max="1" width="9.140625" style="242"/>
    <col min="2" max="4" width="9.140625" style="24"/>
    <col min="5" max="5" width="9.28515625" style="24" bestFit="1" customWidth="1"/>
    <col min="6" max="8" width="9.140625" style="24"/>
    <col min="9" max="9" width="9.5703125" style="24" bestFit="1" customWidth="1"/>
    <col min="10" max="15" width="9.140625" style="24"/>
    <col min="16" max="16" width="9.140625" style="242"/>
    <col min="17" max="26" width="9.140625" style="236"/>
    <col min="27" max="16384" width="9.140625" style="22"/>
  </cols>
  <sheetData>
    <row r="1" spans="1:16" s="236" customFormat="1" ht="18" x14ac:dyDescent="0.25">
      <c r="A1" s="249" t="s">
        <v>51</v>
      </c>
      <c r="C1" s="250"/>
      <c r="D1" s="250"/>
      <c r="J1" s="250"/>
      <c r="K1" s="250"/>
      <c r="L1" s="250"/>
      <c r="M1" s="250"/>
      <c r="N1" s="251"/>
      <c r="O1" s="252"/>
    </row>
    <row r="2" spans="1:16" s="236" customFormat="1" ht="18" x14ac:dyDescent="0.25">
      <c r="A2" s="249"/>
      <c r="C2" s="250"/>
      <c r="D2" s="250"/>
      <c r="J2" s="250"/>
      <c r="M2" s="250"/>
      <c r="N2" s="251"/>
      <c r="O2" s="252"/>
    </row>
    <row r="3" spans="1:16" s="236" customFormat="1" ht="18" x14ac:dyDescent="0.25">
      <c r="A3" s="249"/>
      <c r="B3" s="249" t="s">
        <v>52</v>
      </c>
      <c r="F3" s="250"/>
      <c r="G3" s="250"/>
      <c r="H3" s="250"/>
      <c r="L3" s="253"/>
      <c r="N3" s="232"/>
      <c r="O3" s="242"/>
    </row>
    <row r="4" spans="1:16" ht="18" x14ac:dyDescent="0.25">
      <c r="A4" s="249"/>
      <c r="B4" s="203" t="s">
        <v>5</v>
      </c>
      <c r="C4" s="25"/>
      <c r="D4" s="205"/>
      <c r="E4" s="204" t="s">
        <v>6</v>
      </c>
      <c r="F4" s="204"/>
      <c r="G4" s="204"/>
      <c r="H4" s="204"/>
      <c r="I4" s="25"/>
      <c r="J4" s="25"/>
      <c r="K4" s="204" t="s">
        <v>7</v>
      </c>
      <c r="L4" s="204" t="s">
        <v>8</v>
      </c>
      <c r="M4" s="204" t="s">
        <v>9</v>
      </c>
      <c r="N4" s="205"/>
      <c r="O4" s="206"/>
      <c r="P4" s="236"/>
    </row>
    <row r="5" spans="1:16" ht="18" x14ac:dyDescent="0.25">
      <c r="A5" s="249"/>
      <c r="B5" s="207" t="s">
        <v>54</v>
      </c>
      <c r="C5" s="208"/>
      <c r="D5" s="209"/>
      <c r="E5" s="208"/>
      <c r="F5" s="208"/>
      <c r="G5" s="208"/>
      <c r="H5" s="208"/>
      <c r="I5" s="27"/>
      <c r="J5" s="27"/>
      <c r="K5" s="208"/>
      <c r="L5" s="208"/>
      <c r="M5" s="208"/>
      <c r="N5" s="209"/>
      <c r="O5" s="210"/>
      <c r="P5" s="236"/>
    </row>
    <row r="6" spans="1:16" ht="18" x14ac:dyDescent="0.25">
      <c r="A6" s="249"/>
      <c r="B6" s="122" t="s">
        <v>106</v>
      </c>
      <c r="C6" s="27"/>
      <c r="D6" s="254">
        <v>1</v>
      </c>
      <c r="E6" s="99" t="s">
        <v>277</v>
      </c>
      <c r="F6" s="27"/>
      <c r="G6" s="99"/>
      <c r="H6" s="99"/>
      <c r="I6" s="27"/>
      <c r="J6" s="27"/>
      <c r="K6" s="56">
        <f ca="1">K16</f>
        <v>89.927770450098748</v>
      </c>
      <c r="L6" s="45" t="s">
        <v>83</v>
      </c>
      <c r="M6" s="209" t="s">
        <v>11</v>
      </c>
      <c r="N6" s="45"/>
      <c r="O6" s="210"/>
      <c r="P6" s="236"/>
    </row>
    <row r="7" spans="1:16" ht="18" x14ac:dyDescent="0.25">
      <c r="A7" s="249"/>
      <c r="B7" s="122" t="s">
        <v>107</v>
      </c>
      <c r="C7" s="27"/>
      <c r="D7" s="99">
        <v>2</v>
      </c>
      <c r="E7" s="99" t="s">
        <v>278</v>
      </c>
      <c r="F7" s="27"/>
      <c r="G7" s="99"/>
      <c r="H7" s="99"/>
      <c r="I7" s="27"/>
      <c r="J7" s="27"/>
      <c r="K7" s="56">
        <f ca="1">K17</f>
        <v>2339.5614483657964</v>
      </c>
      <c r="L7" s="45" t="s">
        <v>83</v>
      </c>
      <c r="M7" s="209"/>
      <c r="N7" s="45"/>
      <c r="O7" s="210"/>
      <c r="P7" s="236"/>
    </row>
    <row r="8" spans="1:16" ht="18" x14ac:dyDescent="0.25">
      <c r="A8" s="249"/>
      <c r="B8" s="122" t="s">
        <v>108</v>
      </c>
      <c r="C8" s="27"/>
      <c r="D8" s="99">
        <v>3</v>
      </c>
      <c r="E8" s="99" t="s">
        <v>279</v>
      </c>
      <c r="F8" s="27"/>
      <c r="G8" s="99"/>
      <c r="H8" s="99"/>
      <c r="I8" s="27"/>
      <c r="J8" s="27"/>
      <c r="K8" s="56">
        <f ca="1">K18</f>
        <v>91.972992296652478</v>
      </c>
      <c r="L8" s="45" t="s">
        <v>83</v>
      </c>
      <c r="M8" s="209"/>
      <c r="N8" s="45"/>
      <c r="O8" s="210"/>
      <c r="P8" s="236"/>
    </row>
    <row r="9" spans="1:16" ht="18" x14ac:dyDescent="0.25">
      <c r="A9" s="249"/>
      <c r="B9" s="165" t="s">
        <v>109</v>
      </c>
      <c r="C9" s="27"/>
      <c r="D9" s="254">
        <v>4</v>
      </c>
      <c r="E9" s="99" t="s">
        <v>280</v>
      </c>
      <c r="F9" s="27"/>
      <c r="G9" s="99"/>
      <c r="H9" s="99"/>
      <c r="I9" s="27"/>
      <c r="J9" s="27"/>
      <c r="K9" s="56">
        <f ca="1">K16</f>
        <v>89.927770450098748</v>
      </c>
      <c r="L9" s="45" t="s">
        <v>83</v>
      </c>
      <c r="M9" s="209"/>
      <c r="N9" s="45"/>
      <c r="O9" s="210"/>
      <c r="P9" s="236"/>
    </row>
    <row r="10" spans="1:16" ht="18" x14ac:dyDescent="0.25">
      <c r="A10" s="249"/>
      <c r="B10" s="165" t="s">
        <v>110</v>
      </c>
      <c r="C10" s="27"/>
      <c r="D10" s="99">
        <v>5</v>
      </c>
      <c r="E10" s="99" t="s">
        <v>281</v>
      </c>
      <c r="F10" s="27"/>
      <c r="G10" s="99"/>
      <c r="H10" s="99"/>
      <c r="I10" s="27"/>
      <c r="J10" s="27"/>
      <c r="K10" s="56">
        <f ca="1">K17</f>
        <v>2339.5614483657964</v>
      </c>
      <c r="L10" s="45" t="s">
        <v>83</v>
      </c>
      <c r="M10" s="209"/>
      <c r="N10" s="45"/>
      <c r="O10" s="210"/>
      <c r="P10" s="236"/>
    </row>
    <row r="11" spans="1:16" ht="18" x14ac:dyDescent="0.25">
      <c r="A11" s="249"/>
      <c r="B11" s="166" t="s">
        <v>111</v>
      </c>
      <c r="C11" s="32"/>
      <c r="D11" s="255">
        <v>6</v>
      </c>
      <c r="E11" s="255" t="s">
        <v>282</v>
      </c>
      <c r="F11" s="32"/>
      <c r="G11" s="255"/>
      <c r="H11" s="255"/>
      <c r="I11" s="32"/>
      <c r="J11" s="32"/>
      <c r="K11" s="64">
        <f ca="1">K18</f>
        <v>91.972992296652478</v>
      </c>
      <c r="L11" s="63" t="s">
        <v>83</v>
      </c>
      <c r="M11" s="217"/>
      <c r="N11" s="63"/>
      <c r="O11" s="220"/>
      <c r="P11" s="236"/>
    </row>
    <row r="12" spans="1:16" s="236" customFormat="1" ht="18" x14ac:dyDescent="0.25">
      <c r="A12" s="249"/>
      <c r="C12" s="250"/>
      <c r="D12" s="250"/>
      <c r="J12" s="250"/>
      <c r="K12" s="250"/>
      <c r="L12" s="250"/>
      <c r="M12" s="250"/>
      <c r="N12" s="251"/>
      <c r="O12" s="252"/>
    </row>
    <row r="13" spans="1:16" s="236" customFormat="1" ht="18" x14ac:dyDescent="0.25">
      <c r="A13" s="249"/>
      <c r="B13" s="249" t="s">
        <v>55</v>
      </c>
      <c r="C13" s="250"/>
      <c r="D13" s="250"/>
      <c r="J13" s="250"/>
      <c r="K13" s="250"/>
      <c r="L13" s="250"/>
      <c r="M13" s="250"/>
      <c r="N13" s="251"/>
      <c r="O13" s="252"/>
    </row>
    <row r="14" spans="1:16" x14ac:dyDescent="0.2">
      <c r="B14" s="49" t="s">
        <v>56</v>
      </c>
      <c r="C14" s="39"/>
      <c r="D14" s="7" t="s">
        <v>58</v>
      </c>
      <c r="E14" s="50" t="s">
        <v>6</v>
      </c>
      <c r="F14" s="299" t="s">
        <v>59</v>
      </c>
      <c r="G14" s="299"/>
      <c r="H14" s="299"/>
      <c r="I14" s="299"/>
      <c r="J14" s="39"/>
      <c r="K14" s="50" t="s">
        <v>7</v>
      </c>
      <c r="L14" s="50" t="s">
        <v>8</v>
      </c>
      <c r="M14" s="51" t="s">
        <v>55</v>
      </c>
      <c r="N14" s="50" t="s">
        <v>9</v>
      </c>
      <c r="O14" s="52"/>
      <c r="P14" s="236"/>
    </row>
    <row r="15" spans="1:16" x14ac:dyDescent="0.2">
      <c r="B15" s="29"/>
      <c r="C15" s="30"/>
      <c r="D15" s="30"/>
      <c r="E15" s="27"/>
      <c r="F15" s="86" t="s">
        <v>27</v>
      </c>
      <c r="G15" s="86" t="s">
        <v>25</v>
      </c>
      <c r="H15" s="44" t="s">
        <v>57</v>
      </c>
      <c r="I15" s="44" t="s">
        <v>26</v>
      </c>
      <c r="J15" s="30"/>
      <c r="K15" s="30"/>
      <c r="L15" s="30"/>
      <c r="M15" s="30"/>
      <c r="N15" s="57"/>
      <c r="O15" s="28"/>
      <c r="P15" s="236"/>
    </row>
    <row r="16" spans="1:16" x14ac:dyDescent="0.2">
      <c r="B16" s="35" t="s">
        <v>77</v>
      </c>
      <c r="C16" s="39"/>
      <c r="D16" s="79">
        <v>1</v>
      </c>
      <c r="E16" s="80" t="s">
        <v>283</v>
      </c>
      <c r="F16" s="109"/>
      <c r="G16" s="39">
        <f ca="1">VLOOKUP(Age_slaughter, C26:D28,2)</f>
        <v>80</v>
      </c>
      <c r="H16" s="39">
        <f ca="1">VLOOKUP(Age_slaughter, C26:G28,5)</f>
        <v>90</v>
      </c>
      <c r="I16" s="39">
        <f ca="1">VLOOKUP(Age_slaughter,C26:E28,3)</f>
        <v>100</v>
      </c>
      <c r="J16" s="39"/>
      <c r="K16" s="96">
        <f ca="1">_xll.RiskPert(G16,H16,I16)</f>
        <v>89.927770450098748</v>
      </c>
      <c r="L16" s="54" t="s">
        <v>83</v>
      </c>
      <c r="M16" s="80" t="s">
        <v>283</v>
      </c>
      <c r="N16" s="89" t="s">
        <v>46</v>
      </c>
      <c r="O16" s="90"/>
      <c r="P16" s="256"/>
    </row>
    <row r="17" spans="1:26" x14ac:dyDescent="0.2">
      <c r="A17" s="253"/>
      <c r="B17" s="29" t="s">
        <v>84</v>
      </c>
      <c r="C17" s="30"/>
      <c r="D17" s="47">
        <v>2</v>
      </c>
      <c r="E17" s="87" t="s">
        <v>284</v>
      </c>
      <c r="F17" s="110"/>
      <c r="G17" s="75">
        <f ca="1">VLOOKUP(Age_slaughter,C26:H28,6)</f>
        <v>2000</v>
      </c>
      <c r="H17" s="75">
        <f ca="1">VLOOKUP(Age_slaughter,C26:K28,9)</f>
        <v>2750</v>
      </c>
      <c r="I17" s="75">
        <f ca="1">VLOOKUP(Age_slaughter,C26:I28,7)</f>
        <v>3500</v>
      </c>
      <c r="J17" s="30"/>
      <c r="K17" s="59">
        <f ca="1">_xll.RiskPert(G17,H17,I17)</f>
        <v>2339.5614483657964</v>
      </c>
      <c r="L17" s="57" t="s">
        <v>83</v>
      </c>
      <c r="M17" s="87" t="s">
        <v>284</v>
      </c>
      <c r="N17" s="88" t="s">
        <v>46</v>
      </c>
      <c r="O17" s="28"/>
      <c r="P17" s="236"/>
    </row>
    <row r="18" spans="1:26" x14ac:dyDescent="0.2">
      <c r="B18" s="31" t="s">
        <v>85</v>
      </c>
      <c r="C18" s="33"/>
      <c r="D18" s="93">
        <v>3</v>
      </c>
      <c r="E18" s="94" t="s">
        <v>285</v>
      </c>
      <c r="F18" s="111"/>
      <c r="G18" s="63">
        <f ca="1">VLOOKUP(Age_slaughter,C26:L28,10)</f>
        <v>60</v>
      </c>
      <c r="H18" s="63">
        <f ca="1">VLOOKUP(Age_slaughter,C26:O28,13)</f>
        <v>105</v>
      </c>
      <c r="I18" s="63">
        <f ca="1">VLOOKUP(Age_slaughter,C26:M28,11)</f>
        <v>150</v>
      </c>
      <c r="J18" s="91"/>
      <c r="K18" s="92">
        <f ca="1">_xll.RiskPert(G18,H18,I18)</f>
        <v>91.972992296652478</v>
      </c>
      <c r="L18" s="53" t="s">
        <v>83</v>
      </c>
      <c r="M18" s="94" t="s">
        <v>285</v>
      </c>
      <c r="N18" s="95" t="s">
        <v>46</v>
      </c>
      <c r="O18" s="34"/>
      <c r="P18" s="236"/>
    </row>
    <row r="19" spans="1:26" s="236" customFormat="1" x14ac:dyDescent="0.2"/>
    <row r="20" spans="1:26" s="236" customFormat="1" x14ac:dyDescent="0.2">
      <c r="A20" s="242"/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</row>
    <row r="21" spans="1:26" s="242" customFormat="1" ht="12.75" x14ac:dyDescent="0.2">
      <c r="A21" s="239" t="s">
        <v>12</v>
      </c>
      <c r="B21" s="239" t="s">
        <v>72</v>
      </c>
    </row>
    <row r="22" spans="1:26" s="24" customFormat="1" ht="12.75" x14ac:dyDescent="0.2">
      <c r="A22" s="242"/>
      <c r="B22" s="38"/>
      <c r="C22" s="38"/>
      <c r="D22" s="65" t="s">
        <v>60</v>
      </c>
      <c r="E22" s="65" t="s">
        <v>60</v>
      </c>
      <c r="F22" s="65" t="s">
        <v>60</v>
      </c>
      <c r="G22" s="65" t="s">
        <v>60</v>
      </c>
      <c r="H22" s="39" t="s">
        <v>61</v>
      </c>
      <c r="I22" s="39" t="s">
        <v>61</v>
      </c>
      <c r="J22" s="39" t="s">
        <v>61</v>
      </c>
      <c r="K22" s="39" t="s">
        <v>61</v>
      </c>
      <c r="L22" s="39" t="s">
        <v>73</v>
      </c>
      <c r="M22" s="39" t="s">
        <v>73</v>
      </c>
      <c r="N22" s="39" t="s">
        <v>73</v>
      </c>
      <c r="O22" s="36" t="s">
        <v>73</v>
      </c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</row>
    <row r="23" spans="1:26" s="24" customFormat="1" ht="12.75" x14ac:dyDescent="0.2">
      <c r="A23" s="242"/>
      <c r="B23" s="43"/>
      <c r="C23" s="43"/>
      <c r="D23" s="12">
        <v>10</v>
      </c>
      <c r="E23" s="12">
        <v>10</v>
      </c>
      <c r="F23" s="30">
        <v>10</v>
      </c>
      <c r="G23" s="30">
        <v>10</v>
      </c>
      <c r="H23" s="30">
        <v>11</v>
      </c>
      <c r="I23" s="30">
        <v>11</v>
      </c>
      <c r="J23" s="30">
        <v>11</v>
      </c>
      <c r="K23" s="30">
        <v>11</v>
      </c>
      <c r="L23" s="30">
        <v>12</v>
      </c>
      <c r="M23" s="30">
        <v>12</v>
      </c>
      <c r="N23" s="30">
        <v>12</v>
      </c>
      <c r="O23" s="72">
        <v>12</v>
      </c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</row>
    <row r="24" spans="1:26" s="24" customFormat="1" ht="38.25" x14ac:dyDescent="0.2">
      <c r="A24" s="242"/>
      <c r="B24" s="76" t="s">
        <v>64</v>
      </c>
      <c r="C24" s="76" t="s">
        <v>64</v>
      </c>
      <c r="D24" s="61" t="s">
        <v>78</v>
      </c>
      <c r="E24" s="61" t="s">
        <v>79</v>
      </c>
      <c r="F24" s="66" t="s">
        <v>80</v>
      </c>
      <c r="G24" s="66" t="s">
        <v>81</v>
      </c>
      <c r="H24" s="61" t="s">
        <v>78</v>
      </c>
      <c r="I24" s="61" t="s">
        <v>79</v>
      </c>
      <c r="J24" s="66" t="s">
        <v>80</v>
      </c>
      <c r="K24" s="66" t="s">
        <v>81</v>
      </c>
      <c r="L24" s="61" t="s">
        <v>78</v>
      </c>
      <c r="M24" s="61" t="s">
        <v>79</v>
      </c>
      <c r="N24" s="66" t="s">
        <v>80</v>
      </c>
      <c r="O24" s="70" t="s">
        <v>81</v>
      </c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</row>
    <row r="25" spans="1:26" s="24" customFormat="1" ht="25.5" x14ac:dyDescent="0.2">
      <c r="A25" s="242"/>
      <c r="B25" s="76"/>
      <c r="C25" s="76"/>
      <c r="D25" s="67" t="s">
        <v>65</v>
      </c>
      <c r="E25" s="67" t="s">
        <v>66</v>
      </c>
      <c r="F25" s="67" t="s">
        <v>67</v>
      </c>
      <c r="G25" s="67" t="s">
        <v>82</v>
      </c>
      <c r="H25" s="67" t="s">
        <v>69</v>
      </c>
      <c r="I25" s="67" t="s">
        <v>70</v>
      </c>
      <c r="J25" s="67" t="s">
        <v>71</v>
      </c>
      <c r="K25" s="67" t="s">
        <v>86</v>
      </c>
      <c r="L25" s="67" t="s">
        <v>74</v>
      </c>
      <c r="M25" s="67" t="s">
        <v>75</v>
      </c>
      <c r="N25" s="67" t="s">
        <v>76</v>
      </c>
      <c r="O25" s="71" t="s">
        <v>87</v>
      </c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</row>
    <row r="26" spans="1:26" s="24" customFormat="1" ht="25.5" x14ac:dyDescent="0.2">
      <c r="A26" s="242"/>
      <c r="B26" s="81" t="s">
        <v>47</v>
      </c>
      <c r="C26" s="85">
        <v>3</v>
      </c>
      <c r="D26" s="77">
        <v>80</v>
      </c>
      <c r="E26" s="77">
        <v>100</v>
      </c>
      <c r="F26" s="56">
        <f>(D26+E26)/2</f>
        <v>90</v>
      </c>
      <c r="G26" s="56">
        <v>90</v>
      </c>
      <c r="H26" s="30">
        <f>2*1000</f>
        <v>2000</v>
      </c>
      <c r="I26" s="30">
        <f>3.5*1000</f>
        <v>3500</v>
      </c>
      <c r="J26" s="56">
        <f>(H26+I26)/2</f>
        <v>2750</v>
      </c>
      <c r="K26" s="56">
        <v>2750</v>
      </c>
      <c r="L26" s="30">
        <v>60</v>
      </c>
      <c r="M26" s="30">
        <v>150</v>
      </c>
      <c r="N26" s="56">
        <f>(L26+M26)/2</f>
        <v>105</v>
      </c>
      <c r="O26" s="73">
        <v>105</v>
      </c>
      <c r="P26" s="242"/>
      <c r="Q26" s="242"/>
      <c r="R26" s="242"/>
      <c r="S26" s="242"/>
      <c r="T26" s="242"/>
      <c r="U26" s="242"/>
      <c r="V26" s="242"/>
      <c r="W26" s="242"/>
      <c r="X26" s="242"/>
      <c r="Y26" s="242"/>
      <c r="Z26" s="242"/>
    </row>
    <row r="27" spans="1:26" s="24" customFormat="1" ht="25.5" x14ac:dyDescent="0.2">
      <c r="A27" s="242"/>
      <c r="B27" s="82" t="s">
        <v>43</v>
      </c>
      <c r="C27" s="82">
        <v>12</v>
      </c>
      <c r="D27" s="77">
        <v>80</v>
      </c>
      <c r="E27" s="77">
        <v>200</v>
      </c>
      <c r="F27" s="56">
        <f t="shared" ref="F27:F28" si="0">(D27+E27)/2</f>
        <v>140</v>
      </c>
      <c r="G27" s="56">
        <v>140</v>
      </c>
      <c r="H27" s="30">
        <f>6*1000</f>
        <v>6000</v>
      </c>
      <c r="I27" s="30">
        <f>12.5*1000</f>
        <v>12500</v>
      </c>
      <c r="J27" s="56">
        <f t="shared" ref="J27:J28" si="1">(H27+I27)/2</f>
        <v>9250</v>
      </c>
      <c r="K27" s="56">
        <v>9250</v>
      </c>
      <c r="L27" s="30">
        <v>5</v>
      </c>
      <c r="M27" s="30">
        <v>150</v>
      </c>
      <c r="N27" s="56">
        <f t="shared" ref="N27:N28" si="2">(L27+M27)/2</f>
        <v>77.5</v>
      </c>
      <c r="O27" s="73">
        <v>77.5</v>
      </c>
      <c r="P27" s="242"/>
      <c r="Q27" s="242"/>
      <c r="R27" s="242"/>
      <c r="S27" s="242"/>
      <c r="T27" s="242"/>
      <c r="U27" s="242"/>
      <c r="V27" s="242"/>
      <c r="W27" s="242"/>
      <c r="X27" s="242"/>
      <c r="Y27" s="242"/>
      <c r="Z27" s="242"/>
    </row>
    <row r="28" spans="1:26" s="24" customFormat="1" ht="25.5" x14ac:dyDescent="0.2">
      <c r="A28" s="242"/>
      <c r="B28" s="83" t="s">
        <v>44</v>
      </c>
      <c r="C28" s="83">
        <v>13</v>
      </c>
      <c r="D28" s="78">
        <v>100</v>
      </c>
      <c r="E28" s="78">
        <v>200</v>
      </c>
      <c r="F28" s="64">
        <f t="shared" si="0"/>
        <v>150</v>
      </c>
      <c r="G28" s="64">
        <v>150</v>
      </c>
      <c r="H28" s="33">
        <f>10*1000</f>
        <v>10000</v>
      </c>
      <c r="I28" s="33">
        <f>20*1000</f>
        <v>20000</v>
      </c>
      <c r="J28" s="64">
        <f t="shared" si="1"/>
        <v>15000</v>
      </c>
      <c r="K28" s="64">
        <v>15000</v>
      </c>
      <c r="L28" s="33">
        <v>5</v>
      </c>
      <c r="M28" s="33">
        <v>20</v>
      </c>
      <c r="N28" s="64">
        <f t="shared" si="2"/>
        <v>12.5</v>
      </c>
      <c r="O28" s="74">
        <v>12.5</v>
      </c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</row>
    <row r="29" spans="1:26" s="242" customFormat="1" ht="12.75" x14ac:dyDescent="0.2">
      <c r="B29" s="257" t="s">
        <v>128</v>
      </c>
      <c r="C29" s="256" t="s">
        <v>62</v>
      </c>
      <c r="D29" s="256" t="s">
        <v>63</v>
      </c>
      <c r="E29" s="258"/>
      <c r="F29" s="259"/>
    </row>
    <row r="30" spans="1:26" s="242" customFormat="1" ht="12.75" x14ac:dyDescent="0.2">
      <c r="B30" s="242" t="s">
        <v>68</v>
      </c>
    </row>
    <row r="31" spans="1:26" s="242" customFormat="1" ht="12.75" x14ac:dyDescent="0.2"/>
    <row r="32" spans="1:26" s="242" customFormat="1" ht="12.75" x14ac:dyDescent="0.2"/>
    <row r="33" spans="1:16" s="242" customFormat="1" ht="12.75" x14ac:dyDescent="0.2"/>
    <row r="34" spans="1:16" s="242" customFormat="1" ht="12.75" x14ac:dyDescent="0.2"/>
    <row r="35" spans="1:16" s="236" customFormat="1" x14ac:dyDescent="0.2">
      <c r="A35" s="242"/>
      <c r="B35" s="242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</row>
    <row r="36" spans="1:16" s="236" customFormat="1" x14ac:dyDescent="0.2">
      <c r="A36" s="242"/>
      <c r="B36" s="242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</row>
    <row r="37" spans="1:16" s="236" customFormat="1" x14ac:dyDescent="0.2">
      <c r="A37" s="242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</row>
    <row r="38" spans="1:16" s="236" customFormat="1" x14ac:dyDescent="0.2">
      <c r="A38" s="242"/>
      <c r="B38" s="242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</row>
    <row r="39" spans="1:16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</row>
    <row r="40" spans="1:16" s="236" customFormat="1" x14ac:dyDescent="0.2">
      <c r="A40" s="242"/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</row>
    <row r="41" spans="1:16" s="236" customFormat="1" x14ac:dyDescent="0.2">
      <c r="A41" s="242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</row>
    <row r="42" spans="1:16" s="236" customFormat="1" x14ac:dyDescent="0.2">
      <c r="A42" s="242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</row>
    <row r="43" spans="1:16" s="236" customFormat="1" x14ac:dyDescent="0.2">
      <c r="A43" s="242"/>
      <c r="B43" s="24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</row>
    <row r="44" spans="1:16" s="236" customFormat="1" x14ac:dyDescent="0.2">
      <c r="A44" s="242"/>
      <c r="B44" s="242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  <c r="P44" s="242"/>
    </row>
    <row r="45" spans="1:16" s="236" customFormat="1" x14ac:dyDescent="0.2">
      <c r="A45" s="242"/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</row>
    <row r="46" spans="1:16" s="236" customFormat="1" x14ac:dyDescent="0.2">
      <c r="A46" s="242"/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</row>
    <row r="47" spans="1:16" s="236" customFormat="1" x14ac:dyDescent="0.2">
      <c r="A47" s="242"/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</row>
    <row r="48" spans="1:16" s="236" customFormat="1" x14ac:dyDescent="0.2">
      <c r="A48" s="242"/>
      <c r="B48" s="242"/>
      <c r="C48" s="242"/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</row>
    <row r="49" spans="1:16" s="236" customFormat="1" x14ac:dyDescent="0.2">
      <c r="A49" s="242"/>
      <c r="B49" s="242"/>
      <c r="C49" s="242"/>
      <c r="D49" s="242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  <c r="P49" s="242"/>
    </row>
    <row r="50" spans="1:16" s="236" customForma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  <c r="P50" s="242"/>
    </row>
    <row r="51" spans="1:16" s="236" customFormat="1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</row>
    <row r="52" spans="1:16" s="236" customFormat="1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  <c r="P52" s="242"/>
    </row>
    <row r="53" spans="1:16" s="236" customFormat="1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</row>
    <row r="54" spans="1:16" s="236" customFormat="1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42"/>
      <c r="L54" s="242"/>
      <c r="M54" s="242"/>
      <c r="N54" s="242"/>
      <c r="O54" s="242"/>
      <c r="P54" s="242"/>
    </row>
    <row r="55" spans="1:16" s="236" customFormat="1" x14ac:dyDescent="0.2">
      <c r="A55" s="242"/>
      <c r="B55" s="242"/>
      <c r="C55" s="242"/>
      <c r="D55" s="242"/>
      <c r="E55" s="242"/>
      <c r="F55" s="242"/>
      <c r="G55" s="242"/>
      <c r="H55" s="242"/>
      <c r="I55" s="242"/>
      <c r="J55" s="242"/>
      <c r="K55" s="242"/>
      <c r="L55" s="242"/>
      <c r="M55" s="242"/>
      <c r="N55" s="242"/>
      <c r="O55" s="242"/>
      <c r="P55" s="242"/>
    </row>
    <row r="56" spans="1:16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  <c r="P56" s="242"/>
    </row>
    <row r="57" spans="1:16" s="236" customFormat="1" x14ac:dyDescent="0.2">
      <c r="A57" s="242"/>
      <c r="B57" s="242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</row>
    <row r="58" spans="1:16" s="236" customFormat="1" x14ac:dyDescent="0.2">
      <c r="A58" s="242"/>
      <c r="B58" s="242"/>
      <c r="C58" s="242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  <c r="P58" s="242"/>
    </row>
    <row r="59" spans="1:16" s="236" customFormat="1" x14ac:dyDescent="0.2">
      <c r="A59" s="242"/>
      <c r="B59" s="242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  <c r="P59" s="242"/>
    </row>
    <row r="60" spans="1:16" s="236" customFormat="1" x14ac:dyDescent="0.2">
      <c r="A60" s="242"/>
      <c r="B60" s="242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  <c r="P60" s="242"/>
    </row>
    <row r="61" spans="1:16" s="236" customFormat="1" x14ac:dyDescent="0.2">
      <c r="A61" s="242"/>
      <c r="B61" s="242"/>
      <c r="C61" s="242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</row>
    <row r="62" spans="1:16" s="236" customFormat="1" x14ac:dyDescent="0.2">
      <c r="A62" s="242"/>
      <c r="B62" s="242"/>
      <c r="C62" s="242"/>
      <c r="D62" s="242"/>
      <c r="E62" s="242"/>
      <c r="F62" s="242"/>
      <c r="G62" s="242"/>
      <c r="H62" s="242"/>
      <c r="I62" s="242"/>
      <c r="J62" s="242"/>
      <c r="K62" s="242"/>
      <c r="L62" s="242"/>
      <c r="M62" s="242"/>
      <c r="N62" s="242"/>
      <c r="O62" s="242"/>
      <c r="P62" s="242"/>
    </row>
    <row r="63" spans="1:16" s="236" customFormat="1" x14ac:dyDescent="0.2">
      <c r="A63" s="242"/>
      <c r="B63" s="242"/>
      <c r="C63" s="242"/>
      <c r="D63" s="242"/>
      <c r="E63" s="242"/>
      <c r="F63" s="242"/>
      <c r="G63" s="242"/>
      <c r="H63" s="242"/>
      <c r="I63" s="242"/>
      <c r="J63" s="242"/>
      <c r="K63" s="242"/>
      <c r="L63" s="242"/>
      <c r="M63" s="242"/>
      <c r="N63" s="242"/>
      <c r="O63" s="242"/>
      <c r="P63" s="242"/>
    </row>
    <row r="64" spans="1:16" s="236" customFormat="1" x14ac:dyDescent="0.2">
      <c r="A64" s="242"/>
      <c r="B64" s="242"/>
      <c r="C64" s="242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</row>
    <row r="65" spans="1:16" s="236" customFormat="1" x14ac:dyDescent="0.2">
      <c r="A65" s="242"/>
      <c r="B65" s="242"/>
      <c r="C65" s="242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</row>
    <row r="66" spans="1:16" s="236" customFormat="1" x14ac:dyDescent="0.2">
      <c r="A66" s="242"/>
      <c r="B66" s="242"/>
      <c r="C66" s="242"/>
      <c r="D66" s="242"/>
      <c r="E66" s="242"/>
      <c r="F66" s="242"/>
      <c r="G66" s="242"/>
      <c r="H66" s="242"/>
      <c r="I66" s="242"/>
      <c r="J66" s="242"/>
      <c r="K66" s="242"/>
      <c r="L66" s="242"/>
      <c r="M66" s="242"/>
      <c r="N66" s="242"/>
      <c r="O66" s="242"/>
      <c r="P66" s="242"/>
    </row>
    <row r="67" spans="1:16" s="236" customFormat="1" x14ac:dyDescent="0.2">
      <c r="A67" s="242"/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</row>
    <row r="68" spans="1:16" s="236" customFormat="1" x14ac:dyDescent="0.2">
      <c r="A68" s="242"/>
      <c r="B68" s="242"/>
      <c r="C68" s="242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</row>
    <row r="69" spans="1:16" s="236" customFormat="1" x14ac:dyDescent="0.2">
      <c r="A69" s="242"/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</row>
    <row r="70" spans="1:16" s="236" customFormat="1" x14ac:dyDescent="0.2">
      <c r="A70" s="242"/>
      <c r="B70" s="242"/>
      <c r="C70" s="242"/>
      <c r="D70" s="242"/>
      <c r="E70" s="242"/>
      <c r="F70" s="242"/>
      <c r="G70" s="242"/>
      <c r="H70" s="242"/>
      <c r="I70" s="242"/>
      <c r="J70" s="242"/>
      <c r="K70" s="242"/>
      <c r="L70" s="242"/>
      <c r="M70" s="242"/>
      <c r="N70" s="242"/>
      <c r="O70" s="242"/>
      <c r="P70" s="242"/>
    </row>
    <row r="71" spans="1:16" s="236" customFormat="1" x14ac:dyDescent="0.2">
      <c r="A71" s="242"/>
      <c r="B71" s="242"/>
      <c r="C71" s="242"/>
      <c r="D71" s="242"/>
      <c r="E71" s="242"/>
      <c r="F71" s="242"/>
      <c r="G71" s="242"/>
      <c r="H71" s="242"/>
      <c r="I71" s="242"/>
      <c r="J71" s="242"/>
      <c r="K71" s="242"/>
      <c r="L71" s="242"/>
      <c r="M71" s="242"/>
      <c r="N71" s="242"/>
      <c r="O71" s="242"/>
      <c r="P71" s="242"/>
    </row>
    <row r="72" spans="1:16" s="236" customFormat="1" x14ac:dyDescent="0.2">
      <c r="A72" s="242"/>
      <c r="B72" s="242"/>
      <c r="C72" s="242"/>
      <c r="D72" s="242"/>
      <c r="E72" s="242"/>
      <c r="F72" s="242"/>
      <c r="G72" s="242"/>
      <c r="H72" s="242"/>
      <c r="I72" s="242"/>
      <c r="J72" s="242"/>
      <c r="K72" s="242"/>
      <c r="L72" s="242"/>
      <c r="M72" s="242"/>
      <c r="N72" s="242"/>
      <c r="O72" s="242"/>
      <c r="P72" s="242"/>
    </row>
    <row r="73" spans="1:16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  <c r="P73" s="242"/>
    </row>
    <row r="74" spans="1:16" s="236" customFormat="1" x14ac:dyDescent="0.2">
      <c r="A74" s="242"/>
      <c r="B74" s="242"/>
      <c r="C74" s="242"/>
      <c r="D74" s="242"/>
      <c r="E74" s="242"/>
      <c r="F74" s="242"/>
      <c r="G74" s="242"/>
      <c r="H74" s="242"/>
      <c r="I74" s="242"/>
      <c r="J74" s="242"/>
      <c r="K74" s="242"/>
      <c r="L74" s="242"/>
      <c r="M74" s="242"/>
      <c r="N74" s="242"/>
      <c r="O74" s="242"/>
      <c r="P74" s="242"/>
    </row>
    <row r="75" spans="1:16" s="236" customFormat="1" x14ac:dyDescent="0.2">
      <c r="A75" s="242"/>
      <c r="B75" s="242"/>
      <c r="C75" s="242"/>
      <c r="D75" s="242"/>
      <c r="E75" s="242"/>
      <c r="F75" s="242"/>
      <c r="G75" s="242"/>
      <c r="H75" s="242"/>
      <c r="I75" s="242"/>
      <c r="J75" s="242"/>
      <c r="K75" s="242"/>
      <c r="L75" s="242"/>
      <c r="M75" s="242"/>
      <c r="N75" s="242"/>
      <c r="O75" s="242"/>
      <c r="P75" s="242"/>
    </row>
    <row r="76" spans="1:16" s="236" customFormat="1" x14ac:dyDescent="0.2">
      <c r="A76" s="242"/>
      <c r="B76" s="242"/>
      <c r="C76" s="242"/>
      <c r="D76" s="242"/>
      <c r="E76" s="242"/>
      <c r="F76" s="242"/>
      <c r="G76" s="242"/>
      <c r="H76" s="242"/>
      <c r="I76" s="242"/>
      <c r="J76" s="242"/>
      <c r="K76" s="242"/>
      <c r="L76" s="242"/>
      <c r="M76" s="242"/>
      <c r="N76" s="242"/>
      <c r="O76" s="242"/>
      <c r="P76" s="242"/>
    </row>
    <row r="77" spans="1:16" s="236" customFormat="1" x14ac:dyDescent="0.2">
      <c r="A77" s="242"/>
      <c r="B77" s="242"/>
      <c r="C77" s="242"/>
      <c r="D77" s="242"/>
      <c r="E77" s="242"/>
      <c r="F77" s="242"/>
      <c r="G77" s="242"/>
      <c r="H77" s="242"/>
      <c r="I77" s="242"/>
      <c r="J77" s="242"/>
      <c r="K77" s="242"/>
      <c r="L77" s="242"/>
      <c r="M77" s="242"/>
      <c r="N77" s="242"/>
      <c r="O77" s="242"/>
      <c r="P77" s="242"/>
    </row>
    <row r="78" spans="1:16" s="236" customFormat="1" x14ac:dyDescent="0.2">
      <c r="A78" s="242"/>
      <c r="B78" s="242"/>
      <c r="C78" s="242"/>
      <c r="D78" s="242"/>
      <c r="E78" s="242"/>
      <c r="F78" s="242"/>
      <c r="G78" s="242"/>
      <c r="H78" s="242"/>
      <c r="I78" s="242"/>
      <c r="J78" s="242"/>
      <c r="K78" s="242"/>
      <c r="L78" s="242"/>
      <c r="M78" s="242"/>
      <c r="N78" s="242"/>
      <c r="O78" s="242"/>
      <c r="P78" s="242"/>
    </row>
    <row r="79" spans="1:16" s="236" customFormat="1" x14ac:dyDescent="0.2">
      <c r="A79" s="242"/>
      <c r="B79" s="242"/>
      <c r="C79" s="242"/>
      <c r="D79" s="242"/>
      <c r="E79" s="242"/>
      <c r="F79" s="242"/>
      <c r="G79" s="242"/>
      <c r="H79" s="242"/>
      <c r="I79" s="242"/>
      <c r="J79" s="242"/>
      <c r="K79" s="242"/>
      <c r="L79" s="242"/>
      <c r="M79" s="242"/>
      <c r="N79" s="242"/>
      <c r="O79" s="242"/>
      <c r="P79" s="242"/>
    </row>
    <row r="80" spans="1:16" s="236" customFormat="1" x14ac:dyDescent="0.2">
      <c r="A80" s="242"/>
      <c r="B80" s="242"/>
      <c r="C80" s="242"/>
      <c r="D80" s="242"/>
      <c r="E80" s="242"/>
      <c r="F80" s="242"/>
      <c r="G80" s="242"/>
      <c r="H80" s="242"/>
      <c r="I80" s="242"/>
      <c r="J80" s="242"/>
      <c r="K80" s="242"/>
      <c r="L80" s="242"/>
      <c r="M80" s="242"/>
      <c r="N80" s="242"/>
      <c r="O80" s="242"/>
      <c r="P80" s="242"/>
    </row>
    <row r="81" spans="1:16" s="236" customFormat="1" x14ac:dyDescent="0.2">
      <c r="A81" s="242"/>
      <c r="B81" s="242"/>
      <c r="C81" s="242"/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42"/>
      <c r="P81" s="242"/>
    </row>
    <row r="82" spans="1:16" s="236" customFormat="1" x14ac:dyDescent="0.2">
      <c r="A82" s="242"/>
      <c r="B82" s="242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</row>
    <row r="83" spans="1:16" s="236" customFormat="1" x14ac:dyDescent="0.2">
      <c r="A83" s="242"/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</row>
    <row r="84" spans="1:16" s="236" customFormat="1" x14ac:dyDescent="0.2">
      <c r="A84" s="242"/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</row>
    <row r="85" spans="1:16" s="236" customFormat="1" x14ac:dyDescent="0.2">
      <c r="A85" s="242"/>
      <c r="B85" s="242"/>
      <c r="C85" s="242"/>
      <c r="D85" s="242"/>
      <c r="E85" s="242"/>
      <c r="F85" s="242"/>
      <c r="G85" s="242"/>
      <c r="H85" s="242"/>
      <c r="I85" s="242"/>
      <c r="J85" s="242"/>
      <c r="K85" s="242"/>
      <c r="L85" s="242"/>
      <c r="M85" s="242"/>
      <c r="N85" s="242"/>
      <c r="O85" s="242"/>
      <c r="P85" s="242"/>
    </row>
    <row r="86" spans="1:16" s="236" customFormat="1" x14ac:dyDescent="0.2">
      <c r="A86" s="242"/>
      <c r="B86" s="242"/>
      <c r="C86" s="242"/>
      <c r="D86" s="242"/>
      <c r="E86" s="242"/>
      <c r="F86" s="242"/>
      <c r="G86" s="242"/>
      <c r="H86" s="242"/>
      <c r="I86" s="242"/>
      <c r="J86" s="242"/>
      <c r="K86" s="242"/>
      <c r="L86" s="242"/>
      <c r="M86" s="242"/>
      <c r="N86" s="242"/>
      <c r="O86" s="242"/>
      <c r="P86" s="242"/>
    </row>
    <row r="87" spans="1:16" s="236" customFormat="1" x14ac:dyDescent="0.2">
      <c r="A87" s="242"/>
      <c r="B87" s="242"/>
      <c r="C87" s="242"/>
      <c r="D87" s="242"/>
      <c r="E87" s="242"/>
      <c r="F87" s="242"/>
      <c r="G87" s="242"/>
      <c r="H87" s="242"/>
      <c r="I87" s="242"/>
      <c r="J87" s="242"/>
      <c r="K87" s="242"/>
      <c r="L87" s="242"/>
      <c r="M87" s="242"/>
      <c r="N87" s="242"/>
      <c r="O87" s="242"/>
      <c r="P87" s="242"/>
    </row>
    <row r="88" spans="1:16" s="236" customFormat="1" x14ac:dyDescent="0.2">
      <c r="A88" s="242"/>
      <c r="B88" s="242"/>
      <c r="C88" s="242"/>
      <c r="D88" s="242"/>
      <c r="E88" s="242"/>
      <c r="F88" s="242"/>
      <c r="G88" s="242"/>
      <c r="H88" s="242"/>
      <c r="I88" s="242"/>
      <c r="J88" s="242"/>
      <c r="K88" s="242"/>
      <c r="L88" s="242"/>
      <c r="M88" s="242"/>
      <c r="N88" s="242"/>
      <c r="O88" s="242"/>
      <c r="P88" s="242"/>
    </row>
    <row r="89" spans="1:16" s="236" customFormat="1" x14ac:dyDescent="0.2">
      <c r="A89" s="242"/>
      <c r="B89" s="242"/>
      <c r="C89" s="242"/>
      <c r="D89" s="242"/>
      <c r="E89" s="242"/>
      <c r="F89" s="242"/>
      <c r="G89" s="242"/>
      <c r="H89" s="242"/>
      <c r="I89" s="242"/>
      <c r="J89" s="242"/>
      <c r="K89" s="242"/>
      <c r="L89" s="242"/>
      <c r="M89" s="242"/>
      <c r="N89" s="242"/>
      <c r="O89" s="242"/>
      <c r="P89" s="242"/>
    </row>
    <row r="90" spans="1:16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  <c r="P90" s="242"/>
    </row>
    <row r="91" spans="1:16" s="236" customFormat="1" x14ac:dyDescent="0.2">
      <c r="A91" s="242"/>
      <c r="B91" s="242"/>
      <c r="C91" s="242"/>
      <c r="D91" s="242"/>
      <c r="E91" s="242"/>
      <c r="F91" s="242"/>
      <c r="G91" s="242"/>
      <c r="H91" s="242"/>
      <c r="I91" s="242"/>
      <c r="J91" s="242"/>
      <c r="K91" s="242"/>
      <c r="L91" s="242"/>
      <c r="M91" s="242"/>
      <c r="N91" s="242"/>
      <c r="O91" s="242"/>
      <c r="P91" s="242"/>
    </row>
    <row r="92" spans="1:16" s="236" customFormat="1" x14ac:dyDescent="0.2">
      <c r="A92" s="242"/>
      <c r="B92" s="242"/>
      <c r="C92" s="242"/>
      <c r="D92" s="242"/>
      <c r="E92" s="242"/>
      <c r="F92" s="242"/>
      <c r="G92" s="242"/>
      <c r="H92" s="242"/>
      <c r="I92" s="242"/>
      <c r="J92" s="242"/>
      <c r="K92" s="242"/>
      <c r="L92" s="242"/>
      <c r="M92" s="242"/>
      <c r="N92" s="242"/>
      <c r="O92" s="242"/>
      <c r="P92" s="242"/>
    </row>
    <row r="93" spans="1:16" s="236" customFormat="1" x14ac:dyDescent="0.2">
      <c r="A93" s="242"/>
      <c r="B93" s="242"/>
      <c r="C93" s="242"/>
      <c r="D93" s="242"/>
      <c r="E93" s="242"/>
      <c r="F93" s="242"/>
      <c r="G93" s="242"/>
      <c r="H93" s="242"/>
      <c r="I93" s="242"/>
      <c r="J93" s="242"/>
      <c r="K93" s="242"/>
      <c r="L93" s="242"/>
      <c r="M93" s="242"/>
      <c r="N93" s="242"/>
      <c r="O93" s="242"/>
      <c r="P93" s="242"/>
    </row>
    <row r="94" spans="1:16" s="236" customFormat="1" x14ac:dyDescent="0.2">
      <c r="A94" s="242"/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2"/>
      <c r="P94" s="242"/>
    </row>
    <row r="95" spans="1:16" s="236" customFormat="1" x14ac:dyDescent="0.2">
      <c r="A95" s="242"/>
      <c r="B95" s="242"/>
      <c r="C95" s="242"/>
      <c r="D95" s="242"/>
      <c r="E95" s="242"/>
      <c r="F95" s="242"/>
      <c r="G95" s="242"/>
      <c r="H95" s="242"/>
      <c r="I95" s="242"/>
      <c r="J95" s="242"/>
      <c r="K95" s="242"/>
      <c r="L95" s="242"/>
      <c r="M95" s="242"/>
      <c r="N95" s="242"/>
      <c r="O95" s="242"/>
      <c r="P95" s="242"/>
    </row>
    <row r="96" spans="1:16" s="236" customFormat="1" x14ac:dyDescent="0.2">
      <c r="A96" s="242"/>
      <c r="B96" s="242"/>
      <c r="C96" s="242"/>
      <c r="D96" s="242"/>
      <c r="E96" s="242"/>
      <c r="F96" s="242"/>
      <c r="G96" s="242"/>
      <c r="H96" s="242"/>
      <c r="I96" s="242"/>
      <c r="J96" s="242"/>
      <c r="K96" s="242"/>
      <c r="L96" s="242"/>
      <c r="M96" s="242"/>
      <c r="N96" s="242"/>
      <c r="O96" s="242"/>
      <c r="P96" s="242"/>
    </row>
    <row r="97" spans="1:16" s="236" customFormat="1" x14ac:dyDescent="0.2">
      <c r="A97" s="242"/>
      <c r="B97" s="242"/>
      <c r="C97" s="242"/>
      <c r="D97" s="242"/>
      <c r="E97" s="242"/>
      <c r="F97" s="242"/>
      <c r="G97" s="242"/>
      <c r="H97" s="242"/>
      <c r="I97" s="242"/>
      <c r="J97" s="242"/>
      <c r="K97" s="242"/>
      <c r="L97" s="242"/>
      <c r="M97" s="242"/>
      <c r="N97" s="242"/>
      <c r="O97" s="242"/>
      <c r="P97" s="242"/>
    </row>
    <row r="98" spans="1:16" s="236" customFormat="1" x14ac:dyDescent="0.2">
      <c r="A98" s="242"/>
      <c r="B98" s="242"/>
      <c r="C98" s="242"/>
      <c r="D98" s="242"/>
      <c r="E98" s="242"/>
      <c r="F98" s="242"/>
      <c r="G98" s="242"/>
      <c r="H98" s="242"/>
      <c r="I98" s="242"/>
      <c r="J98" s="242"/>
      <c r="K98" s="242"/>
      <c r="L98" s="242"/>
      <c r="M98" s="242"/>
      <c r="N98" s="242"/>
      <c r="O98" s="242"/>
      <c r="P98" s="242"/>
    </row>
    <row r="99" spans="1:16" s="236" customFormat="1" x14ac:dyDescent="0.2">
      <c r="A99" s="242"/>
      <c r="B99" s="242"/>
      <c r="C99" s="242"/>
      <c r="D99" s="242"/>
      <c r="E99" s="242"/>
      <c r="F99" s="242"/>
      <c r="G99" s="242"/>
      <c r="H99" s="242"/>
      <c r="I99" s="242"/>
      <c r="J99" s="242"/>
      <c r="K99" s="242"/>
      <c r="L99" s="242"/>
      <c r="M99" s="242"/>
      <c r="N99" s="242"/>
      <c r="O99" s="242"/>
      <c r="P99" s="242"/>
    </row>
    <row r="100" spans="1:16" s="236" customFormat="1" x14ac:dyDescent="0.2">
      <c r="A100" s="242"/>
      <c r="B100" s="242"/>
      <c r="C100" s="242"/>
      <c r="D100" s="242"/>
      <c r="E100" s="242"/>
      <c r="F100" s="242"/>
      <c r="G100" s="242"/>
      <c r="H100" s="242"/>
      <c r="I100" s="242"/>
      <c r="J100" s="242"/>
      <c r="K100" s="242"/>
      <c r="L100" s="242"/>
      <c r="M100" s="242"/>
      <c r="N100" s="242"/>
      <c r="O100" s="242"/>
      <c r="P100" s="242"/>
    </row>
    <row r="101" spans="1:16" s="236" customFormat="1" x14ac:dyDescent="0.2">
      <c r="A101" s="242"/>
      <c r="B101" s="242"/>
      <c r="C101" s="242"/>
      <c r="D101" s="242"/>
      <c r="E101" s="242"/>
      <c r="F101" s="242"/>
      <c r="G101" s="242"/>
      <c r="H101" s="242"/>
      <c r="I101" s="242"/>
      <c r="J101" s="242"/>
      <c r="K101" s="242"/>
      <c r="L101" s="242"/>
      <c r="M101" s="242"/>
      <c r="N101" s="242"/>
      <c r="O101" s="242"/>
      <c r="P101" s="242"/>
    </row>
    <row r="102" spans="1:16" s="236" customFormat="1" x14ac:dyDescent="0.2">
      <c r="A102" s="242"/>
      <c r="B102" s="242"/>
      <c r="C102" s="242"/>
      <c r="D102" s="242"/>
      <c r="E102" s="242"/>
      <c r="F102" s="242"/>
      <c r="G102" s="242"/>
      <c r="H102" s="242"/>
      <c r="I102" s="242"/>
      <c r="J102" s="242"/>
      <c r="K102" s="242"/>
      <c r="L102" s="242"/>
      <c r="M102" s="242"/>
      <c r="N102" s="242"/>
      <c r="O102" s="242"/>
      <c r="P102" s="242"/>
    </row>
    <row r="103" spans="1:16" s="236" customFormat="1" x14ac:dyDescent="0.2">
      <c r="A103" s="242"/>
      <c r="B103" s="242"/>
      <c r="C103" s="242"/>
      <c r="D103" s="242"/>
      <c r="E103" s="242"/>
      <c r="F103" s="242"/>
      <c r="G103" s="242"/>
      <c r="H103" s="242"/>
      <c r="I103" s="242"/>
      <c r="J103" s="242"/>
      <c r="K103" s="242"/>
      <c r="L103" s="242"/>
      <c r="M103" s="242"/>
      <c r="N103" s="242"/>
      <c r="O103" s="242"/>
      <c r="P103" s="242"/>
    </row>
    <row r="104" spans="1:16" s="236" customFormat="1" x14ac:dyDescent="0.2">
      <c r="A104" s="242"/>
      <c r="B104" s="242"/>
      <c r="C104" s="242"/>
      <c r="D104" s="242"/>
      <c r="E104" s="242"/>
      <c r="F104" s="242"/>
      <c r="G104" s="242"/>
      <c r="H104" s="242"/>
      <c r="I104" s="242"/>
      <c r="J104" s="242"/>
      <c r="K104" s="242"/>
      <c r="L104" s="242"/>
      <c r="M104" s="242"/>
      <c r="N104" s="242"/>
      <c r="O104" s="242"/>
      <c r="P104" s="242"/>
    </row>
    <row r="105" spans="1:16" s="236" customFormat="1" x14ac:dyDescent="0.2">
      <c r="A105" s="242"/>
      <c r="B105" s="242"/>
      <c r="C105" s="242"/>
      <c r="D105" s="242"/>
      <c r="E105" s="242"/>
      <c r="F105" s="242"/>
      <c r="G105" s="242"/>
      <c r="H105" s="242"/>
      <c r="I105" s="242"/>
      <c r="J105" s="242"/>
      <c r="K105" s="242"/>
      <c r="L105" s="242"/>
      <c r="M105" s="242"/>
      <c r="N105" s="242"/>
      <c r="O105" s="242"/>
      <c r="P105" s="242"/>
    </row>
    <row r="106" spans="1:16" s="236" customFormat="1" x14ac:dyDescent="0.2">
      <c r="A106" s="242"/>
      <c r="B106" s="242"/>
      <c r="C106" s="242"/>
      <c r="D106" s="242"/>
      <c r="E106" s="242"/>
      <c r="F106" s="242"/>
      <c r="G106" s="242"/>
      <c r="H106" s="242"/>
      <c r="I106" s="242"/>
      <c r="J106" s="242"/>
      <c r="K106" s="242"/>
      <c r="L106" s="242"/>
      <c r="M106" s="242"/>
      <c r="N106" s="242"/>
      <c r="O106" s="242"/>
      <c r="P106" s="242"/>
    </row>
    <row r="107" spans="1:16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  <c r="P107" s="242"/>
    </row>
    <row r="108" spans="1:16" s="236" customFormat="1" x14ac:dyDescent="0.2">
      <c r="A108" s="242"/>
      <c r="B108" s="242"/>
      <c r="C108" s="242"/>
      <c r="D108" s="242"/>
      <c r="E108" s="242"/>
      <c r="F108" s="242"/>
      <c r="G108" s="242"/>
      <c r="H108" s="242"/>
      <c r="I108" s="242"/>
      <c r="J108" s="242"/>
      <c r="K108" s="242"/>
      <c r="L108" s="242"/>
      <c r="M108" s="242"/>
      <c r="N108" s="242"/>
      <c r="O108" s="242"/>
      <c r="P108" s="242"/>
    </row>
    <row r="109" spans="1:16" s="236" customFormat="1" x14ac:dyDescent="0.2">
      <c r="A109" s="242"/>
      <c r="B109" s="242"/>
      <c r="C109" s="242"/>
      <c r="D109" s="242"/>
      <c r="E109" s="242"/>
      <c r="F109" s="242"/>
      <c r="G109" s="242"/>
      <c r="H109" s="242"/>
      <c r="I109" s="242"/>
      <c r="J109" s="242"/>
      <c r="K109" s="242"/>
      <c r="L109" s="242"/>
      <c r="M109" s="242"/>
      <c r="N109" s="242"/>
      <c r="O109" s="242"/>
      <c r="P109" s="242"/>
    </row>
    <row r="110" spans="1:16" s="236" customFormat="1" x14ac:dyDescent="0.2">
      <c r="A110" s="242"/>
      <c r="B110" s="242"/>
      <c r="C110" s="242"/>
      <c r="D110" s="242"/>
      <c r="E110" s="242"/>
      <c r="F110" s="242"/>
      <c r="G110" s="242"/>
      <c r="H110" s="242"/>
      <c r="I110" s="242"/>
      <c r="J110" s="242"/>
      <c r="K110" s="242"/>
      <c r="L110" s="242"/>
      <c r="M110" s="242"/>
      <c r="N110" s="242"/>
      <c r="O110" s="242"/>
      <c r="P110" s="242"/>
    </row>
    <row r="111" spans="1:16" s="236" customFormat="1" x14ac:dyDescent="0.2">
      <c r="A111" s="242"/>
      <c r="B111" s="242"/>
      <c r="C111" s="242"/>
      <c r="D111" s="242"/>
      <c r="E111" s="242"/>
      <c r="F111" s="242"/>
      <c r="G111" s="242"/>
      <c r="H111" s="242"/>
      <c r="I111" s="242"/>
      <c r="J111" s="242"/>
      <c r="K111" s="242"/>
      <c r="L111" s="242"/>
      <c r="M111" s="242"/>
      <c r="N111" s="242"/>
      <c r="O111" s="242"/>
      <c r="P111" s="242"/>
    </row>
    <row r="112" spans="1:16" s="236" customFormat="1" x14ac:dyDescent="0.2">
      <c r="A112" s="242"/>
      <c r="B112" s="242"/>
      <c r="C112" s="242"/>
      <c r="D112" s="242"/>
      <c r="E112" s="242"/>
      <c r="F112" s="242"/>
      <c r="G112" s="242"/>
      <c r="H112" s="242"/>
      <c r="I112" s="242"/>
      <c r="J112" s="242"/>
      <c r="K112" s="242"/>
      <c r="L112" s="242"/>
      <c r="M112" s="242"/>
      <c r="N112" s="242"/>
      <c r="O112" s="242"/>
      <c r="P112" s="242"/>
    </row>
    <row r="113" spans="1:16" s="236" customFormat="1" x14ac:dyDescent="0.2">
      <c r="A113" s="242"/>
      <c r="B113" s="242"/>
      <c r="C113" s="242"/>
      <c r="D113" s="242"/>
      <c r="E113" s="242"/>
      <c r="F113" s="242"/>
      <c r="G113" s="242"/>
      <c r="H113" s="242"/>
      <c r="I113" s="242"/>
      <c r="J113" s="242"/>
      <c r="K113" s="242"/>
      <c r="L113" s="242"/>
      <c r="M113" s="242"/>
      <c r="N113" s="242"/>
      <c r="O113" s="242"/>
      <c r="P113" s="242"/>
    </row>
    <row r="114" spans="1:16" s="236" customFormat="1" x14ac:dyDescent="0.2">
      <c r="A114" s="242"/>
      <c r="B114" s="242"/>
      <c r="C114" s="242"/>
      <c r="D114" s="242"/>
      <c r="E114" s="242"/>
      <c r="F114" s="242"/>
      <c r="G114" s="242"/>
      <c r="H114" s="242"/>
      <c r="I114" s="242"/>
      <c r="J114" s="242"/>
      <c r="K114" s="242"/>
      <c r="L114" s="242"/>
      <c r="M114" s="242"/>
      <c r="N114" s="242"/>
      <c r="O114" s="242"/>
      <c r="P114" s="242"/>
    </row>
    <row r="115" spans="1:16" s="236" customFormat="1" x14ac:dyDescent="0.2">
      <c r="A115" s="242"/>
      <c r="B115" s="242"/>
      <c r="C115" s="242"/>
      <c r="D115" s="242"/>
      <c r="E115" s="242"/>
      <c r="F115" s="242"/>
      <c r="G115" s="242"/>
      <c r="H115" s="242"/>
      <c r="I115" s="242"/>
      <c r="J115" s="242"/>
      <c r="K115" s="242"/>
      <c r="L115" s="242"/>
      <c r="M115" s="242"/>
      <c r="N115" s="242"/>
      <c r="O115" s="242"/>
      <c r="P115" s="242"/>
    </row>
    <row r="116" spans="1:16" s="236" customFormat="1" x14ac:dyDescent="0.2">
      <c r="A116" s="242"/>
      <c r="B116" s="242"/>
      <c r="C116" s="242"/>
      <c r="D116" s="242"/>
      <c r="E116" s="242"/>
      <c r="F116" s="242"/>
      <c r="G116" s="242"/>
      <c r="H116" s="242"/>
      <c r="I116" s="242"/>
      <c r="J116" s="242"/>
      <c r="K116" s="242"/>
      <c r="L116" s="242"/>
      <c r="M116" s="242"/>
      <c r="N116" s="242"/>
      <c r="O116" s="242"/>
      <c r="P116" s="242"/>
    </row>
    <row r="117" spans="1:16" s="236" customFormat="1" x14ac:dyDescent="0.2">
      <c r="A117" s="242"/>
      <c r="B117" s="242"/>
      <c r="C117" s="242"/>
      <c r="D117" s="242"/>
      <c r="E117" s="242"/>
      <c r="F117" s="242"/>
      <c r="G117" s="242"/>
      <c r="H117" s="242"/>
      <c r="I117" s="242"/>
      <c r="J117" s="242"/>
      <c r="K117" s="242"/>
      <c r="L117" s="242"/>
      <c r="M117" s="242"/>
      <c r="N117" s="242"/>
      <c r="O117" s="242"/>
      <c r="P117" s="242"/>
    </row>
    <row r="118" spans="1:16" s="236" customFormat="1" x14ac:dyDescent="0.2">
      <c r="A118" s="242"/>
      <c r="B118" s="242"/>
      <c r="C118" s="242"/>
      <c r="D118" s="242"/>
      <c r="E118" s="242"/>
      <c r="F118" s="242"/>
      <c r="G118" s="242"/>
      <c r="H118" s="242"/>
      <c r="I118" s="242"/>
      <c r="J118" s="242"/>
      <c r="K118" s="242"/>
      <c r="L118" s="242"/>
      <c r="M118" s="242"/>
      <c r="N118" s="242"/>
      <c r="O118" s="242"/>
      <c r="P118" s="242"/>
    </row>
    <row r="119" spans="1:16" s="236" customFormat="1" x14ac:dyDescent="0.2">
      <c r="A119" s="242"/>
      <c r="B119" s="242"/>
      <c r="C119" s="242"/>
      <c r="D119" s="242"/>
      <c r="E119" s="242"/>
      <c r="F119" s="242"/>
      <c r="G119" s="242"/>
      <c r="H119" s="242"/>
      <c r="I119" s="242"/>
      <c r="J119" s="242"/>
      <c r="K119" s="242"/>
      <c r="L119" s="242"/>
      <c r="M119" s="242"/>
      <c r="N119" s="242"/>
      <c r="O119" s="242"/>
      <c r="P119" s="242"/>
    </row>
    <row r="120" spans="1:16" s="236" customFormat="1" x14ac:dyDescent="0.2">
      <c r="A120" s="242"/>
      <c r="B120" s="242"/>
      <c r="C120" s="242"/>
      <c r="D120" s="242"/>
      <c r="E120" s="242"/>
      <c r="F120" s="242"/>
      <c r="G120" s="242"/>
      <c r="H120" s="242"/>
      <c r="I120" s="242"/>
      <c r="J120" s="242"/>
      <c r="K120" s="242"/>
      <c r="L120" s="242"/>
      <c r="M120" s="242"/>
      <c r="N120" s="242"/>
      <c r="O120" s="242"/>
      <c r="P120" s="242"/>
    </row>
    <row r="121" spans="1:16" s="236" customFormat="1" x14ac:dyDescent="0.2">
      <c r="A121" s="242"/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2"/>
      <c r="P121" s="242"/>
    </row>
    <row r="122" spans="1:16" s="236" customFormat="1" x14ac:dyDescent="0.2">
      <c r="A122" s="242"/>
      <c r="B122" s="242"/>
      <c r="C122" s="242"/>
      <c r="D122" s="242"/>
      <c r="E122" s="242"/>
      <c r="F122" s="242"/>
      <c r="G122" s="242"/>
      <c r="H122" s="242"/>
      <c r="I122" s="242"/>
      <c r="J122" s="242"/>
      <c r="K122" s="242"/>
      <c r="L122" s="242"/>
      <c r="M122" s="242"/>
      <c r="N122" s="242"/>
      <c r="O122" s="242"/>
      <c r="P122" s="242"/>
    </row>
    <row r="123" spans="1:16" s="236" customFormat="1" x14ac:dyDescent="0.2">
      <c r="A123" s="242"/>
      <c r="B123" s="242"/>
      <c r="C123" s="242"/>
      <c r="D123" s="242"/>
      <c r="E123" s="242"/>
      <c r="F123" s="242"/>
      <c r="G123" s="242"/>
      <c r="H123" s="242"/>
      <c r="I123" s="242"/>
      <c r="J123" s="242"/>
      <c r="K123" s="242"/>
      <c r="L123" s="242"/>
      <c r="M123" s="242"/>
      <c r="N123" s="242"/>
      <c r="O123" s="242"/>
      <c r="P123" s="242"/>
    </row>
    <row r="124" spans="1:16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  <c r="P124" s="242"/>
    </row>
    <row r="125" spans="1:16" s="236" customFormat="1" x14ac:dyDescent="0.2">
      <c r="A125" s="242"/>
      <c r="B125" s="242"/>
      <c r="C125" s="242"/>
      <c r="D125" s="242"/>
      <c r="E125" s="242"/>
      <c r="F125" s="242"/>
      <c r="G125" s="242"/>
      <c r="H125" s="242"/>
      <c r="I125" s="242"/>
      <c r="J125" s="242"/>
      <c r="K125" s="242"/>
      <c r="L125" s="242"/>
      <c r="M125" s="242"/>
      <c r="N125" s="242"/>
      <c r="O125" s="242"/>
      <c r="P125" s="242"/>
    </row>
    <row r="126" spans="1:16" s="236" customFormat="1" x14ac:dyDescent="0.2">
      <c r="A126" s="242"/>
      <c r="B126" s="242"/>
      <c r="C126" s="242"/>
      <c r="D126" s="242"/>
      <c r="E126" s="242"/>
      <c r="F126" s="242"/>
      <c r="G126" s="242"/>
      <c r="H126" s="242"/>
      <c r="I126" s="242"/>
      <c r="J126" s="242"/>
      <c r="K126" s="242"/>
      <c r="L126" s="242"/>
      <c r="M126" s="242"/>
      <c r="N126" s="242"/>
      <c r="O126" s="242"/>
      <c r="P126" s="242"/>
    </row>
    <row r="127" spans="1:16" s="236" customFormat="1" x14ac:dyDescent="0.2">
      <c r="A127" s="242"/>
      <c r="B127" s="242"/>
      <c r="C127" s="242"/>
      <c r="D127" s="242"/>
      <c r="E127" s="242"/>
      <c r="F127" s="242"/>
      <c r="G127" s="242"/>
      <c r="H127" s="242"/>
      <c r="I127" s="242"/>
      <c r="J127" s="242"/>
      <c r="K127" s="242"/>
      <c r="L127" s="242"/>
      <c r="M127" s="242"/>
      <c r="N127" s="242"/>
      <c r="O127" s="242"/>
      <c r="P127" s="242"/>
    </row>
    <row r="128" spans="1:16" s="236" customFormat="1" x14ac:dyDescent="0.2">
      <c r="A128" s="242"/>
      <c r="B128" s="242"/>
      <c r="C128" s="242"/>
      <c r="D128" s="242"/>
      <c r="E128" s="242"/>
      <c r="F128" s="242"/>
      <c r="G128" s="242"/>
      <c r="H128" s="242"/>
      <c r="I128" s="242"/>
      <c r="J128" s="242"/>
      <c r="K128" s="242"/>
      <c r="L128" s="242"/>
      <c r="M128" s="242"/>
      <c r="N128" s="242"/>
      <c r="O128" s="242"/>
      <c r="P128" s="242"/>
    </row>
    <row r="129" spans="1:16" s="236" customFormat="1" x14ac:dyDescent="0.2">
      <c r="A129" s="242"/>
      <c r="B129" s="242"/>
      <c r="C129" s="242"/>
      <c r="D129" s="242"/>
      <c r="E129" s="242"/>
      <c r="F129" s="242"/>
      <c r="G129" s="242"/>
      <c r="H129" s="242"/>
      <c r="I129" s="242"/>
      <c r="J129" s="242"/>
      <c r="K129" s="242"/>
      <c r="L129" s="242"/>
      <c r="M129" s="242"/>
      <c r="N129" s="242"/>
      <c r="O129" s="242"/>
      <c r="P129" s="242"/>
    </row>
    <row r="130" spans="1:16" s="236" customFormat="1" x14ac:dyDescent="0.2">
      <c r="A130" s="242"/>
      <c r="B130" s="242"/>
      <c r="C130" s="242"/>
      <c r="D130" s="242"/>
      <c r="E130" s="242"/>
      <c r="F130" s="242"/>
      <c r="G130" s="242"/>
      <c r="H130" s="242"/>
      <c r="I130" s="242"/>
      <c r="J130" s="242"/>
      <c r="K130" s="242"/>
      <c r="L130" s="242"/>
      <c r="M130" s="242"/>
      <c r="N130" s="242"/>
      <c r="O130" s="242"/>
      <c r="P130" s="242"/>
    </row>
    <row r="131" spans="1:16" s="236" customFormat="1" x14ac:dyDescent="0.2">
      <c r="A131" s="242"/>
      <c r="B131" s="242"/>
      <c r="C131" s="242"/>
      <c r="D131" s="242"/>
      <c r="E131" s="242"/>
      <c r="F131" s="242"/>
      <c r="G131" s="242"/>
      <c r="H131" s="242"/>
      <c r="I131" s="242"/>
      <c r="J131" s="242"/>
      <c r="K131" s="242"/>
      <c r="L131" s="242"/>
      <c r="M131" s="242"/>
      <c r="N131" s="242"/>
      <c r="O131" s="242"/>
      <c r="P131" s="242"/>
    </row>
    <row r="132" spans="1:16" s="236" customFormat="1" x14ac:dyDescent="0.2">
      <c r="A132" s="242"/>
      <c r="B132" s="242"/>
      <c r="C132" s="242"/>
      <c r="D132" s="242"/>
      <c r="E132" s="242"/>
      <c r="F132" s="242"/>
      <c r="G132" s="242"/>
      <c r="H132" s="242"/>
      <c r="I132" s="242"/>
      <c r="J132" s="242"/>
      <c r="K132" s="242"/>
      <c r="L132" s="242"/>
      <c r="M132" s="242"/>
      <c r="N132" s="242"/>
      <c r="O132" s="242"/>
      <c r="P132" s="242"/>
    </row>
    <row r="133" spans="1:16" s="236" customFormat="1" x14ac:dyDescent="0.2">
      <c r="A133" s="242"/>
      <c r="B133" s="242"/>
      <c r="C133" s="242"/>
      <c r="D133" s="242"/>
      <c r="E133" s="242"/>
      <c r="F133" s="242"/>
      <c r="G133" s="242"/>
      <c r="H133" s="242"/>
      <c r="I133" s="242"/>
      <c r="J133" s="242"/>
      <c r="K133" s="242"/>
      <c r="L133" s="242"/>
      <c r="M133" s="242"/>
      <c r="N133" s="242"/>
      <c r="O133" s="242"/>
      <c r="P133" s="242"/>
    </row>
    <row r="134" spans="1:16" s="236" customFormat="1" x14ac:dyDescent="0.2">
      <c r="A134" s="242"/>
      <c r="B134" s="242"/>
      <c r="C134" s="242"/>
      <c r="D134" s="242"/>
      <c r="E134" s="242"/>
      <c r="F134" s="242"/>
      <c r="G134" s="242"/>
      <c r="H134" s="242"/>
      <c r="I134" s="242"/>
      <c r="J134" s="242"/>
      <c r="K134" s="242"/>
      <c r="L134" s="242"/>
      <c r="M134" s="242"/>
      <c r="N134" s="242"/>
      <c r="O134" s="242"/>
      <c r="P134" s="242"/>
    </row>
    <row r="135" spans="1:16" s="236" customFormat="1" x14ac:dyDescent="0.2">
      <c r="A135" s="242"/>
      <c r="B135" s="242"/>
      <c r="C135" s="242"/>
      <c r="D135" s="242"/>
      <c r="E135" s="242"/>
      <c r="F135" s="242"/>
      <c r="G135" s="242"/>
      <c r="H135" s="242"/>
      <c r="I135" s="242"/>
      <c r="J135" s="242"/>
      <c r="K135" s="242"/>
      <c r="L135" s="242"/>
      <c r="M135" s="242"/>
      <c r="N135" s="242"/>
      <c r="O135" s="242"/>
      <c r="P135" s="242"/>
    </row>
    <row r="136" spans="1:16" s="236" customFormat="1" x14ac:dyDescent="0.2">
      <c r="A136" s="242"/>
      <c r="B136" s="242"/>
      <c r="C136" s="242"/>
      <c r="D136" s="242"/>
      <c r="E136" s="242"/>
      <c r="F136" s="242"/>
      <c r="G136" s="242"/>
      <c r="H136" s="242"/>
      <c r="I136" s="242"/>
      <c r="J136" s="242"/>
      <c r="K136" s="242"/>
      <c r="L136" s="242"/>
      <c r="M136" s="242"/>
      <c r="N136" s="242"/>
      <c r="O136" s="242"/>
      <c r="P136" s="242"/>
    </row>
    <row r="137" spans="1:16" s="236" customFormat="1" x14ac:dyDescent="0.2">
      <c r="A137" s="242"/>
      <c r="B137" s="242"/>
      <c r="C137" s="242"/>
      <c r="D137" s="242"/>
      <c r="E137" s="242"/>
      <c r="F137" s="242"/>
      <c r="G137" s="242"/>
      <c r="H137" s="242"/>
      <c r="I137" s="242"/>
      <c r="J137" s="242"/>
      <c r="K137" s="242"/>
      <c r="L137" s="242"/>
      <c r="M137" s="242"/>
      <c r="N137" s="242"/>
      <c r="O137" s="242"/>
      <c r="P137" s="242"/>
    </row>
    <row r="138" spans="1:16" s="236" customFormat="1" x14ac:dyDescent="0.2">
      <c r="A138" s="242"/>
      <c r="B138" s="242"/>
      <c r="C138" s="242"/>
      <c r="D138" s="242"/>
      <c r="E138" s="242"/>
      <c r="F138" s="242"/>
      <c r="G138" s="242"/>
      <c r="H138" s="242"/>
      <c r="I138" s="242"/>
      <c r="J138" s="242"/>
      <c r="K138" s="242"/>
      <c r="L138" s="242"/>
      <c r="M138" s="242"/>
      <c r="N138" s="242"/>
      <c r="O138" s="242"/>
      <c r="P138" s="242"/>
    </row>
    <row r="139" spans="1:16" s="236" customFormat="1" x14ac:dyDescent="0.2">
      <c r="A139" s="242"/>
      <c r="B139" s="242"/>
      <c r="C139" s="242"/>
      <c r="D139" s="242"/>
      <c r="E139" s="242"/>
      <c r="F139" s="242"/>
      <c r="G139" s="242"/>
      <c r="H139" s="242"/>
      <c r="I139" s="242"/>
      <c r="J139" s="242"/>
      <c r="K139" s="242"/>
      <c r="L139" s="242"/>
      <c r="M139" s="242"/>
      <c r="N139" s="242"/>
      <c r="O139" s="242"/>
      <c r="P139" s="242"/>
    </row>
    <row r="140" spans="1:16" s="236" customFormat="1" x14ac:dyDescent="0.2">
      <c r="A140" s="242"/>
      <c r="B140" s="242"/>
      <c r="C140" s="242"/>
      <c r="D140" s="242"/>
      <c r="E140" s="242"/>
      <c r="F140" s="242"/>
      <c r="G140" s="242"/>
      <c r="H140" s="242"/>
      <c r="I140" s="242"/>
      <c r="J140" s="242"/>
      <c r="K140" s="242"/>
      <c r="L140" s="242"/>
      <c r="M140" s="242"/>
      <c r="N140" s="242"/>
      <c r="O140" s="242"/>
      <c r="P140" s="242"/>
    </row>
    <row r="141" spans="1:16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  <c r="P141" s="242"/>
    </row>
    <row r="142" spans="1:16" s="236" customFormat="1" x14ac:dyDescent="0.2">
      <c r="A142" s="242"/>
      <c r="B142" s="242"/>
      <c r="C142" s="242"/>
      <c r="D142" s="242"/>
      <c r="E142" s="242"/>
      <c r="F142" s="242"/>
      <c r="G142" s="242"/>
      <c r="H142" s="242"/>
      <c r="I142" s="242"/>
      <c r="J142" s="242"/>
      <c r="K142" s="242"/>
      <c r="L142" s="242"/>
      <c r="M142" s="242"/>
      <c r="N142" s="242"/>
      <c r="O142" s="242"/>
      <c r="P142" s="242"/>
    </row>
    <row r="143" spans="1:16" s="236" customFormat="1" x14ac:dyDescent="0.2">
      <c r="A143" s="242"/>
      <c r="B143" s="242"/>
      <c r="C143" s="242"/>
      <c r="D143" s="242"/>
      <c r="E143" s="242"/>
      <c r="F143" s="242"/>
      <c r="G143" s="242"/>
      <c r="H143" s="242"/>
      <c r="I143" s="242"/>
      <c r="J143" s="242"/>
      <c r="K143" s="242"/>
      <c r="L143" s="242"/>
      <c r="M143" s="242"/>
      <c r="N143" s="242"/>
      <c r="O143" s="242"/>
      <c r="P143" s="242"/>
    </row>
    <row r="144" spans="1:16" s="236" customFormat="1" x14ac:dyDescent="0.2">
      <c r="A144" s="242"/>
      <c r="B144" s="242"/>
      <c r="C144" s="242"/>
      <c r="D144" s="242"/>
      <c r="E144" s="242"/>
      <c r="F144" s="242"/>
      <c r="G144" s="242"/>
      <c r="H144" s="242"/>
      <c r="I144" s="242"/>
      <c r="J144" s="242"/>
      <c r="K144" s="242"/>
      <c r="L144" s="242"/>
      <c r="M144" s="242"/>
      <c r="N144" s="242"/>
      <c r="O144" s="242"/>
      <c r="P144" s="242"/>
    </row>
    <row r="145" spans="1:16" s="236" customFormat="1" x14ac:dyDescent="0.2">
      <c r="A145" s="242"/>
      <c r="B145" s="242"/>
      <c r="C145" s="242"/>
      <c r="D145" s="242"/>
      <c r="E145" s="242"/>
      <c r="F145" s="242"/>
      <c r="G145" s="242"/>
      <c r="H145" s="242"/>
      <c r="I145" s="242"/>
      <c r="J145" s="242"/>
      <c r="K145" s="242"/>
      <c r="L145" s="242"/>
      <c r="M145" s="242"/>
      <c r="N145" s="242"/>
      <c r="O145" s="242"/>
      <c r="P145" s="242"/>
    </row>
    <row r="146" spans="1:16" s="236" customFormat="1" x14ac:dyDescent="0.2">
      <c r="A146" s="242"/>
      <c r="B146" s="242"/>
      <c r="C146" s="242"/>
      <c r="D146" s="242"/>
      <c r="E146" s="242"/>
      <c r="F146" s="242"/>
      <c r="G146" s="242"/>
      <c r="H146" s="242"/>
      <c r="I146" s="242"/>
      <c r="J146" s="242"/>
      <c r="K146" s="242"/>
      <c r="L146" s="242"/>
      <c r="M146" s="242"/>
      <c r="N146" s="242"/>
      <c r="O146" s="242"/>
      <c r="P146" s="242"/>
    </row>
    <row r="147" spans="1:16" s="236" customFormat="1" x14ac:dyDescent="0.2">
      <c r="A147" s="242"/>
      <c r="B147" s="242"/>
      <c r="C147" s="242"/>
      <c r="D147" s="242"/>
      <c r="E147" s="242"/>
      <c r="F147" s="242"/>
      <c r="G147" s="242"/>
      <c r="H147" s="242"/>
      <c r="I147" s="242"/>
      <c r="J147" s="242"/>
      <c r="K147" s="242"/>
      <c r="L147" s="242"/>
      <c r="M147" s="242"/>
      <c r="N147" s="242"/>
      <c r="O147" s="242"/>
      <c r="P147" s="242"/>
    </row>
    <row r="148" spans="1:16" s="236" customFormat="1" x14ac:dyDescent="0.2">
      <c r="A148" s="242"/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2"/>
      <c r="P148" s="242"/>
    </row>
    <row r="149" spans="1:16" s="236" customFormat="1" x14ac:dyDescent="0.2">
      <c r="A149" s="242"/>
      <c r="B149" s="242"/>
      <c r="C149" s="242"/>
      <c r="D149" s="242"/>
      <c r="E149" s="242"/>
      <c r="F149" s="242"/>
      <c r="G149" s="242"/>
      <c r="H149" s="242"/>
      <c r="I149" s="242"/>
      <c r="J149" s="242"/>
      <c r="K149" s="242"/>
      <c r="L149" s="242"/>
      <c r="M149" s="242"/>
      <c r="N149" s="242"/>
      <c r="O149" s="242"/>
      <c r="P149" s="242"/>
    </row>
    <row r="150" spans="1:16" s="236" customFormat="1" x14ac:dyDescent="0.2">
      <c r="A150" s="242"/>
      <c r="B150" s="242"/>
      <c r="C150" s="242"/>
      <c r="D150" s="242"/>
      <c r="E150" s="242"/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</row>
    <row r="151" spans="1:16" s="236" customFormat="1" x14ac:dyDescent="0.2">
      <c r="A151" s="242"/>
      <c r="B151" s="242"/>
      <c r="C151" s="242"/>
      <c r="D151" s="242"/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</row>
    <row r="152" spans="1:16" s="236" customFormat="1" x14ac:dyDescent="0.2">
      <c r="A152" s="242"/>
      <c r="B152" s="242"/>
      <c r="C152" s="242"/>
      <c r="D152" s="242"/>
      <c r="E152" s="242"/>
      <c r="F152" s="242"/>
      <c r="G152" s="242"/>
      <c r="H152" s="242"/>
      <c r="I152" s="242"/>
      <c r="J152" s="242"/>
      <c r="K152" s="242"/>
      <c r="L152" s="242"/>
      <c r="M152" s="242"/>
      <c r="N152" s="242"/>
      <c r="O152" s="242"/>
      <c r="P152" s="242"/>
    </row>
    <row r="153" spans="1:16" s="236" customFormat="1" x14ac:dyDescent="0.2">
      <c r="A153" s="242"/>
      <c r="B153" s="242"/>
      <c r="C153" s="242"/>
      <c r="D153" s="242"/>
      <c r="E153" s="242"/>
      <c r="F153" s="242"/>
      <c r="G153" s="242"/>
      <c r="H153" s="242"/>
      <c r="I153" s="242"/>
      <c r="J153" s="242"/>
      <c r="K153" s="242"/>
      <c r="L153" s="242"/>
      <c r="M153" s="242"/>
      <c r="N153" s="242"/>
      <c r="O153" s="242"/>
      <c r="P153" s="242"/>
    </row>
  </sheetData>
  <mergeCells count="1">
    <mergeCell ref="F14:I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1:V102"/>
  <sheetViews>
    <sheetView workbookViewId="0"/>
  </sheetViews>
  <sheetFormatPr defaultRowHeight="15" x14ac:dyDescent="0.25"/>
  <cols>
    <col min="1" max="1" width="9.140625" style="222"/>
    <col min="11" max="22" width="9.140625" style="222"/>
  </cols>
  <sheetData>
    <row r="1" spans="1:10" s="222" customFormat="1" ht="18" x14ac:dyDescent="0.25">
      <c r="A1" s="249" t="s">
        <v>112</v>
      </c>
    </row>
    <row r="2" spans="1:10" s="222" customFormat="1" x14ac:dyDescent="0.25"/>
    <row r="3" spans="1:10" s="222" customFormat="1" ht="18" x14ac:dyDescent="0.25">
      <c r="B3" s="249" t="s">
        <v>113</v>
      </c>
    </row>
    <row r="4" spans="1:10" s="222" customFormat="1" ht="18" x14ac:dyDescent="0.25">
      <c r="B4" s="249"/>
    </row>
    <row r="5" spans="1:10" x14ac:dyDescent="0.25">
      <c r="B5" s="131"/>
      <c r="C5" s="2"/>
      <c r="D5" s="2"/>
      <c r="E5" s="18"/>
      <c r="F5" s="300" t="s">
        <v>114</v>
      </c>
      <c r="G5" s="301"/>
      <c r="H5" s="301"/>
      <c r="I5" s="301"/>
      <c r="J5" s="302"/>
    </row>
    <row r="6" spans="1:10" ht="26.25" x14ac:dyDescent="0.25">
      <c r="B6" s="97"/>
      <c r="C6" s="21"/>
      <c r="D6" s="21"/>
      <c r="E6" s="13" t="s">
        <v>37</v>
      </c>
      <c r="F6" s="132" t="s">
        <v>115</v>
      </c>
      <c r="G6" s="84" t="s">
        <v>116</v>
      </c>
      <c r="H6" s="20" t="s">
        <v>33</v>
      </c>
      <c r="I6" s="59" t="s">
        <v>117</v>
      </c>
      <c r="J6" s="121" t="s">
        <v>118</v>
      </c>
    </row>
    <row r="7" spans="1:10" x14ac:dyDescent="0.25">
      <c r="B7" s="122" t="s">
        <v>106</v>
      </c>
      <c r="C7" s="21"/>
      <c r="D7" s="21"/>
      <c r="E7" s="13">
        <v>1</v>
      </c>
      <c r="F7" s="133">
        <v>0</v>
      </c>
      <c r="G7" s="45">
        <v>1</v>
      </c>
      <c r="H7" s="20">
        <v>0</v>
      </c>
      <c r="I7" s="119">
        <v>0</v>
      </c>
      <c r="J7" s="130">
        <v>0</v>
      </c>
    </row>
    <row r="8" spans="1:10" x14ac:dyDescent="0.25">
      <c r="B8" s="122" t="s">
        <v>107</v>
      </c>
      <c r="C8" s="21"/>
      <c r="D8" s="21"/>
      <c r="E8" s="13">
        <v>2</v>
      </c>
      <c r="F8" s="133">
        <v>0</v>
      </c>
      <c r="G8" s="45">
        <v>1</v>
      </c>
      <c r="H8" s="20">
        <v>0</v>
      </c>
      <c r="I8" s="119">
        <v>0</v>
      </c>
      <c r="J8" s="130">
        <v>0</v>
      </c>
    </row>
    <row r="9" spans="1:10" x14ac:dyDescent="0.25">
      <c r="B9" s="122" t="s">
        <v>108</v>
      </c>
      <c r="C9" s="21"/>
      <c r="D9" s="21"/>
      <c r="E9" s="13">
        <v>3</v>
      </c>
      <c r="F9" s="133">
        <v>0</v>
      </c>
      <c r="G9" s="45">
        <v>1</v>
      </c>
      <c r="H9" s="20">
        <v>0</v>
      </c>
      <c r="I9" s="119">
        <v>0</v>
      </c>
      <c r="J9" s="130">
        <v>0</v>
      </c>
    </row>
    <row r="10" spans="1:10" x14ac:dyDescent="0.25">
      <c r="B10" s="124" t="s">
        <v>109</v>
      </c>
      <c r="C10" s="123"/>
      <c r="D10" s="123"/>
      <c r="E10" s="143">
        <v>4</v>
      </c>
      <c r="F10" s="134">
        <f t="shared" ref="F10:J12" si="0">F7</f>
        <v>0</v>
      </c>
      <c r="G10" s="58">
        <f t="shared" si="0"/>
        <v>1</v>
      </c>
      <c r="H10" s="135">
        <f t="shared" si="0"/>
        <v>0</v>
      </c>
      <c r="I10" s="136">
        <f t="shared" si="0"/>
        <v>0</v>
      </c>
      <c r="J10" s="137">
        <f t="shared" si="0"/>
        <v>0</v>
      </c>
    </row>
    <row r="11" spans="1:10" x14ac:dyDescent="0.25">
      <c r="B11" s="124" t="s">
        <v>110</v>
      </c>
      <c r="C11" s="123"/>
      <c r="D11" s="123"/>
      <c r="E11" s="143">
        <v>5</v>
      </c>
      <c r="F11" s="134">
        <f t="shared" si="0"/>
        <v>0</v>
      </c>
      <c r="G11" s="58">
        <f t="shared" si="0"/>
        <v>1</v>
      </c>
      <c r="H11" s="135">
        <f t="shared" si="0"/>
        <v>0</v>
      </c>
      <c r="I11" s="136">
        <f t="shared" si="0"/>
        <v>0</v>
      </c>
      <c r="J11" s="137">
        <f t="shared" si="0"/>
        <v>0</v>
      </c>
    </row>
    <row r="12" spans="1:10" x14ac:dyDescent="0.25">
      <c r="B12" s="144" t="s">
        <v>111</v>
      </c>
      <c r="C12" s="128"/>
      <c r="D12" s="128"/>
      <c r="E12" s="145">
        <v>6</v>
      </c>
      <c r="F12" s="138">
        <f t="shared" si="0"/>
        <v>0</v>
      </c>
      <c r="G12" s="111">
        <f t="shared" si="0"/>
        <v>1</v>
      </c>
      <c r="H12" s="139">
        <f t="shared" si="0"/>
        <v>0</v>
      </c>
      <c r="I12" s="140">
        <f t="shared" si="0"/>
        <v>0</v>
      </c>
      <c r="J12" s="141">
        <f t="shared" si="0"/>
        <v>0</v>
      </c>
    </row>
    <row r="13" spans="1:10" s="222" customFormat="1" x14ac:dyDescent="0.25"/>
    <row r="14" spans="1:10" s="222" customFormat="1" x14ac:dyDescent="0.25"/>
    <row r="15" spans="1:10" s="222" customFormat="1" x14ac:dyDescent="0.25"/>
    <row r="16" spans="1:10" s="222" customFormat="1" x14ac:dyDescent="0.25"/>
    <row r="17" s="222" customFormat="1" x14ac:dyDescent="0.25"/>
    <row r="18" s="222" customFormat="1" x14ac:dyDescent="0.25"/>
    <row r="19" s="222" customFormat="1" x14ac:dyDescent="0.25"/>
    <row r="20" s="222" customFormat="1" x14ac:dyDescent="0.25"/>
    <row r="21" s="222" customFormat="1" x14ac:dyDescent="0.25"/>
    <row r="22" s="222" customFormat="1" x14ac:dyDescent="0.25"/>
    <row r="23" s="222" customFormat="1" x14ac:dyDescent="0.25"/>
    <row r="24" s="222" customFormat="1" x14ac:dyDescent="0.25"/>
    <row r="25" s="222" customFormat="1" x14ac:dyDescent="0.25"/>
    <row r="26" s="222" customFormat="1" x14ac:dyDescent="0.25"/>
    <row r="27" s="222" customFormat="1" x14ac:dyDescent="0.25"/>
    <row r="28" s="222" customFormat="1" x14ac:dyDescent="0.25"/>
    <row r="29" s="222" customFormat="1" x14ac:dyDescent="0.25"/>
    <row r="30" s="222" customFormat="1" x14ac:dyDescent="0.25"/>
    <row r="31" s="222" customFormat="1" x14ac:dyDescent="0.25"/>
    <row r="32" s="222" customFormat="1" x14ac:dyDescent="0.25"/>
    <row r="33" s="222" customFormat="1" x14ac:dyDescent="0.25"/>
    <row r="34" s="222" customFormat="1" x14ac:dyDescent="0.25"/>
    <row r="35" s="222" customFormat="1" x14ac:dyDescent="0.25"/>
    <row r="36" s="222" customFormat="1" x14ac:dyDescent="0.25"/>
    <row r="37" s="222" customFormat="1" x14ac:dyDescent="0.25"/>
    <row r="38" s="222" customFormat="1" x14ac:dyDescent="0.25"/>
    <row r="39" s="222" customFormat="1" x14ac:dyDescent="0.25"/>
    <row r="40" s="222" customFormat="1" x14ac:dyDescent="0.25"/>
    <row r="41" s="222" customFormat="1" x14ac:dyDescent="0.25"/>
    <row r="42" s="222" customFormat="1" x14ac:dyDescent="0.25"/>
    <row r="43" s="222" customFormat="1" x14ac:dyDescent="0.25"/>
    <row r="44" s="222" customFormat="1" x14ac:dyDescent="0.25"/>
    <row r="45" s="222" customFormat="1" x14ac:dyDescent="0.25"/>
    <row r="46" s="222" customFormat="1" x14ac:dyDescent="0.25"/>
    <row r="47" s="222" customFormat="1" x14ac:dyDescent="0.25"/>
    <row r="48" s="222" customFormat="1" x14ac:dyDescent="0.25"/>
    <row r="49" s="222" customFormat="1" x14ac:dyDescent="0.25"/>
    <row r="50" s="222" customFormat="1" x14ac:dyDescent="0.25"/>
    <row r="51" s="222" customFormat="1" x14ac:dyDescent="0.25"/>
    <row r="52" s="222" customFormat="1" x14ac:dyDescent="0.25"/>
    <row r="53" s="222" customFormat="1" x14ac:dyDescent="0.25"/>
    <row r="54" s="222" customFormat="1" x14ac:dyDescent="0.25"/>
    <row r="55" s="222" customFormat="1" x14ac:dyDescent="0.25"/>
    <row r="56" s="222" customFormat="1" x14ac:dyDescent="0.25"/>
    <row r="57" s="222" customFormat="1" x14ac:dyDescent="0.25"/>
    <row r="58" s="222" customFormat="1" x14ac:dyDescent="0.25"/>
    <row r="59" s="222" customFormat="1" x14ac:dyDescent="0.25"/>
    <row r="60" s="222" customFormat="1" x14ac:dyDescent="0.25"/>
    <row r="61" s="222" customFormat="1" x14ac:dyDescent="0.25"/>
    <row r="62" s="222" customFormat="1" x14ac:dyDescent="0.25"/>
    <row r="63" s="222" customFormat="1" x14ac:dyDescent="0.25"/>
    <row r="64" s="222" customFormat="1" x14ac:dyDescent="0.25"/>
    <row r="65" s="222" customFormat="1" x14ac:dyDescent="0.25"/>
    <row r="66" s="222" customFormat="1" x14ac:dyDescent="0.25"/>
    <row r="67" s="222" customFormat="1" x14ac:dyDescent="0.25"/>
    <row r="68" s="222" customFormat="1" x14ac:dyDescent="0.25"/>
    <row r="69" s="222" customFormat="1" x14ac:dyDescent="0.25"/>
    <row r="70" s="222" customFormat="1" x14ac:dyDescent="0.25"/>
    <row r="71" s="222" customFormat="1" x14ac:dyDescent="0.25"/>
    <row r="72" s="222" customFormat="1" x14ac:dyDescent="0.25"/>
    <row r="73" s="222" customFormat="1" x14ac:dyDescent="0.25"/>
    <row r="74" s="222" customFormat="1" x14ac:dyDescent="0.25"/>
    <row r="75" s="222" customFormat="1" x14ac:dyDescent="0.25"/>
    <row r="76" s="222" customFormat="1" x14ac:dyDescent="0.25"/>
    <row r="77" s="222" customFormat="1" x14ac:dyDescent="0.25"/>
    <row r="78" s="222" customFormat="1" x14ac:dyDescent="0.25"/>
    <row r="79" s="222" customFormat="1" x14ac:dyDescent="0.25"/>
    <row r="80" s="222" customFormat="1" x14ac:dyDescent="0.25"/>
    <row r="81" s="222" customFormat="1" x14ac:dyDescent="0.25"/>
    <row r="82" s="222" customFormat="1" x14ac:dyDescent="0.25"/>
    <row r="83" s="222" customFormat="1" x14ac:dyDescent="0.25"/>
    <row r="84" s="222" customFormat="1" x14ac:dyDescent="0.25"/>
    <row r="85" s="222" customFormat="1" x14ac:dyDescent="0.25"/>
    <row r="86" s="222" customFormat="1" x14ac:dyDescent="0.25"/>
    <row r="87" s="222" customFormat="1" x14ac:dyDescent="0.25"/>
    <row r="88" s="222" customFormat="1" x14ac:dyDescent="0.25"/>
    <row r="89" s="222" customFormat="1" x14ac:dyDescent="0.25"/>
    <row r="90" s="222" customFormat="1" x14ac:dyDescent="0.25"/>
    <row r="91" s="222" customFormat="1" x14ac:dyDescent="0.25"/>
    <row r="92" s="222" customFormat="1" x14ac:dyDescent="0.25"/>
    <row r="93" s="222" customFormat="1" x14ac:dyDescent="0.25"/>
    <row r="94" s="222" customFormat="1" x14ac:dyDescent="0.25"/>
    <row r="95" s="222" customFormat="1" x14ac:dyDescent="0.25"/>
    <row r="96" s="222" customFormat="1" x14ac:dyDescent="0.25"/>
    <row r="97" s="222" customFormat="1" x14ac:dyDescent="0.25"/>
    <row r="98" s="222" customFormat="1" x14ac:dyDescent="0.25"/>
    <row r="99" s="222" customFormat="1" x14ac:dyDescent="0.25"/>
    <row r="100" s="222" customFormat="1" x14ac:dyDescent="0.25"/>
    <row r="101" s="222" customFormat="1" x14ac:dyDescent="0.25"/>
    <row r="102" s="222" customFormat="1" x14ac:dyDescent="0.25"/>
  </sheetData>
  <mergeCells count="1">
    <mergeCell ref="F5:J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39997558519241921"/>
  </sheetPr>
  <dimension ref="A1:AA105"/>
  <sheetViews>
    <sheetView workbookViewId="0"/>
  </sheetViews>
  <sheetFormatPr defaultRowHeight="15" x14ac:dyDescent="0.25"/>
  <cols>
    <col min="1" max="1" width="9.140625" style="222"/>
  </cols>
  <sheetData>
    <row r="1" spans="1:27" s="222" customFormat="1" ht="18" x14ac:dyDescent="0.25">
      <c r="A1" s="249" t="s">
        <v>119</v>
      </c>
    </row>
    <row r="2" spans="1:27" s="222" customFormat="1" x14ac:dyDescent="0.25"/>
    <row r="3" spans="1:27" s="222" customFormat="1" ht="18" x14ac:dyDescent="0.25">
      <c r="B3" s="249" t="s">
        <v>120</v>
      </c>
    </row>
    <row r="4" spans="1:27" x14ac:dyDescent="0.25">
      <c r="B4" s="6" t="s">
        <v>56</v>
      </c>
      <c r="C4" s="7" t="s">
        <v>5</v>
      </c>
      <c r="D4" s="2"/>
      <c r="E4" s="7" t="s">
        <v>6</v>
      </c>
      <c r="F4" s="7" t="s">
        <v>16</v>
      </c>
      <c r="G4" s="7" t="s">
        <v>91</v>
      </c>
      <c r="H4" s="7" t="s">
        <v>121</v>
      </c>
      <c r="I4" s="2"/>
      <c r="J4" s="7" t="s">
        <v>7</v>
      </c>
      <c r="K4" s="7" t="s">
        <v>8</v>
      </c>
      <c r="L4" s="7" t="s">
        <v>9</v>
      </c>
      <c r="M4" s="2"/>
      <c r="N4" s="3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</row>
    <row r="5" spans="1:27" x14ac:dyDescent="0.25">
      <c r="B5" s="55" t="s">
        <v>122</v>
      </c>
      <c r="C5" s="8"/>
      <c r="D5" s="8"/>
      <c r="E5" s="11" t="s">
        <v>123</v>
      </c>
      <c r="F5" s="8"/>
      <c r="G5" s="8"/>
      <c r="H5" s="8"/>
      <c r="I5" s="8"/>
      <c r="J5" s="8"/>
      <c r="K5" s="8"/>
      <c r="L5" s="8"/>
      <c r="M5" s="8"/>
      <c r="N5" s="9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</row>
    <row r="6" spans="1:27" x14ac:dyDescent="0.25">
      <c r="B6" s="122" t="s">
        <v>106</v>
      </c>
      <c r="C6" s="16">
        <v>1</v>
      </c>
      <c r="D6" s="8"/>
      <c r="E6" s="11" t="s">
        <v>286</v>
      </c>
      <c r="F6" s="12" t="s">
        <v>93</v>
      </c>
      <c r="G6" s="16">
        <f>IF(F28=0,0,_xll.RiskUniform(D28,E28,_xll.RiskCollect()))</f>
        <v>0</v>
      </c>
      <c r="H6" s="12" t="s">
        <v>92</v>
      </c>
      <c r="I6" s="8"/>
      <c r="J6" s="68">
        <f t="shared" ref="J6:J11" si="0">G6</f>
        <v>0</v>
      </c>
      <c r="K6" s="142" t="s">
        <v>18</v>
      </c>
      <c r="L6" s="60"/>
      <c r="M6" s="8"/>
      <c r="N6" s="9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</row>
    <row r="7" spans="1:27" x14ac:dyDescent="0.25">
      <c r="A7" s="253"/>
      <c r="B7" s="122" t="s">
        <v>107</v>
      </c>
      <c r="C7" s="16">
        <v>2</v>
      </c>
      <c r="D7" s="12"/>
      <c r="E7" s="11" t="s">
        <v>287</v>
      </c>
      <c r="F7" s="12" t="s">
        <v>93</v>
      </c>
      <c r="G7" s="16">
        <f>IF(F29=0,0,_xll.RiskUniform(D29,E29,_xll.RiskCollect()))</f>
        <v>0</v>
      </c>
      <c r="H7" s="12" t="s">
        <v>92</v>
      </c>
      <c r="I7" s="8"/>
      <c r="J7" s="68">
        <f t="shared" si="0"/>
        <v>0</v>
      </c>
      <c r="K7" s="46" t="s">
        <v>18</v>
      </c>
      <c r="L7" s="46"/>
      <c r="M7" s="8"/>
      <c r="N7" s="9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</row>
    <row r="8" spans="1:27" x14ac:dyDescent="0.25">
      <c r="B8" s="122" t="s">
        <v>108</v>
      </c>
      <c r="C8" s="16">
        <v>3</v>
      </c>
      <c r="D8" s="8"/>
      <c r="E8" s="11" t="s">
        <v>288</v>
      </c>
      <c r="F8" s="12" t="s">
        <v>93</v>
      </c>
      <c r="G8" s="16">
        <f>IF(F30=0,0,_xll.RiskUniform(D30,E30,_xll.RiskCollect()))</f>
        <v>0</v>
      </c>
      <c r="H8" s="12" t="s">
        <v>92</v>
      </c>
      <c r="I8" s="8"/>
      <c r="J8" s="68">
        <f t="shared" si="0"/>
        <v>0</v>
      </c>
      <c r="K8" s="46" t="s">
        <v>18</v>
      </c>
      <c r="L8" s="46"/>
      <c r="M8" s="8"/>
      <c r="N8" s="9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</row>
    <row r="9" spans="1:27" x14ac:dyDescent="0.25">
      <c r="A9" s="253"/>
      <c r="B9" s="124" t="s">
        <v>109</v>
      </c>
      <c r="C9" s="143">
        <v>4</v>
      </c>
      <c r="D9" s="58"/>
      <c r="E9" s="148" t="s">
        <v>289</v>
      </c>
      <c r="F9" s="12" t="s">
        <v>93</v>
      </c>
      <c r="G9" s="149">
        <f>G6</f>
        <v>0</v>
      </c>
      <c r="H9" s="58" t="s">
        <v>92</v>
      </c>
      <c r="I9" s="123"/>
      <c r="J9" s="149">
        <f t="shared" si="0"/>
        <v>0</v>
      </c>
      <c r="K9" s="146" t="s">
        <v>18</v>
      </c>
      <c r="L9" s="146"/>
      <c r="M9" s="123"/>
      <c r="N9" s="125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</row>
    <row r="10" spans="1:27" x14ac:dyDescent="0.25">
      <c r="A10" s="253"/>
      <c r="B10" s="124" t="s">
        <v>110</v>
      </c>
      <c r="C10" s="143">
        <v>5</v>
      </c>
      <c r="D10" s="58"/>
      <c r="E10" s="148" t="s">
        <v>290</v>
      </c>
      <c r="F10" s="12" t="s">
        <v>93</v>
      </c>
      <c r="G10" s="149">
        <f>G7</f>
        <v>0</v>
      </c>
      <c r="H10" s="58" t="s">
        <v>92</v>
      </c>
      <c r="I10" s="123"/>
      <c r="J10" s="149">
        <f t="shared" si="0"/>
        <v>0</v>
      </c>
      <c r="K10" s="146" t="s">
        <v>18</v>
      </c>
      <c r="L10" s="146"/>
      <c r="M10" s="123"/>
      <c r="N10" s="125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</row>
    <row r="11" spans="1:27" x14ac:dyDescent="0.25">
      <c r="B11" s="144" t="s">
        <v>111</v>
      </c>
      <c r="C11" s="145">
        <v>6</v>
      </c>
      <c r="D11" s="111"/>
      <c r="E11" s="127" t="s">
        <v>291</v>
      </c>
      <c r="F11" s="15" t="s">
        <v>93</v>
      </c>
      <c r="G11" s="145">
        <f>G8</f>
        <v>0</v>
      </c>
      <c r="H11" s="111" t="s">
        <v>92</v>
      </c>
      <c r="I11" s="128"/>
      <c r="J11" s="150">
        <f t="shared" si="0"/>
        <v>0</v>
      </c>
      <c r="K11" s="147" t="s">
        <v>18</v>
      </c>
      <c r="L11" s="147"/>
      <c r="M11" s="128"/>
      <c r="N11" s="129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</row>
    <row r="12" spans="1:27" s="222" customFormat="1" x14ac:dyDescent="0.25">
      <c r="B12" s="225"/>
      <c r="C12" s="226"/>
      <c r="D12" s="232"/>
      <c r="E12" s="227"/>
      <c r="F12" s="228"/>
      <c r="G12" s="226"/>
      <c r="H12" s="226"/>
      <c r="I12" s="226"/>
      <c r="J12" s="225"/>
      <c r="K12" s="225"/>
      <c r="L12" s="224"/>
      <c r="M12" s="224"/>
    </row>
    <row r="13" spans="1:27" s="222" customFormat="1" x14ac:dyDescent="0.25"/>
    <row r="14" spans="1:27" s="222" customFormat="1" ht="18" x14ac:dyDescent="0.25">
      <c r="B14" s="249" t="s">
        <v>94</v>
      </c>
    </row>
    <row r="15" spans="1:27" s="222" customFormat="1" x14ac:dyDescent="0.25">
      <c r="A15" s="237" t="s">
        <v>12</v>
      </c>
      <c r="B15" s="237"/>
    </row>
    <row r="16" spans="1:27" s="224" customFormat="1" x14ac:dyDescent="0.25">
      <c r="B16" s="260"/>
      <c r="C16" s="258"/>
      <c r="D16" s="258"/>
      <c r="E16" s="258"/>
      <c r="G16" s="232"/>
      <c r="H16" s="232"/>
      <c r="I16" s="232"/>
    </row>
    <row r="17" spans="1:24" s="224" customFormat="1" x14ac:dyDescent="0.25">
      <c r="B17" s="260"/>
      <c r="C17" s="258"/>
      <c r="D17" s="258"/>
      <c r="E17" s="258"/>
      <c r="G17" s="232"/>
      <c r="H17" s="232"/>
      <c r="I17" s="232"/>
    </row>
    <row r="18" spans="1:24" s="224" customFormat="1" x14ac:dyDescent="0.25">
      <c r="B18" s="260"/>
      <c r="C18" s="258"/>
      <c r="D18" s="258"/>
      <c r="E18" s="258"/>
      <c r="G18" s="232"/>
      <c r="H18" s="232"/>
      <c r="I18" s="232"/>
    </row>
    <row r="19" spans="1:24" s="224" customFormat="1" x14ac:dyDescent="0.25">
      <c r="B19" s="260"/>
      <c r="C19" s="258"/>
      <c r="D19" s="258"/>
      <c r="E19" s="258"/>
      <c r="G19" s="232"/>
      <c r="H19" s="232"/>
      <c r="I19" s="232"/>
    </row>
    <row r="20" spans="1:24" s="224" customFormat="1" x14ac:dyDescent="0.25">
      <c r="B20" s="258"/>
      <c r="C20" s="258"/>
      <c r="D20" s="258"/>
      <c r="E20" s="261"/>
      <c r="G20" s="258"/>
      <c r="H20" s="258"/>
      <c r="I20" s="258"/>
    </row>
    <row r="21" spans="1:24" s="224" customFormat="1" x14ac:dyDescent="0.25">
      <c r="B21" s="258"/>
      <c r="C21" s="262"/>
      <c r="D21" s="262"/>
      <c r="E21" s="262"/>
      <c r="G21" s="258"/>
      <c r="H21" s="258"/>
      <c r="I21" s="258"/>
    </row>
    <row r="22" spans="1:24" s="224" customFormat="1" x14ac:dyDescent="0.25">
      <c r="B22" s="232"/>
      <c r="C22" s="226"/>
      <c r="D22" s="226"/>
      <c r="E22" s="226"/>
    </row>
    <row r="23" spans="1:24" s="224" customFormat="1" x14ac:dyDescent="0.25">
      <c r="B23" s="225"/>
    </row>
    <row r="24" spans="1:24" s="224" customFormat="1" x14ac:dyDescent="0.25">
      <c r="B24" s="225"/>
    </row>
    <row r="25" spans="1:24" s="222" customFormat="1" x14ac:dyDescent="0.25"/>
    <row r="26" spans="1:24" s="222" customFormat="1" x14ac:dyDescent="0.25">
      <c r="A26" s="263" t="s">
        <v>23</v>
      </c>
      <c r="B26" s="263" t="s">
        <v>124</v>
      </c>
    </row>
    <row r="27" spans="1:24" x14ac:dyDescent="0.25">
      <c r="B27" s="1"/>
      <c r="C27" s="2"/>
      <c r="D27" s="18" t="s">
        <v>25</v>
      </c>
      <c r="E27" s="18" t="s">
        <v>26</v>
      </c>
      <c r="F27" s="19" t="s">
        <v>125</v>
      </c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</row>
    <row r="28" spans="1:24" x14ac:dyDescent="0.25">
      <c r="B28" s="122" t="s">
        <v>106</v>
      </c>
      <c r="C28" s="16">
        <v>1</v>
      </c>
      <c r="D28" s="16">
        <v>0</v>
      </c>
      <c r="E28" s="16">
        <v>0</v>
      </c>
      <c r="F28" s="69">
        <v>0</v>
      </c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</row>
    <row r="29" spans="1:24" x14ac:dyDescent="0.25">
      <c r="B29" s="122" t="s">
        <v>107</v>
      </c>
      <c r="C29" s="16">
        <v>2</v>
      </c>
      <c r="D29" s="16">
        <v>0</v>
      </c>
      <c r="E29" s="16">
        <v>0</v>
      </c>
      <c r="F29" s="69">
        <v>0</v>
      </c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</row>
    <row r="30" spans="1:24" x14ac:dyDescent="0.25">
      <c r="B30" s="122" t="s">
        <v>108</v>
      </c>
      <c r="C30" s="16">
        <v>3</v>
      </c>
      <c r="D30" s="16">
        <v>0</v>
      </c>
      <c r="E30" s="16">
        <v>0</v>
      </c>
      <c r="F30" s="69">
        <v>0</v>
      </c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</row>
    <row r="31" spans="1:24" x14ac:dyDescent="0.25">
      <c r="B31" s="124" t="s">
        <v>109</v>
      </c>
      <c r="C31" s="143">
        <v>4</v>
      </c>
      <c r="D31" s="143">
        <f t="shared" ref="D31:F33" si="1">D28</f>
        <v>0</v>
      </c>
      <c r="E31" s="143">
        <f t="shared" si="1"/>
        <v>0</v>
      </c>
      <c r="F31" s="151">
        <f t="shared" si="1"/>
        <v>0</v>
      </c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</row>
    <row r="32" spans="1:24" x14ac:dyDescent="0.25">
      <c r="B32" s="124" t="s">
        <v>110</v>
      </c>
      <c r="C32" s="143">
        <v>5</v>
      </c>
      <c r="D32" s="143">
        <f t="shared" si="1"/>
        <v>0</v>
      </c>
      <c r="E32" s="143">
        <f t="shared" si="1"/>
        <v>0</v>
      </c>
      <c r="F32" s="151">
        <f t="shared" si="1"/>
        <v>0</v>
      </c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</row>
    <row r="33" spans="2:24" x14ac:dyDescent="0.25">
      <c r="B33" s="144" t="s">
        <v>111</v>
      </c>
      <c r="C33" s="145">
        <v>6</v>
      </c>
      <c r="D33" s="145">
        <f t="shared" si="1"/>
        <v>0</v>
      </c>
      <c r="E33" s="145">
        <f t="shared" si="1"/>
        <v>0</v>
      </c>
      <c r="F33" s="152">
        <f t="shared" si="1"/>
        <v>0</v>
      </c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</row>
    <row r="34" spans="2:24" s="222" customFormat="1" x14ac:dyDescent="0.25"/>
    <row r="35" spans="2:24" s="222" customFormat="1" x14ac:dyDescent="0.25"/>
    <row r="36" spans="2:24" s="222" customFormat="1" x14ac:dyDescent="0.25"/>
    <row r="37" spans="2:24" s="222" customFormat="1" x14ac:dyDescent="0.25"/>
    <row r="38" spans="2:24" s="222" customFormat="1" x14ac:dyDescent="0.25"/>
    <row r="39" spans="2:24" s="222" customFormat="1" x14ac:dyDescent="0.25"/>
    <row r="40" spans="2:24" s="222" customFormat="1" x14ac:dyDescent="0.25"/>
    <row r="41" spans="2:24" s="222" customFormat="1" x14ac:dyDescent="0.25"/>
    <row r="42" spans="2:24" s="222" customFormat="1" x14ac:dyDescent="0.25"/>
    <row r="43" spans="2:24" s="222" customFormat="1" x14ac:dyDescent="0.25"/>
    <row r="44" spans="2:24" s="222" customFormat="1" x14ac:dyDescent="0.25"/>
    <row r="45" spans="2:24" s="222" customFormat="1" x14ac:dyDescent="0.25"/>
    <row r="46" spans="2:24" s="222" customFormat="1" x14ac:dyDescent="0.25"/>
    <row r="47" spans="2:24" s="222" customFormat="1" x14ac:dyDescent="0.25"/>
    <row r="48" spans="2:24" s="222" customFormat="1" x14ac:dyDescent="0.25"/>
    <row r="49" s="222" customFormat="1" x14ac:dyDescent="0.25"/>
    <row r="50" s="222" customFormat="1" x14ac:dyDescent="0.25"/>
    <row r="51" s="222" customFormat="1" x14ac:dyDescent="0.25"/>
    <row r="52" s="222" customFormat="1" x14ac:dyDescent="0.25"/>
    <row r="53" s="222" customFormat="1" x14ac:dyDescent="0.25"/>
    <row r="54" s="222" customFormat="1" x14ac:dyDescent="0.25"/>
    <row r="55" s="222" customFormat="1" x14ac:dyDescent="0.25"/>
    <row r="56" s="222" customFormat="1" x14ac:dyDescent="0.25"/>
    <row r="57" s="222" customFormat="1" x14ac:dyDescent="0.25"/>
    <row r="58" s="222" customFormat="1" x14ac:dyDescent="0.25"/>
    <row r="59" s="222" customFormat="1" x14ac:dyDescent="0.25"/>
    <row r="60" s="222" customFormat="1" x14ac:dyDescent="0.25"/>
    <row r="61" s="222" customFormat="1" x14ac:dyDescent="0.25"/>
    <row r="62" s="222" customFormat="1" x14ac:dyDescent="0.25"/>
    <row r="63" s="222" customFormat="1" x14ac:dyDescent="0.25"/>
    <row r="64" s="222" customFormat="1" x14ac:dyDescent="0.25"/>
    <row r="65" s="222" customFormat="1" x14ac:dyDescent="0.25"/>
    <row r="66" s="222" customFormat="1" x14ac:dyDescent="0.25"/>
    <row r="67" s="222" customFormat="1" x14ac:dyDescent="0.25"/>
    <row r="68" s="222" customFormat="1" x14ac:dyDescent="0.25"/>
    <row r="69" s="222" customFormat="1" x14ac:dyDescent="0.25"/>
    <row r="70" s="222" customFormat="1" x14ac:dyDescent="0.25"/>
    <row r="71" s="222" customFormat="1" x14ac:dyDescent="0.25"/>
    <row r="72" s="222" customFormat="1" x14ac:dyDescent="0.25"/>
    <row r="73" s="222" customFormat="1" x14ac:dyDescent="0.25"/>
    <row r="74" s="222" customFormat="1" x14ac:dyDescent="0.25"/>
    <row r="75" s="222" customFormat="1" x14ac:dyDescent="0.25"/>
    <row r="76" s="222" customFormat="1" x14ac:dyDescent="0.25"/>
    <row r="77" s="222" customFormat="1" x14ac:dyDescent="0.25"/>
    <row r="78" s="222" customFormat="1" x14ac:dyDescent="0.25"/>
    <row r="79" s="222" customFormat="1" x14ac:dyDescent="0.25"/>
    <row r="80" s="222" customFormat="1" x14ac:dyDescent="0.25"/>
    <row r="81" s="222" customFormat="1" x14ac:dyDescent="0.25"/>
    <row r="82" s="222" customFormat="1" x14ac:dyDescent="0.25"/>
    <row r="83" s="222" customFormat="1" x14ac:dyDescent="0.25"/>
    <row r="84" s="222" customFormat="1" x14ac:dyDescent="0.25"/>
    <row r="85" s="222" customFormat="1" x14ac:dyDescent="0.25"/>
    <row r="86" s="222" customFormat="1" x14ac:dyDescent="0.25"/>
    <row r="87" s="222" customFormat="1" x14ac:dyDescent="0.25"/>
    <row r="88" s="222" customFormat="1" x14ac:dyDescent="0.25"/>
    <row r="89" s="222" customFormat="1" x14ac:dyDescent="0.25"/>
    <row r="90" s="222" customFormat="1" x14ac:dyDescent="0.25"/>
    <row r="91" s="222" customFormat="1" x14ac:dyDescent="0.25"/>
    <row r="92" s="222" customFormat="1" x14ac:dyDescent="0.25"/>
    <row r="93" s="222" customFormat="1" x14ac:dyDescent="0.25"/>
    <row r="94" s="222" customFormat="1" x14ac:dyDescent="0.25"/>
    <row r="95" s="222" customFormat="1" x14ac:dyDescent="0.25"/>
    <row r="96" s="222" customFormat="1" x14ac:dyDescent="0.25"/>
    <row r="97" s="222" customFormat="1" x14ac:dyDescent="0.25"/>
    <row r="98" s="222" customFormat="1" x14ac:dyDescent="0.25"/>
    <row r="99" s="222" customFormat="1" x14ac:dyDescent="0.25"/>
    <row r="100" s="222" customFormat="1" x14ac:dyDescent="0.25"/>
    <row r="101" s="222" customFormat="1" x14ac:dyDescent="0.25"/>
    <row r="102" s="222" customFormat="1" x14ac:dyDescent="0.25"/>
    <row r="103" s="222" customFormat="1" x14ac:dyDescent="0.25"/>
    <row r="104" s="222" customFormat="1" x14ac:dyDescent="0.25"/>
    <row r="105" s="222" customFormat="1" x14ac:dyDescent="0.25"/>
  </sheetData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39997558519241921"/>
  </sheetPr>
  <dimension ref="A1:AL133"/>
  <sheetViews>
    <sheetView workbookViewId="0"/>
  </sheetViews>
  <sheetFormatPr defaultRowHeight="15" x14ac:dyDescent="0.25"/>
  <cols>
    <col min="1" max="1" width="9.140625" style="222"/>
    <col min="4" max="4" width="10" bestFit="1" customWidth="1"/>
    <col min="5" max="5" width="9.140625" customWidth="1"/>
    <col min="6" max="6" width="9.28515625" customWidth="1"/>
    <col min="7" max="7" width="10.7109375" bestFit="1" customWidth="1"/>
    <col min="8" max="8" width="9" customWidth="1"/>
    <col min="9" max="9" width="10" bestFit="1" customWidth="1"/>
    <col min="10" max="10" width="8.7109375" customWidth="1"/>
    <col min="11" max="11" width="10" bestFit="1" customWidth="1"/>
    <col min="12" max="12" width="8.7109375" customWidth="1"/>
    <col min="13" max="15" width="10" bestFit="1" customWidth="1"/>
    <col min="17" max="17" width="11" bestFit="1" customWidth="1"/>
  </cols>
  <sheetData>
    <row r="1" spans="1:38" s="222" customFormat="1" ht="18" x14ac:dyDescent="0.25">
      <c r="A1" s="249" t="s">
        <v>88</v>
      </c>
    </row>
    <row r="2" spans="1:38" s="222" customFormat="1" x14ac:dyDescent="0.25"/>
    <row r="3" spans="1:38" s="222" customFormat="1" ht="18" x14ac:dyDescent="0.25">
      <c r="B3" s="241" t="s">
        <v>89</v>
      </c>
    </row>
    <row r="4" spans="1:38" x14ac:dyDescent="0.25">
      <c r="B4" s="203"/>
      <c r="C4" s="204" t="s">
        <v>5</v>
      </c>
      <c r="D4" s="204" t="s">
        <v>6</v>
      </c>
      <c r="E4" s="2"/>
      <c r="F4" s="204"/>
      <c r="G4" s="204"/>
      <c r="H4" s="204"/>
      <c r="I4" s="2"/>
      <c r="J4" s="204" t="s">
        <v>7</v>
      </c>
      <c r="K4" s="204" t="s">
        <v>8</v>
      </c>
      <c r="L4" s="101"/>
      <c r="M4" s="264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</row>
    <row r="5" spans="1:38" x14ac:dyDescent="0.25">
      <c r="B5" s="97" t="s">
        <v>95</v>
      </c>
      <c r="C5" s="21"/>
      <c r="D5" s="21"/>
      <c r="E5" s="21"/>
      <c r="F5" s="21"/>
      <c r="G5" s="21"/>
      <c r="H5" s="21"/>
      <c r="I5" s="8"/>
      <c r="J5" s="21"/>
      <c r="K5" s="21"/>
      <c r="L5" s="21"/>
      <c r="M5" s="265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</row>
    <row r="6" spans="1:38" x14ac:dyDescent="0.25">
      <c r="B6" s="122" t="s">
        <v>106</v>
      </c>
      <c r="C6" s="254">
        <v>1</v>
      </c>
      <c r="D6" s="99" t="s">
        <v>292</v>
      </c>
      <c r="E6" s="8"/>
      <c r="F6" s="8"/>
      <c r="G6" s="21"/>
      <c r="H6" s="21"/>
      <c r="I6" s="8"/>
      <c r="J6" s="172">
        <f t="shared" ref="J6:J11" ca="1" si="0">J18</f>
        <v>0</v>
      </c>
      <c r="K6" s="98" t="s">
        <v>170</v>
      </c>
      <c r="L6" s="21"/>
      <c r="M6" s="265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</row>
    <row r="7" spans="1:38" x14ac:dyDescent="0.25">
      <c r="B7" s="122" t="s">
        <v>107</v>
      </c>
      <c r="C7" s="99">
        <v>2</v>
      </c>
      <c r="D7" s="99" t="s">
        <v>293</v>
      </c>
      <c r="E7" s="8"/>
      <c r="F7" s="8"/>
      <c r="G7" s="21"/>
      <c r="H7" s="21"/>
      <c r="I7" s="8"/>
      <c r="J7" s="172">
        <f t="shared" ca="1" si="0"/>
        <v>0</v>
      </c>
      <c r="K7" s="98" t="s">
        <v>170</v>
      </c>
      <c r="L7" s="21"/>
      <c r="M7" s="265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</row>
    <row r="8" spans="1:38" x14ac:dyDescent="0.25">
      <c r="B8" s="122" t="s">
        <v>108</v>
      </c>
      <c r="C8" s="99">
        <v>3</v>
      </c>
      <c r="D8" s="99" t="s">
        <v>294</v>
      </c>
      <c r="E8" s="8"/>
      <c r="F8" s="8"/>
      <c r="G8" s="21"/>
      <c r="H8" s="21"/>
      <c r="I8" s="8"/>
      <c r="J8" s="172">
        <f t="shared" ca="1" si="0"/>
        <v>555.66439800285445</v>
      </c>
      <c r="K8" s="98" t="s">
        <v>170</v>
      </c>
      <c r="L8" s="21"/>
      <c r="M8" s="265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</row>
    <row r="9" spans="1:38" x14ac:dyDescent="0.25">
      <c r="B9" s="165" t="s">
        <v>109</v>
      </c>
      <c r="C9" s="254">
        <v>4</v>
      </c>
      <c r="D9" s="99" t="s">
        <v>295</v>
      </c>
      <c r="E9" s="8"/>
      <c r="F9" s="8"/>
      <c r="G9" s="21"/>
      <c r="H9" s="21"/>
      <c r="I9" s="8"/>
      <c r="J9" s="172">
        <f t="shared" ca="1" si="0"/>
        <v>0</v>
      </c>
      <c r="K9" s="98" t="s">
        <v>170</v>
      </c>
      <c r="L9" s="21"/>
      <c r="M9" s="265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22"/>
      <c r="AI9" s="222"/>
      <c r="AJ9" s="222"/>
      <c r="AK9" s="222"/>
      <c r="AL9" s="222"/>
    </row>
    <row r="10" spans="1:38" x14ac:dyDescent="0.25">
      <c r="B10" s="165" t="s">
        <v>110</v>
      </c>
      <c r="C10" s="99">
        <v>5</v>
      </c>
      <c r="D10" s="99" t="s">
        <v>296</v>
      </c>
      <c r="E10" s="8"/>
      <c r="F10" s="8"/>
      <c r="G10" s="21"/>
      <c r="H10" s="21"/>
      <c r="I10" s="8"/>
      <c r="J10" s="172">
        <f t="shared" ca="1" si="0"/>
        <v>0</v>
      </c>
      <c r="K10" s="98" t="s">
        <v>170</v>
      </c>
      <c r="L10" s="21"/>
      <c r="M10" s="265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</row>
    <row r="11" spans="1:38" x14ac:dyDescent="0.25">
      <c r="B11" s="166" t="s">
        <v>111</v>
      </c>
      <c r="C11" s="255">
        <v>6</v>
      </c>
      <c r="D11" s="255" t="s">
        <v>297</v>
      </c>
      <c r="E11" s="5"/>
      <c r="F11" s="5"/>
      <c r="G11" s="163"/>
      <c r="H11" s="163"/>
      <c r="I11" s="5"/>
      <c r="J11" s="266">
        <f t="shared" ca="1" si="0"/>
        <v>0</v>
      </c>
      <c r="K11" s="183" t="s">
        <v>170</v>
      </c>
      <c r="L11" s="163"/>
      <c r="M11" s="267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</row>
    <row r="12" spans="1:38" s="222" customFormat="1" x14ac:dyDescent="0.25"/>
    <row r="13" spans="1:38" s="222" customFormat="1" ht="18" x14ac:dyDescent="0.25">
      <c r="B13" s="249" t="s">
        <v>55</v>
      </c>
      <c r="E13" s="253"/>
    </row>
    <row r="14" spans="1:38" s="222" customFormat="1" x14ac:dyDescent="0.25"/>
    <row r="15" spans="1:38" x14ac:dyDescent="0.25">
      <c r="B15" s="100" t="s">
        <v>90</v>
      </c>
      <c r="C15" s="153" t="s">
        <v>53</v>
      </c>
      <c r="D15" s="154" t="s">
        <v>6</v>
      </c>
      <c r="E15" s="155" t="s">
        <v>16</v>
      </c>
      <c r="F15" s="303" t="s">
        <v>59</v>
      </c>
      <c r="G15" s="303"/>
      <c r="H15" s="303"/>
      <c r="I15" s="303"/>
      <c r="J15" s="154" t="s">
        <v>7</v>
      </c>
      <c r="K15" s="154" t="s">
        <v>8</v>
      </c>
      <c r="L15" s="101"/>
      <c r="M15" s="156" t="s">
        <v>9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</row>
    <row r="16" spans="1:38" x14ac:dyDescent="0.25">
      <c r="B16" s="97"/>
      <c r="C16" s="21"/>
      <c r="D16" s="21"/>
      <c r="E16" s="157"/>
      <c r="F16" s="158" t="s">
        <v>27</v>
      </c>
      <c r="G16" s="158" t="s">
        <v>25</v>
      </c>
      <c r="H16" s="157" t="s">
        <v>57</v>
      </c>
      <c r="I16" s="157" t="s">
        <v>26</v>
      </c>
      <c r="J16" s="157"/>
      <c r="K16" s="157"/>
      <c r="L16" s="21"/>
      <c r="M16" s="159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</row>
    <row r="17" spans="1:38" x14ac:dyDescent="0.25">
      <c r="B17" s="97" t="s">
        <v>96</v>
      </c>
      <c r="C17" s="21"/>
      <c r="D17" s="103"/>
      <c r="E17" s="104"/>
      <c r="F17" s="102"/>
      <c r="G17" s="102"/>
      <c r="H17" s="103"/>
      <c r="I17" s="21"/>
      <c r="J17" s="48"/>
      <c r="K17" s="104"/>
      <c r="L17" s="23"/>
      <c r="M17" s="105"/>
      <c r="N17" s="222"/>
      <c r="O17" s="222"/>
      <c r="P17" s="222"/>
      <c r="Q17" s="222"/>
      <c r="R17" s="222"/>
      <c r="S17" s="222"/>
      <c r="T17" s="222"/>
      <c r="U17" s="222"/>
      <c r="V17" s="222"/>
      <c r="W17" s="222"/>
      <c r="X17" s="222"/>
      <c r="Y17" s="222"/>
      <c r="Z17" s="222"/>
      <c r="AA17" s="222"/>
      <c r="AB17" s="222"/>
      <c r="AC17" s="222"/>
      <c r="AD17" s="222"/>
      <c r="AE17" s="222"/>
      <c r="AF17" s="222"/>
      <c r="AG17" s="222"/>
      <c r="AH17" s="222"/>
      <c r="AI17" s="222"/>
      <c r="AJ17" s="222"/>
      <c r="AK17" s="222"/>
      <c r="AL17" s="222"/>
    </row>
    <row r="18" spans="1:38" x14ac:dyDescent="0.25">
      <c r="B18" s="122" t="s">
        <v>106</v>
      </c>
      <c r="C18" s="160">
        <v>1</v>
      </c>
      <c r="D18" s="161" t="s">
        <v>298</v>
      </c>
      <c r="E18" s="21" t="s">
        <v>93</v>
      </c>
      <c r="F18" s="102"/>
      <c r="G18" s="102">
        <f ca="1">VLOOKUP(Age_slaughter,C32:D34,2)</f>
        <v>0</v>
      </c>
      <c r="H18" s="102">
        <f ca="1">VLOOKUP(Age_slaughter,C32:G34,5)</f>
        <v>0</v>
      </c>
      <c r="I18" s="181">
        <f ca="1">VLOOKUP(Age_slaughter,C32:E34,3)</f>
        <v>0</v>
      </c>
      <c r="J18" s="48">
        <f ca="1">_xll.RiskPert(G18,H18,I18)</f>
        <v>0</v>
      </c>
      <c r="K18" s="98" t="s">
        <v>170</v>
      </c>
      <c r="L18" s="23"/>
      <c r="M18" s="106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</row>
    <row r="19" spans="1:38" x14ac:dyDescent="0.25">
      <c r="B19" s="122" t="s">
        <v>107</v>
      </c>
      <c r="C19" s="160">
        <v>2</v>
      </c>
      <c r="D19" s="161" t="s">
        <v>299</v>
      </c>
      <c r="E19" s="21" t="s">
        <v>93</v>
      </c>
      <c r="F19" s="102"/>
      <c r="G19" s="102">
        <f ca="1">VLOOKUP(Age_slaughter,C32:H34,6)</f>
        <v>0</v>
      </c>
      <c r="H19" s="102">
        <f ca="1">VLOOKUP(Age_slaughter,C32:K34,9)</f>
        <v>0</v>
      </c>
      <c r="I19" s="181">
        <f ca="1">VLOOKUP(Age_slaughter,C32:I34,7)</f>
        <v>0</v>
      </c>
      <c r="J19" s="48">
        <f ca="1">_xll.RiskPert(G19,H19,I19)</f>
        <v>0</v>
      </c>
      <c r="K19" s="98" t="s">
        <v>170</v>
      </c>
      <c r="L19" s="23"/>
      <c r="M19" s="106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  <c r="AD19" s="222"/>
      <c r="AE19" s="222"/>
      <c r="AF19" s="222"/>
      <c r="AG19" s="222"/>
      <c r="AH19" s="222"/>
      <c r="AI19" s="222"/>
      <c r="AJ19" s="222"/>
      <c r="AK19" s="222"/>
      <c r="AL19" s="222"/>
    </row>
    <row r="20" spans="1:38" x14ac:dyDescent="0.25">
      <c r="B20" s="122" t="s">
        <v>108</v>
      </c>
      <c r="C20" s="160">
        <v>3</v>
      </c>
      <c r="D20" s="161" t="s">
        <v>300</v>
      </c>
      <c r="E20" s="21" t="s">
        <v>93</v>
      </c>
      <c r="F20" s="102"/>
      <c r="G20" s="102">
        <f ca="1">VLOOKUP(Age_slaughter,C32:L34,10)</f>
        <v>0</v>
      </c>
      <c r="H20" s="102">
        <f ca="1">VLOOKUP(Age_slaughter,C32:O34,13)</f>
        <v>330</v>
      </c>
      <c r="I20" s="181">
        <f ca="1">VLOOKUP(Age_slaughter,C32:M34,11)</f>
        <v>660</v>
      </c>
      <c r="J20" s="48">
        <f ca="1">_xll.RiskPert(G20,H20,I20)</f>
        <v>555.66439800285445</v>
      </c>
      <c r="K20" s="98" t="s">
        <v>170</v>
      </c>
      <c r="L20" s="23"/>
      <c r="M20" s="106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2"/>
      <c r="AC20" s="222"/>
      <c r="AD20" s="222"/>
      <c r="AE20" s="222"/>
      <c r="AF20" s="222"/>
      <c r="AG20" s="222"/>
      <c r="AH20" s="222"/>
      <c r="AI20" s="222"/>
      <c r="AJ20" s="222"/>
      <c r="AK20" s="222"/>
      <c r="AL20" s="222"/>
    </row>
    <row r="21" spans="1:38" x14ac:dyDescent="0.25">
      <c r="B21" s="165" t="s">
        <v>109</v>
      </c>
      <c r="C21" s="160">
        <v>4</v>
      </c>
      <c r="D21" s="161" t="s">
        <v>301</v>
      </c>
      <c r="E21" s="21" t="s">
        <v>93</v>
      </c>
      <c r="F21" s="102"/>
      <c r="G21" s="102">
        <f ca="1">VLOOKUP(Age_slaughter,C43:D45,2)</f>
        <v>0</v>
      </c>
      <c r="H21" s="102">
        <f ca="1">VLOOKUP(Age_slaughter,C43:G45,5)</f>
        <v>0</v>
      </c>
      <c r="I21" s="181">
        <f ca="1">VLOOKUP(Age_slaughter,C43:E45,3)</f>
        <v>0</v>
      </c>
      <c r="J21" s="48">
        <f ca="1">_xll.RiskPert(G21,H21,I21)</f>
        <v>0</v>
      </c>
      <c r="K21" s="98" t="s">
        <v>170</v>
      </c>
      <c r="L21" s="23"/>
      <c r="M21" s="106"/>
      <c r="N21" s="222"/>
      <c r="O21" s="22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  <c r="AA21" s="222"/>
      <c r="AB21" s="222"/>
      <c r="AC21" s="222"/>
      <c r="AD21" s="222"/>
      <c r="AE21" s="222"/>
      <c r="AF21" s="222"/>
      <c r="AG21" s="222"/>
      <c r="AH21" s="222"/>
      <c r="AI21" s="222"/>
      <c r="AJ21" s="222"/>
      <c r="AK21" s="222"/>
      <c r="AL21" s="222"/>
    </row>
    <row r="22" spans="1:38" x14ac:dyDescent="0.25">
      <c r="B22" s="165" t="s">
        <v>110</v>
      </c>
      <c r="C22" s="160">
        <v>5</v>
      </c>
      <c r="D22" s="161" t="s">
        <v>302</v>
      </c>
      <c r="E22" s="21" t="s">
        <v>93</v>
      </c>
      <c r="F22" s="102"/>
      <c r="G22" s="102">
        <f ca="1">VLOOKUP(Age_slaughter,C43:H45,6)</f>
        <v>0</v>
      </c>
      <c r="H22" s="102">
        <f ca="1">VLOOKUP(Age_slaughter,C43:K45,9)</f>
        <v>0</v>
      </c>
      <c r="I22" s="181">
        <f ca="1">VLOOKUP(Age_slaughter,C43:I45,7)</f>
        <v>0</v>
      </c>
      <c r="J22" s="48">
        <f ca="1">_xll.RiskPert(G22,H22,I22)</f>
        <v>0</v>
      </c>
      <c r="K22" s="98" t="s">
        <v>170</v>
      </c>
      <c r="L22" s="23"/>
      <c r="M22" s="106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2"/>
      <c r="AF22" s="222"/>
      <c r="AG22" s="222"/>
      <c r="AH22" s="222"/>
      <c r="AI22" s="222"/>
      <c r="AJ22" s="222"/>
      <c r="AK22" s="222"/>
      <c r="AL22" s="222"/>
    </row>
    <row r="23" spans="1:38" x14ac:dyDescent="0.25">
      <c r="B23" s="166" t="s">
        <v>111</v>
      </c>
      <c r="C23" s="167">
        <v>6</v>
      </c>
      <c r="D23" s="162" t="s">
        <v>303</v>
      </c>
      <c r="E23" s="163" t="s">
        <v>93</v>
      </c>
      <c r="F23" s="164"/>
      <c r="G23" s="164">
        <f ca="1">VLOOKUP(Age_slaughter,C43:L45,10)</f>
        <v>0</v>
      </c>
      <c r="H23" s="164">
        <f ca="1">VLOOKUP(Age_slaughter,C43:O45,13)</f>
        <v>0</v>
      </c>
      <c r="I23" s="182">
        <f ca="1">VLOOKUP(Age_slaughter,C43:M45,11)</f>
        <v>0</v>
      </c>
      <c r="J23" s="170">
        <f ca="1">_xll.RiskPert(G23,H23,I23)</f>
        <v>0</v>
      </c>
      <c r="K23" s="183" t="s">
        <v>170</v>
      </c>
      <c r="L23" s="107"/>
      <c r="M23" s="108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2"/>
      <c r="AC23" s="222"/>
      <c r="AD23" s="222"/>
      <c r="AE23" s="222"/>
      <c r="AF23" s="222"/>
      <c r="AG23" s="222"/>
      <c r="AH23" s="222"/>
      <c r="AI23" s="222"/>
      <c r="AJ23" s="222"/>
      <c r="AK23" s="222"/>
      <c r="AL23" s="222"/>
    </row>
    <row r="24" spans="1:38" s="222" customFormat="1" x14ac:dyDescent="0.25">
      <c r="B24" s="224"/>
      <c r="C24" s="226"/>
      <c r="D24" s="226"/>
      <c r="E24" s="224"/>
      <c r="F24" s="224"/>
      <c r="G24" s="224"/>
      <c r="H24" s="224"/>
      <c r="I24" s="224"/>
      <c r="J24" s="224"/>
      <c r="K24" s="225"/>
      <c r="L24" s="253"/>
    </row>
    <row r="25" spans="1:38" s="222" customFormat="1" ht="18" x14ac:dyDescent="0.25">
      <c r="B25" s="249" t="s">
        <v>94</v>
      </c>
    </row>
    <row r="26" spans="1:38" s="222" customFormat="1" x14ac:dyDescent="0.25"/>
    <row r="27" spans="1:38" s="222" customFormat="1" x14ac:dyDescent="0.25">
      <c r="A27" s="239" t="s">
        <v>12</v>
      </c>
      <c r="B27" s="239" t="s">
        <v>265</v>
      </c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</row>
    <row r="28" spans="1:38" x14ac:dyDescent="0.25">
      <c r="A28" s="242"/>
      <c r="B28" s="38"/>
      <c r="C28" s="38"/>
      <c r="D28" s="65" t="s">
        <v>60</v>
      </c>
      <c r="E28" s="65" t="s">
        <v>60</v>
      </c>
      <c r="F28" s="65" t="s">
        <v>60</v>
      </c>
      <c r="G28" s="65" t="s">
        <v>60</v>
      </c>
      <c r="H28" s="39" t="s">
        <v>61</v>
      </c>
      <c r="I28" s="39" t="s">
        <v>61</v>
      </c>
      <c r="J28" s="39" t="s">
        <v>61</v>
      </c>
      <c r="K28" s="39" t="s">
        <v>61</v>
      </c>
      <c r="L28" s="39" t="s">
        <v>73</v>
      </c>
      <c r="M28" s="39" t="s">
        <v>73</v>
      </c>
      <c r="N28" s="39" t="s">
        <v>73</v>
      </c>
      <c r="O28" s="36" t="s">
        <v>73</v>
      </c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</row>
    <row r="29" spans="1:38" x14ac:dyDescent="0.25">
      <c r="A29" s="242"/>
      <c r="B29" s="43"/>
      <c r="C29" s="43"/>
      <c r="D29" s="12">
        <v>1</v>
      </c>
      <c r="E29" s="12">
        <v>1</v>
      </c>
      <c r="F29" s="30">
        <v>1</v>
      </c>
      <c r="G29" s="30">
        <v>1</v>
      </c>
      <c r="H29" s="30">
        <v>2</v>
      </c>
      <c r="I29" s="30">
        <v>2</v>
      </c>
      <c r="J29" s="30">
        <v>2</v>
      </c>
      <c r="K29" s="30">
        <v>2</v>
      </c>
      <c r="L29" s="30">
        <v>3</v>
      </c>
      <c r="M29" s="30">
        <v>3</v>
      </c>
      <c r="N29" s="30">
        <v>3</v>
      </c>
      <c r="O29" s="72">
        <v>3</v>
      </c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</row>
    <row r="30" spans="1:38" ht="38.25" x14ac:dyDescent="0.25">
      <c r="A30" s="242"/>
      <c r="B30" s="76" t="s">
        <v>64</v>
      </c>
      <c r="C30" s="76" t="s">
        <v>64</v>
      </c>
      <c r="D30" s="61" t="s">
        <v>267</v>
      </c>
      <c r="E30" s="61" t="s">
        <v>268</v>
      </c>
      <c r="F30" s="66" t="s">
        <v>269</v>
      </c>
      <c r="G30" s="66" t="s">
        <v>270</v>
      </c>
      <c r="H30" s="61" t="s">
        <v>271</v>
      </c>
      <c r="I30" s="61" t="s">
        <v>268</v>
      </c>
      <c r="J30" s="66" t="s">
        <v>269</v>
      </c>
      <c r="K30" s="66" t="s">
        <v>270</v>
      </c>
      <c r="L30" s="61" t="s">
        <v>271</v>
      </c>
      <c r="M30" s="61" t="s">
        <v>268</v>
      </c>
      <c r="N30" s="66" t="s">
        <v>269</v>
      </c>
      <c r="O30" s="70" t="s">
        <v>270</v>
      </c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</row>
    <row r="31" spans="1:38" ht="25.5" x14ac:dyDescent="0.25">
      <c r="A31" s="242"/>
      <c r="B31" s="76"/>
      <c r="C31" s="76"/>
      <c r="D31" s="67" t="s">
        <v>304</v>
      </c>
      <c r="E31" s="67" t="s">
        <v>305</v>
      </c>
      <c r="F31" s="67" t="s">
        <v>306</v>
      </c>
      <c r="G31" s="67" t="s">
        <v>307</v>
      </c>
      <c r="H31" s="67" t="s">
        <v>308</v>
      </c>
      <c r="I31" s="67" t="s">
        <v>309</v>
      </c>
      <c r="J31" s="67" t="s">
        <v>310</v>
      </c>
      <c r="K31" s="67" t="s">
        <v>311</v>
      </c>
      <c r="L31" s="67" t="s">
        <v>312</v>
      </c>
      <c r="M31" s="67" t="s">
        <v>313</v>
      </c>
      <c r="N31" s="67" t="s">
        <v>314</v>
      </c>
      <c r="O31" s="71" t="s">
        <v>315</v>
      </c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</row>
    <row r="32" spans="1:38" ht="26.25" x14ac:dyDescent="0.25">
      <c r="A32" s="242"/>
      <c r="B32" s="81" t="s">
        <v>47</v>
      </c>
      <c r="C32" s="85">
        <v>3</v>
      </c>
      <c r="D32" s="173">
        <v>0</v>
      </c>
      <c r="E32" s="173">
        <v>0</v>
      </c>
      <c r="F32" s="173">
        <f>(D32+E32)/2</f>
        <v>0</v>
      </c>
      <c r="G32" s="173">
        <f>F32</f>
        <v>0</v>
      </c>
      <c r="H32" s="173">
        <v>0</v>
      </c>
      <c r="I32" s="173">
        <v>0</v>
      </c>
      <c r="J32" s="173">
        <f>(H32+I32)/2</f>
        <v>0</v>
      </c>
      <c r="K32" s="173">
        <f>J32</f>
        <v>0</v>
      </c>
      <c r="L32" s="174">
        <v>0</v>
      </c>
      <c r="M32" s="174">
        <v>660</v>
      </c>
      <c r="N32" s="173">
        <f>(L32+M32)/2</f>
        <v>330</v>
      </c>
      <c r="O32" s="175">
        <f>N32</f>
        <v>330</v>
      </c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</row>
    <row r="33" spans="1:30" ht="26.25" x14ac:dyDescent="0.25">
      <c r="A33" s="242"/>
      <c r="B33" s="82" t="s">
        <v>43</v>
      </c>
      <c r="C33" s="82">
        <v>12</v>
      </c>
      <c r="D33" s="173">
        <v>0</v>
      </c>
      <c r="E33" s="173">
        <v>3.6</v>
      </c>
      <c r="F33" s="173">
        <f>(D33+E33)/2</f>
        <v>1.8</v>
      </c>
      <c r="G33" s="174">
        <f>F33</f>
        <v>1.8</v>
      </c>
      <c r="H33" s="173">
        <v>0</v>
      </c>
      <c r="I33" s="173">
        <v>0</v>
      </c>
      <c r="J33" s="173">
        <f>(H33+I33)/2</f>
        <v>0</v>
      </c>
      <c r="K33" s="174">
        <f>J33</f>
        <v>0</v>
      </c>
      <c r="L33" s="174">
        <v>666.66</v>
      </c>
      <c r="M33" s="174">
        <v>50000</v>
      </c>
      <c r="N33" s="173">
        <f>(L33+M33)/2</f>
        <v>25333.33</v>
      </c>
      <c r="O33" s="175">
        <f>N33</f>
        <v>25333.33</v>
      </c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</row>
    <row r="34" spans="1:30" ht="26.25" x14ac:dyDescent="0.25">
      <c r="A34" s="242"/>
      <c r="B34" s="83" t="s">
        <v>44</v>
      </c>
      <c r="C34" s="83">
        <v>13</v>
      </c>
      <c r="D34" s="176">
        <v>3.6</v>
      </c>
      <c r="E34" s="176">
        <v>400000</v>
      </c>
      <c r="F34" s="176">
        <f>(D34+E34)/2</f>
        <v>200001.8</v>
      </c>
      <c r="G34" s="177">
        <f>F34</f>
        <v>200001.8</v>
      </c>
      <c r="H34" s="176">
        <v>0</v>
      </c>
      <c r="I34" s="177">
        <v>125</v>
      </c>
      <c r="J34" s="176">
        <f>(H34+I34)/2</f>
        <v>62.5</v>
      </c>
      <c r="K34" s="177">
        <f>J34</f>
        <v>62.5</v>
      </c>
      <c r="L34" s="177">
        <v>50000</v>
      </c>
      <c r="M34" s="177">
        <v>50000</v>
      </c>
      <c r="N34" s="176">
        <f>(L34+M34)/2</f>
        <v>50000</v>
      </c>
      <c r="O34" s="178">
        <f>N34</f>
        <v>50000</v>
      </c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</row>
    <row r="35" spans="1:30" s="222" customFormat="1" x14ac:dyDescent="0.25">
      <c r="A35" s="242"/>
      <c r="B35" s="242" t="s">
        <v>126</v>
      </c>
      <c r="C35" s="256"/>
      <c r="D35" s="256"/>
      <c r="E35" s="258"/>
      <c r="F35" s="259"/>
      <c r="G35" s="242"/>
      <c r="H35" s="242"/>
      <c r="I35" s="242"/>
      <c r="J35" s="242"/>
      <c r="K35" s="242"/>
      <c r="L35" s="242"/>
      <c r="M35" s="242"/>
      <c r="N35" s="242"/>
      <c r="O35" s="242"/>
    </row>
    <row r="36" spans="1:30" s="222" customFormat="1" x14ac:dyDescent="0.25">
      <c r="A36" s="242"/>
      <c r="B36" s="242" t="s">
        <v>68</v>
      </c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</row>
    <row r="37" spans="1:30" s="222" customFormat="1" x14ac:dyDescent="0.25"/>
    <row r="38" spans="1:30" s="222" customFormat="1" x14ac:dyDescent="0.25">
      <c r="A38" s="239" t="s">
        <v>23</v>
      </c>
      <c r="B38" s="239" t="s">
        <v>266</v>
      </c>
    </row>
    <row r="39" spans="1:30" x14ac:dyDescent="0.25">
      <c r="B39" s="38"/>
      <c r="C39" s="38"/>
      <c r="D39" s="65" t="s">
        <v>60</v>
      </c>
      <c r="E39" s="65" t="s">
        <v>60</v>
      </c>
      <c r="F39" s="65" t="s">
        <v>60</v>
      </c>
      <c r="G39" s="65" t="s">
        <v>60</v>
      </c>
      <c r="H39" s="39" t="s">
        <v>61</v>
      </c>
      <c r="I39" s="39" t="s">
        <v>61</v>
      </c>
      <c r="J39" s="39" t="s">
        <v>61</v>
      </c>
      <c r="K39" s="39" t="s">
        <v>61</v>
      </c>
      <c r="L39" s="39" t="s">
        <v>73</v>
      </c>
      <c r="M39" s="39" t="s">
        <v>73</v>
      </c>
      <c r="N39" s="39" t="s">
        <v>73</v>
      </c>
      <c r="O39" s="36" t="s">
        <v>73</v>
      </c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</row>
    <row r="40" spans="1:30" x14ac:dyDescent="0.25">
      <c r="B40" s="43"/>
      <c r="C40" s="43"/>
      <c r="D40" s="12">
        <v>4</v>
      </c>
      <c r="E40" s="12">
        <v>4</v>
      </c>
      <c r="F40" s="30">
        <v>4</v>
      </c>
      <c r="G40" s="30">
        <v>4</v>
      </c>
      <c r="H40" s="30">
        <v>5</v>
      </c>
      <c r="I40" s="30">
        <v>5</v>
      </c>
      <c r="J40" s="30">
        <v>5</v>
      </c>
      <c r="K40" s="30">
        <v>5</v>
      </c>
      <c r="L40" s="30">
        <v>6</v>
      </c>
      <c r="M40" s="30">
        <v>6</v>
      </c>
      <c r="N40" s="30">
        <v>6</v>
      </c>
      <c r="O40" s="72">
        <v>6</v>
      </c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</row>
    <row r="41" spans="1:30" ht="38.25" x14ac:dyDescent="0.25">
      <c r="B41" s="76" t="s">
        <v>64</v>
      </c>
      <c r="C41" s="76" t="s">
        <v>64</v>
      </c>
      <c r="D41" s="61" t="s">
        <v>271</v>
      </c>
      <c r="E41" s="61" t="s">
        <v>268</v>
      </c>
      <c r="F41" s="66" t="s">
        <v>269</v>
      </c>
      <c r="G41" s="66" t="s">
        <v>270</v>
      </c>
      <c r="H41" s="61" t="s">
        <v>271</v>
      </c>
      <c r="I41" s="61" t="s">
        <v>268</v>
      </c>
      <c r="J41" s="66" t="s">
        <v>269</v>
      </c>
      <c r="K41" s="66" t="s">
        <v>270</v>
      </c>
      <c r="L41" s="61" t="s">
        <v>271</v>
      </c>
      <c r="M41" s="61" t="s">
        <v>268</v>
      </c>
      <c r="N41" s="66" t="s">
        <v>269</v>
      </c>
      <c r="O41" s="70" t="s">
        <v>270</v>
      </c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</row>
    <row r="42" spans="1:30" ht="25.5" x14ac:dyDescent="0.25">
      <c r="B42" s="76"/>
      <c r="C42" s="76"/>
      <c r="D42" s="67" t="s">
        <v>316</v>
      </c>
      <c r="E42" s="67" t="s">
        <v>317</v>
      </c>
      <c r="F42" s="67" t="s">
        <v>318</v>
      </c>
      <c r="G42" s="67" t="s">
        <v>319</v>
      </c>
      <c r="H42" s="67" t="s">
        <v>320</v>
      </c>
      <c r="I42" s="67" t="s">
        <v>321</v>
      </c>
      <c r="J42" s="67" t="s">
        <v>322</v>
      </c>
      <c r="K42" s="67" t="s">
        <v>323</v>
      </c>
      <c r="L42" s="67" t="s">
        <v>324</v>
      </c>
      <c r="M42" s="67" t="s">
        <v>325</v>
      </c>
      <c r="N42" s="67" t="s">
        <v>326</v>
      </c>
      <c r="O42" s="71" t="s">
        <v>327</v>
      </c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</row>
    <row r="43" spans="1:30" ht="26.25" x14ac:dyDescent="0.25">
      <c r="B43" s="81" t="s">
        <v>47</v>
      </c>
      <c r="C43" s="85">
        <v>3</v>
      </c>
      <c r="D43" s="173">
        <v>0</v>
      </c>
      <c r="E43" s="173">
        <v>0</v>
      </c>
      <c r="F43" s="173">
        <v>0</v>
      </c>
      <c r="G43" s="174">
        <v>0</v>
      </c>
      <c r="H43" s="173">
        <v>0</v>
      </c>
      <c r="I43" s="173">
        <v>0</v>
      </c>
      <c r="J43" s="173">
        <v>0</v>
      </c>
      <c r="K43" s="174">
        <v>0</v>
      </c>
      <c r="L43" s="173">
        <v>0</v>
      </c>
      <c r="M43" s="173">
        <v>0</v>
      </c>
      <c r="N43" s="173">
        <v>0</v>
      </c>
      <c r="O43" s="175">
        <v>0</v>
      </c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</row>
    <row r="44" spans="1:30" ht="26.25" x14ac:dyDescent="0.25">
      <c r="B44" s="82" t="s">
        <v>43</v>
      </c>
      <c r="C44" s="82">
        <v>12</v>
      </c>
      <c r="D44" s="173">
        <v>0</v>
      </c>
      <c r="E44" s="173">
        <v>0</v>
      </c>
      <c r="F44" s="173">
        <v>0</v>
      </c>
      <c r="G44" s="174">
        <v>0</v>
      </c>
      <c r="H44" s="173">
        <v>0</v>
      </c>
      <c r="I44" s="173">
        <v>0</v>
      </c>
      <c r="J44" s="173">
        <v>0</v>
      </c>
      <c r="K44" s="174">
        <v>0</v>
      </c>
      <c r="L44" s="173">
        <v>0</v>
      </c>
      <c r="M44" s="179">
        <f>((3*10^6)/60)</f>
        <v>50000</v>
      </c>
      <c r="N44" s="174">
        <f>(L44+M44)/2</f>
        <v>25000</v>
      </c>
      <c r="O44" s="175">
        <f>N44</f>
        <v>25000</v>
      </c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</row>
    <row r="45" spans="1:30" ht="26.25" x14ac:dyDescent="0.25">
      <c r="B45" s="83" t="s">
        <v>44</v>
      </c>
      <c r="C45" s="83">
        <v>13</v>
      </c>
      <c r="D45" s="176">
        <v>0</v>
      </c>
      <c r="E45" s="176">
        <v>3150000</v>
      </c>
      <c r="F45" s="177">
        <f t="shared" ref="F45" si="1">(D45+E45)/2</f>
        <v>1575000</v>
      </c>
      <c r="G45" s="177">
        <f>F45</f>
        <v>1575000</v>
      </c>
      <c r="H45" s="176">
        <v>0</v>
      </c>
      <c r="I45" s="180">
        <v>125</v>
      </c>
      <c r="J45" s="177">
        <f t="shared" ref="J45" si="2">(H45+I45)/2</f>
        <v>62.5</v>
      </c>
      <c r="K45" s="177">
        <f>J45</f>
        <v>62.5</v>
      </c>
      <c r="L45" s="180">
        <f>((2.5*10^5)/5)</f>
        <v>50000</v>
      </c>
      <c r="M45" s="180">
        <f>((1*10^6)/20)</f>
        <v>50000</v>
      </c>
      <c r="N45" s="177">
        <f t="shared" ref="N45" si="3">(L45+M45)/2</f>
        <v>50000</v>
      </c>
      <c r="O45" s="178">
        <f>N45</f>
        <v>50000</v>
      </c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</row>
    <row r="46" spans="1:30" s="222" customFormat="1" x14ac:dyDescent="0.25">
      <c r="B46" s="242" t="s">
        <v>126</v>
      </c>
    </row>
    <row r="47" spans="1:30" s="222" customFormat="1" x14ac:dyDescent="0.25">
      <c r="B47" s="242" t="s">
        <v>68</v>
      </c>
    </row>
    <row r="48" spans="1:30" s="222" customFormat="1" x14ac:dyDescent="0.25"/>
    <row r="49" s="222" customFormat="1" x14ac:dyDescent="0.25"/>
    <row r="50" s="222" customFormat="1" x14ac:dyDescent="0.25"/>
    <row r="51" s="222" customFormat="1" x14ac:dyDescent="0.25"/>
    <row r="52" s="222" customFormat="1" x14ac:dyDescent="0.25"/>
    <row r="53" s="222" customFormat="1" x14ac:dyDescent="0.25"/>
    <row r="54" s="222" customFormat="1" x14ac:dyDescent="0.25"/>
    <row r="55" s="222" customFormat="1" x14ac:dyDescent="0.25"/>
    <row r="56" s="222" customFormat="1" x14ac:dyDescent="0.25"/>
    <row r="57" s="222" customFormat="1" x14ac:dyDescent="0.25"/>
    <row r="58" s="222" customFormat="1" x14ac:dyDescent="0.25"/>
    <row r="59" s="222" customFormat="1" x14ac:dyDescent="0.25"/>
    <row r="60" s="222" customFormat="1" x14ac:dyDescent="0.25"/>
    <row r="61" s="222" customFormat="1" x14ac:dyDescent="0.25"/>
    <row r="62" s="222" customFormat="1" x14ac:dyDescent="0.25"/>
    <row r="63" s="222" customFormat="1" x14ac:dyDescent="0.25"/>
    <row r="64" s="222" customFormat="1" x14ac:dyDescent="0.25"/>
    <row r="65" s="222" customFormat="1" x14ac:dyDescent="0.25"/>
    <row r="66" s="222" customFormat="1" x14ac:dyDescent="0.25"/>
    <row r="67" s="222" customFormat="1" x14ac:dyDescent="0.25"/>
    <row r="68" s="222" customFormat="1" x14ac:dyDescent="0.25"/>
    <row r="69" s="222" customFormat="1" x14ac:dyDescent="0.25"/>
    <row r="70" s="222" customFormat="1" x14ac:dyDescent="0.25"/>
    <row r="71" s="222" customFormat="1" x14ac:dyDescent="0.25"/>
    <row r="72" s="222" customFormat="1" x14ac:dyDescent="0.25"/>
    <row r="73" s="222" customFormat="1" x14ac:dyDescent="0.25"/>
    <row r="74" s="222" customFormat="1" x14ac:dyDescent="0.25"/>
    <row r="75" s="222" customFormat="1" x14ac:dyDescent="0.25"/>
    <row r="76" s="222" customFormat="1" x14ac:dyDescent="0.25"/>
    <row r="77" s="222" customFormat="1" x14ac:dyDescent="0.25"/>
    <row r="78" s="222" customFormat="1" x14ac:dyDescent="0.25"/>
    <row r="79" s="222" customFormat="1" x14ac:dyDescent="0.25"/>
    <row r="80" s="222" customFormat="1" x14ac:dyDescent="0.25"/>
    <row r="81" s="222" customFormat="1" x14ac:dyDescent="0.25"/>
    <row r="82" s="222" customFormat="1" x14ac:dyDescent="0.25"/>
    <row r="83" s="222" customFormat="1" x14ac:dyDescent="0.25"/>
    <row r="84" s="222" customFormat="1" x14ac:dyDescent="0.25"/>
    <row r="85" s="222" customFormat="1" x14ac:dyDescent="0.25"/>
    <row r="86" s="222" customFormat="1" x14ac:dyDescent="0.25"/>
    <row r="87" s="222" customFormat="1" x14ac:dyDescent="0.25"/>
    <row r="88" s="222" customFormat="1" x14ac:dyDescent="0.25"/>
    <row r="89" s="222" customFormat="1" x14ac:dyDescent="0.25"/>
    <row r="90" s="222" customFormat="1" x14ac:dyDescent="0.25"/>
    <row r="91" s="222" customFormat="1" x14ac:dyDescent="0.25"/>
    <row r="92" s="222" customFormat="1" x14ac:dyDescent="0.25"/>
    <row r="93" s="222" customFormat="1" x14ac:dyDescent="0.25"/>
    <row r="94" s="222" customFormat="1" x14ac:dyDescent="0.25"/>
    <row r="95" s="222" customFormat="1" x14ac:dyDescent="0.25"/>
    <row r="96" s="222" customFormat="1" x14ac:dyDescent="0.25"/>
    <row r="97" s="222" customFormat="1" x14ac:dyDescent="0.25"/>
    <row r="98" s="222" customFormat="1" x14ac:dyDescent="0.25"/>
    <row r="99" s="222" customFormat="1" x14ac:dyDescent="0.25"/>
    <row r="100" s="222" customFormat="1" x14ac:dyDescent="0.25"/>
    <row r="101" s="222" customFormat="1" x14ac:dyDescent="0.25"/>
    <row r="102" s="222" customFormat="1" x14ac:dyDescent="0.25"/>
    <row r="103" s="222" customFormat="1" x14ac:dyDescent="0.25"/>
    <row r="104" s="222" customFormat="1" x14ac:dyDescent="0.25"/>
    <row r="105" s="222" customFormat="1" x14ac:dyDescent="0.25"/>
    <row r="106" s="222" customFormat="1" x14ac:dyDescent="0.25"/>
    <row r="107" s="222" customFormat="1" x14ac:dyDescent="0.25"/>
    <row r="108" s="222" customFormat="1" x14ac:dyDescent="0.25"/>
    <row r="109" s="222" customFormat="1" x14ac:dyDescent="0.25"/>
    <row r="110" s="222" customFormat="1" x14ac:dyDescent="0.25"/>
    <row r="111" s="222" customFormat="1" x14ac:dyDescent="0.25"/>
    <row r="112" s="222" customFormat="1" x14ac:dyDescent="0.25"/>
    <row r="113" s="222" customFormat="1" x14ac:dyDescent="0.25"/>
    <row r="114" s="222" customFormat="1" x14ac:dyDescent="0.25"/>
    <row r="115" s="222" customFormat="1" x14ac:dyDescent="0.25"/>
    <row r="116" s="222" customFormat="1" x14ac:dyDescent="0.25"/>
    <row r="117" s="222" customFormat="1" x14ac:dyDescent="0.25"/>
    <row r="118" s="222" customFormat="1" x14ac:dyDescent="0.25"/>
    <row r="119" s="222" customFormat="1" x14ac:dyDescent="0.25"/>
    <row r="120" s="222" customFormat="1" x14ac:dyDescent="0.25"/>
    <row r="121" s="222" customFormat="1" x14ac:dyDescent="0.25"/>
    <row r="122" s="222" customFormat="1" x14ac:dyDescent="0.25"/>
    <row r="123" s="222" customFormat="1" x14ac:dyDescent="0.25"/>
    <row r="124" s="222" customFormat="1" x14ac:dyDescent="0.25"/>
    <row r="125" s="222" customFormat="1" x14ac:dyDescent="0.25"/>
    <row r="126" s="222" customFormat="1" x14ac:dyDescent="0.25"/>
    <row r="127" s="222" customFormat="1" x14ac:dyDescent="0.25"/>
    <row r="128" s="222" customFormat="1" x14ac:dyDescent="0.25"/>
    <row r="129" s="222" customFormat="1" x14ac:dyDescent="0.25"/>
    <row r="130" s="222" customFormat="1" x14ac:dyDescent="0.25"/>
    <row r="131" s="222" customFormat="1" x14ac:dyDescent="0.25"/>
    <row r="132" s="222" customFormat="1" x14ac:dyDescent="0.25"/>
    <row r="133" s="222" customFormat="1" x14ac:dyDescent="0.25"/>
  </sheetData>
  <mergeCells count="1">
    <mergeCell ref="F15:I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2"/>
  <sheetViews>
    <sheetView workbookViewId="0"/>
  </sheetViews>
  <sheetFormatPr defaultColWidth="25.7109375" defaultRowHeight="15" x14ac:dyDescent="0.25"/>
  <sheetData>
    <row r="1" spans="1:16" x14ac:dyDescent="0.25">
      <c r="A1" t="s">
        <v>144</v>
      </c>
      <c r="B1" t="s">
        <v>145</v>
      </c>
    </row>
    <row r="2" spans="1:16" x14ac:dyDescent="0.25">
      <c r="A2" t="s">
        <v>146</v>
      </c>
      <c r="B2" t="s">
        <v>147</v>
      </c>
    </row>
    <row r="3" spans="1:16" x14ac:dyDescent="0.25">
      <c r="A3" t="s">
        <v>148</v>
      </c>
      <c r="B3" t="s">
        <v>147</v>
      </c>
    </row>
    <row r="4" spans="1:16" x14ac:dyDescent="0.25">
      <c r="A4" t="s">
        <v>149</v>
      </c>
      <c r="B4" t="s">
        <v>340</v>
      </c>
    </row>
    <row r="9" spans="1:16" x14ac:dyDescent="0.25">
      <c r="A9" t="s">
        <v>150</v>
      </c>
      <c r="B9">
        <v>2</v>
      </c>
    </row>
    <row r="10" spans="1:16" x14ac:dyDescent="0.25">
      <c r="A10" t="s">
        <v>151</v>
      </c>
      <c r="B10" t="s">
        <v>152</v>
      </c>
      <c r="C10" t="s">
        <v>153</v>
      </c>
      <c r="D10" t="s">
        <v>154</v>
      </c>
      <c r="E10" t="s">
        <v>155</v>
      </c>
      <c r="F10" t="s">
        <v>156</v>
      </c>
      <c r="G10" t="s">
        <v>157</v>
      </c>
      <c r="H10" t="s">
        <v>158</v>
      </c>
      <c r="I10" t="s">
        <v>159</v>
      </c>
    </row>
    <row r="11" spans="1:16" x14ac:dyDescent="0.25">
      <c r="A11" t="s">
        <v>160</v>
      </c>
      <c r="B11" s="171" t="s">
        <v>161</v>
      </c>
      <c r="C11" t="e">
        <f>Model!$J$13:$J$22</f>
        <v>#VALUE!</v>
      </c>
      <c r="D11">
        <v>0</v>
      </c>
      <c r="E11" s="171" t="s">
        <v>162</v>
      </c>
      <c r="F11" t="s">
        <v>163</v>
      </c>
      <c r="J11" t="s">
        <v>168</v>
      </c>
      <c r="K11" t="s">
        <v>169</v>
      </c>
      <c r="O11">
        <v>4</v>
      </c>
      <c r="P11" t="b">
        <v>0</v>
      </c>
    </row>
    <row r="12" spans="1:16" x14ac:dyDescent="0.25">
      <c r="A12" t="s">
        <v>164</v>
      </c>
      <c r="B12" s="171" t="s">
        <v>165</v>
      </c>
      <c r="C12" t="e">
        <f>Model!$E$10:$I$19</f>
        <v>#VALUE!</v>
      </c>
      <c r="D12">
        <v>0</v>
      </c>
      <c r="E12" s="171" t="s">
        <v>166</v>
      </c>
      <c r="F12" t="s">
        <v>167</v>
      </c>
      <c r="J12" t="s">
        <v>168</v>
      </c>
      <c r="K12" t="s">
        <v>169</v>
      </c>
      <c r="O12">
        <v>4</v>
      </c>
      <c r="P12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AT142"/>
  <sheetViews>
    <sheetView workbookViewId="0"/>
  </sheetViews>
  <sheetFormatPr defaultRowHeight="15" x14ac:dyDescent="0.25"/>
  <cols>
    <col min="1" max="1" width="4.28515625" style="222" customWidth="1"/>
    <col min="6" max="6" width="30.85546875" style="184" customWidth="1"/>
    <col min="7" max="7" width="39.140625" style="184" customWidth="1"/>
    <col min="8" max="10" width="9.140625" style="222"/>
    <col min="11" max="11" width="9.5703125" style="222" bestFit="1" customWidth="1"/>
    <col min="12" max="27" width="9.140625" style="222"/>
    <col min="28" max="28" width="12" style="222" bestFit="1" customWidth="1"/>
    <col min="29" max="31" width="9.140625" style="222"/>
    <col min="32" max="32" width="8.28515625" style="222" customWidth="1"/>
    <col min="33" max="33" width="9.140625" style="222"/>
    <col min="34" max="34" width="9.5703125" style="222" bestFit="1" customWidth="1"/>
    <col min="35" max="36" width="9.140625" style="222"/>
  </cols>
  <sheetData>
    <row r="1" spans="2:46" s="222" customFormat="1" ht="18" x14ac:dyDescent="0.25">
      <c r="B1" s="221" t="s">
        <v>131</v>
      </c>
      <c r="F1" s="273"/>
      <c r="G1" s="273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59"/>
      <c r="AC1" s="268"/>
      <c r="AD1" s="224"/>
      <c r="AE1" s="259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</row>
    <row r="2" spans="2:46" s="222" customFormat="1" x14ac:dyDescent="0.25">
      <c r="B2" s="222" t="s">
        <v>129</v>
      </c>
      <c r="F2" s="273"/>
      <c r="G2" s="273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</row>
    <row r="3" spans="2:46" s="222" customFormat="1" x14ac:dyDescent="0.25">
      <c r="B3" s="237" t="s">
        <v>130</v>
      </c>
      <c r="F3" s="273"/>
      <c r="G3" s="273"/>
      <c r="H3" s="269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</row>
    <row r="4" spans="2:46" s="222" customFormat="1" x14ac:dyDescent="0.25">
      <c r="F4" s="273"/>
      <c r="G4" s="273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4"/>
      <c r="AG4" s="224"/>
      <c r="AH4" s="224"/>
      <c r="AI4" s="224"/>
      <c r="AJ4" s="224"/>
      <c r="AK4" s="224"/>
      <c r="AL4" s="224"/>
      <c r="AM4" s="224"/>
      <c r="AN4" s="224"/>
      <c r="AO4" s="224"/>
      <c r="AP4" s="224"/>
      <c r="AQ4" s="224"/>
      <c r="AR4" s="224"/>
      <c r="AS4" s="224"/>
      <c r="AT4" s="224"/>
    </row>
    <row r="5" spans="2:46" x14ac:dyDescent="0.25">
      <c r="B5" s="1"/>
      <c r="C5" s="2"/>
      <c r="D5" s="2"/>
      <c r="E5" s="2"/>
      <c r="F5" s="198" t="s">
        <v>100</v>
      </c>
      <c r="G5" s="202" t="s">
        <v>101</v>
      </c>
      <c r="H5" s="270"/>
      <c r="I5" s="228"/>
      <c r="J5" s="228"/>
      <c r="K5" s="228"/>
      <c r="L5" s="228"/>
      <c r="M5" s="228"/>
      <c r="N5" s="228"/>
      <c r="O5" s="270"/>
      <c r="P5" s="270"/>
      <c r="Q5" s="270"/>
      <c r="R5" s="270"/>
      <c r="S5" s="270"/>
      <c r="T5" s="270"/>
      <c r="U5" s="270"/>
      <c r="V5" s="270"/>
      <c r="W5" s="270"/>
      <c r="X5" s="270"/>
      <c r="Y5" s="270"/>
      <c r="Z5" s="270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8"/>
      <c r="AL5" s="8"/>
      <c r="AM5" s="8"/>
      <c r="AN5" s="8"/>
      <c r="AO5" s="8"/>
      <c r="AP5" s="8"/>
      <c r="AQ5" s="8"/>
      <c r="AR5" s="8"/>
      <c r="AS5" s="8"/>
      <c r="AT5" s="8"/>
    </row>
    <row r="6" spans="2:46" x14ac:dyDescent="0.25">
      <c r="B6" s="10"/>
      <c r="C6" s="8"/>
      <c r="D6" s="8"/>
      <c r="E6" s="8"/>
      <c r="F6" s="199" t="s">
        <v>328</v>
      </c>
      <c r="G6" s="200" t="s">
        <v>328</v>
      </c>
      <c r="H6" s="270"/>
      <c r="I6" s="228"/>
      <c r="J6" s="228"/>
      <c r="K6" s="228"/>
      <c r="L6" s="228"/>
      <c r="M6" s="228"/>
      <c r="N6" s="228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8"/>
      <c r="AL6" s="8"/>
      <c r="AM6" s="8"/>
      <c r="AN6" s="8"/>
      <c r="AO6" s="8"/>
      <c r="AP6" s="8"/>
      <c r="AQ6" s="8"/>
      <c r="AR6" s="8"/>
      <c r="AS6" s="8"/>
      <c r="AT6" s="8"/>
    </row>
    <row r="7" spans="2:46" x14ac:dyDescent="0.25">
      <c r="B7" s="10"/>
      <c r="C7" s="8"/>
      <c r="D7" s="8"/>
      <c r="E7" s="8" t="s">
        <v>102</v>
      </c>
      <c r="F7" s="200"/>
      <c r="G7" s="200"/>
      <c r="H7" s="228"/>
      <c r="I7" s="228"/>
      <c r="J7" s="228"/>
      <c r="K7" s="228"/>
      <c r="L7" s="228"/>
      <c r="M7" s="228"/>
      <c r="N7" s="228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8"/>
      <c r="AL7" s="8"/>
      <c r="AM7" s="8"/>
      <c r="AN7" s="8"/>
      <c r="AO7" s="8"/>
      <c r="AP7" s="8"/>
      <c r="AQ7" s="8"/>
      <c r="AR7" s="8"/>
      <c r="AS7" s="8"/>
      <c r="AT7" s="8"/>
    </row>
    <row r="8" spans="2:46" x14ac:dyDescent="0.25">
      <c r="B8" s="10"/>
      <c r="C8" s="8"/>
      <c r="D8" s="8"/>
      <c r="E8" s="16" t="s">
        <v>37</v>
      </c>
      <c r="F8" s="200" t="s">
        <v>105</v>
      </c>
      <c r="G8" s="200" t="s">
        <v>335</v>
      </c>
      <c r="H8" s="228"/>
      <c r="I8" s="228"/>
      <c r="J8" s="228"/>
      <c r="K8" s="228"/>
      <c r="L8" s="228"/>
      <c r="M8" s="228"/>
      <c r="N8" s="228"/>
      <c r="O8" s="270"/>
      <c r="P8" s="270"/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24"/>
      <c r="AB8" s="224"/>
      <c r="AC8" s="224"/>
      <c r="AD8" s="224"/>
      <c r="AE8" s="224"/>
      <c r="AF8" s="224"/>
      <c r="AG8" s="224"/>
      <c r="AH8" s="224"/>
      <c r="AI8" s="224"/>
      <c r="AJ8" s="224"/>
      <c r="AK8" s="8"/>
      <c r="AL8" s="8"/>
      <c r="AM8" s="8"/>
      <c r="AN8" s="8"/>
      <c r="AO8" s="8"/>
      <c r="AP8" s="8"/>
      <c r="AQ8" s="8"/>
      <c r="AR8" s="8"/>
      <c r="AS8" s="8"/>
      <c r="AT8" s="8"/>
    </row>
    <row r="9" spans="2:46" x14ac:dyDescent="0.25">
      <c r="B9" s="10" t="s">
        <v>106</v>
      </c>
      <c r="C9" s="8"/>
      <c r="D9" s="8"/>
      <c r="E9" s="16">
        <v>1</v>
      </c>
      <c r="F9" s="200">
        <f ca="1">_xll.RiskMean(Inf_1,1)</f>
        <v>0</v>
      </c>
      <c r="G9" s="200">
        <f ca="1">_xll.RiskMean(Inf_yr_1,1)</f>
        <v>0</v>
      </c>
      <c r="H9" s="228"/>
      <c r="I9" s="228"/>
      <c r="J9" s="228"/>
      <c r="K9" s="228"/>
      <c r="L9" s="228"/>
      <c r="M9" s="228"/>
      <c r="N9" s="228"/>
      <c r="O9" s="270"/>
      <c r="P9" s="270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2:46" x14ac:dyDescent="0.25">
      <c r="B10" s="10" t="s">
        <v>107</v>
      </c>
      <c r="C10" s="8"/>
      <c r="D10" s="8"/>
      <c r="E10" s="16">
        <v>2</v>
      </c>
      <c r="F10" s="200">
        <f ca="1">_xll.RiskMean(Inf_2,1)</f>
        <v>0</v>
      </c>
      <c r="G10" s="200">
        <f ca="1">_xll.RiskMean(Inf_yr_2,1)</f>
        <v>0</v>
      </c>
      <c r="H10" s="228"/>
      <c r="I10" s="228"/>
      <c r="J10" s="228"/>
      <c r="K10" s="228"/>
      <c r="L10" s="228"/>
      <c r="M10" s="228"/>
      <c r="N10" s="228"/>
      <c r="O10" s="270"/>
      <c r="P10" s="270"/>
      <c r="Q10" s="270"/>
      <c r="R10" s="270"/>
      <c r="S10" s="270"/>
      <c r="T10" s="270"/>
      <c r="U10" s="270"/>
      <c r="V10" s="270"/>
      <c r="W10" s="270"/>
      <c r="X10" s="270"/>
      <c r="Y10" s="270"/>
      <c r="Z10" s="270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2:46" x14ac:dyDescent="0.25">
      <c r="B11" s="10" t="s">
        <v>108</v>
      </c>
      <c r="C11" s="8"/>
      <c r="D11" s="8"/>
      <c r="E11" s="16">
        <v>3</v>
      </c>
      <c r="F11" s="200">
        <f ca="1">_xll.RiskMean(Inf_3,1)</f>
        <v>51106.117397040573</v>
      </c>
      <c r="G11" s="200">
        <f ca="1">_xll.RiskMean(Inf_yr_3,1)</f>
        <v>0</v>
      </c>
      <c r="H11" s="228"/>
      <c r="I11" s="228"/>
      <c r="J11" s="228"/>
      <c r="K11" s="228"/>
      <c r="L11" s="228"/>
      <c r="M11" s="228"/>
      <c r="N11" s="228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2:46" x14ac:dyDescent="0.25">
      <c r="B12" s="10" t="s">
        <v>109</v>
      </c>
      <c r="C12" s="8"/>
      <c r="D12" s="8"/>
      <c r="E12" s="16">
        <v>4</v>
      </c>
      <c r="F12" s="200">
        <f ca="1">_xll.RiskMean(Inf_4,1)</f>
        <v>0</v>
      </c>
      <c r="G12" s="200">
        <f ca="1">_xll.RiskMean(Inf_yr_4,1)</f>
        <v>0</v>
      </c>
      <c r="H12" s="228"/>
      <c r="I12" s="228"/>
      <c r="J12" s="228"/>
      <c r="K12" s="228"/>
      <c r="L12" s="228"/>
      <c r="M12" s="228"/>
      <c r="N12" s="228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2:46" x14ac:dyDescent="0.25">
      <c r="B13" s="10" t="s">
        <v>110</v>
      </c>
      <c r="C13" s="8"/>
      <c r="D13" s="8"/>
      <c r="E13" s="16">
        <v>5</v>
      </c>
      <c r="F13" s="200">
        <f ca="1">_xll.RiskMean(Inf_5,1)</f>
        <v>0</v>
      </c>
      <c r="G13" s="200">
        <f ca="1">_xll.RiskMean(Inf_yr_5,1)</f>
        <v>0</v>
      </c>
      <c r="H13" s="228"/>
      <c r="I13" s="228"/>
      <c r="J13" s="228"/>
      <c r="K13" s="228"/>
      <c r="L13" s="228"/>
      <c r="M13" s="228"/>
      <c r="N13" s="228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8"/>
      <c r="AL13" s="8"/>
      <c r="AM13" s="8"/>
      <c r="AN13" s="8"/>
      <c r="AO13" s="8"/>
      <c r="AP13" s="8"/>
      <c r="AQ13" s="8"/>
      <c r="AR13" s="8"/>
      <c r="AS13" s="8"/>
      <c r="AT13" s="8"/>
    </row>
    <row r="14" spans="2:46" x14ac:dyDescent="0.25">
      <c r="B14" s="4" t="s">
        <v>111</v>
      </c>
      <c r="C14" s="5"/>
      <c r="D14" s="5"/>
      <c r="E14" s="168">
        <v>6</v>
      </c>
      <c r="F14" s="201">
        <f ca="1">_xll.RiskMean(Inf_6,1)</f>
        <v>0</v>
      </c>
      <c r="G14" s="201">
        <f ca="1">_xll.RiskMean(Inf_yr_6,1)</f>
        <v>0</v>
      </c>
      <c r="H14" s="228"/>
      <c r="I14" s="228"/>
      <c r="J14" s="228"/>
      <c r="K14" s="228"/>
      <c r="L14" s="228"/>
      <c r="M14" s="228"/>
      <c r="N14" s="228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8"/>
      <c r="AL14" s="8"/>
      <c r="AM14" s="8"/>
      <c r="AN14" s="8"/>
      <c r="AO14" s="8"/>
      <c r="AP14" s="8"/>
      <c r="AQ14" s="8"/>
      <c r="AR14" s="8"/>
      <c r="AS14" s="8"/>
      <c r="AT14" s="8"/>
    </row>
    <row r="15" spans="2:46" s="222" customFormat="1" x14ac:dyDescent="0.25">
      <c r="F15" s="273"/>
      <c r="G15" s="273"/>
      <c r="H15" s="228"/>
      <c r="I15" s="228"/>
      <c r="J15" s="228"/>
      <c r="K15" s="228"/>
      <c r="L15" s="228"/>
      <c r="M15" s="228"/>
      <c r="N15" s="228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224"/>
      <c r="AQ15" s="224"/>
      <c r="AR15" s="224"/>
      <c r="AS15" s="224"/>
      <c r="AT15" s="224"/>
    </row>
    <row r="16" spans="2:46" s="222" customFormat="1" x14ac:dyDescent="0.25">
      <c r="B16" s="263" t="s">
        <v>132</v>
      </c>
      <c r="F16" s="273"/>
      <c r="G16" s="273"/>
      <c r="H16" s="228"/>
      <c r="I16" s="228"/>
      <c r="J16" s="228"/>
      <c r="K16" s="228"/>
      <c r="L16" s="228"/>
      <c r="M16" s="228"/>
      <c r="N16" s="228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</row>
    <row r="17" spans="2:46" x14ac:dyDescent="0.25">
      <c r="B17" s="1"/>
      <c r="C17" s="2"/>
      <c r="D17" s="2"/>
      <c r="E17" s="2"/>
      <c r="F17" s="198" t="s">
        <v>100</v>
      </c>
      <c r="G17" s="202" t="s">
        <v>101</v>
      </c>
      <c r="H17" s="228"/>
      <c r="I17" s="228"/>
      <c r="J17" s="228"/>
      <c r="K17" s="228"/>
      <c r="L17" s="228"/>
      <c r="M17" s="228"/>
      <c r="N17" s="228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8"/>
      <c r="AL17" s="8"/>
      <c r="AM17" s="8"/>
      <c r="AN17" s="8"/>
      <c r="AO17" s="8"/>
      <c r="AP17" s="8"/>
      <c r="AQ17" s="8"/>
      <c r="AR17" s="8"/>
      <c r="AS17" s="8"/>
      <c r="AT17" s="8"/>
    </row>
    <row r="18" spans="2:46" x14ac:dyDescent="0.25">
      <c r="B18" s="10"/>
      <c r="C18" s="8"/>
      <c r="D18" s="8"/>
      <c r="E18" s="8"/>
      <c r="F18" s="199" t="s">
        <v>328</v>
      </c>
      <c r="G18" s="200" t="s">
        <v>328</v>
      </c>
      <c r="H18" s="228"/>
      <c r="I18" s="228"/>
      <c r="J18" s="228"/>
      <c r="K18" s="228"/>
      <c r="L18" s="228"/>
      <c r="M18" s="228"/>
      <c r="N18" s="228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8"/>
      <c r="AL18" s="8"/>
      <c r="AM18" s="8"/>
      <c r="AN18" s="8"/>
      <c r="AO18" s="8"/>
      <c r="AP18" s="8"/>
      <c r="AQ18" s="8"/>
      <c r="AR18" s="8"/>
      <c r="AS18" s="8"/>
      <c r="AT18" s="8"/>
    </row>
    <row r="19" spans="2:46" x14ac:dyDescent="0.25">
      <c r="B19" s="10"/>
      <c r="C19" s="8"/>
      <c r="D19" s="8"/>
      <c r="E19" s="8" t="s">
        <v>102</v>
      </c>
      <c r="F19" s="200"/>
      <c r="G19" s="200"/>
      <c r="H19" s="228"/>
      <c r="I19" s="228"/>
      <c r="J19" s="228"/>
      <c r="K19" s="228"/>
      <c r="L19" s="228"/>
      <c r="M19" s="228"/>
      <c r="N19" s="228"/>
      <c r="O19" s="270"/>
      <c r="P19" s="270"/>
      <c r="Q19" s="270"/>
      <c r="R19" s="270"/>
      <c r="S19" s="270"/>
      <c r="T19" s="270"/>
      <c r="U19" s="270"/>
      <c r="V19" s="270"/>
      <c r="W19" s="270"/>
      <c r="X19" s="270"/>
      <c r="Y19" s="270"/>
      <c r="Z19" s="270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8"/>
      <c r="AL19" s="8"/>
      <c r="AM19" s="8"/>
      <c r="AN19" s="8"/>
      <c r="AO19" s="8"/>
      <c r="AP19" s="8"/>
      <c r="AQ19" s="8"/>
      <c r="AR19" s="8"/>
      <c r="AS19" s="8"/>
      <c r="AT19" s="8"/>
    </row>
    <row r="20" spans="2:46" x14ac:dyDescent="0.25">
      <c r="B20" s="10"/>
      <c r="C20" s="8"/>
      <c r="D20" s="8"/>
      <c r="E20" s="16" t="s">
        <v>37</v>
      </c>
      <c r="F20" s="200" t="s">
        <v>105</v>
      </c>
      <c r="G20" s="200" t="s">
        <v>335</v>
      </c>
      <c r="H20" s="228"/>
      <c r="I20" s="228"/>
      <c r="J20" s="228"/>
      <c r="K20" s="228"/>
      <c r="L20" s="228"/>
      <c r="M20" s="228"/>
      <c r="N20" s="228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24"/>
      <c r="AB20" s="224"/>
      <c r="AC20" s="224"/>
      <c r="AD20" s="224"/>
      <c r="AE20" s="224"/>
      <c r="AF20" s="224"/>
      <c r="AG20" s="224"/>
      <c r="AH20" s="224"/>
      <c r="AI20" s="224"/>
      <c r="AJ20" s="224"/>
      <c r="AK20" s="8"/>
      <c r="AL20" s="8"/>
      <c r="AM20" s="8"/>
      <c r="AN20" s="8"/>
      <c r="AO20" s="8"/>
      <c r="AP20" s="8"/>
      <c r="AQ20" s="8"/>
      <c r="AR20" s="8"/>
      <c r="AS20" s="8"/>
      <c r="AT20" s="8"/>
    </row>
    <row r="21" spans="2:46" x14ac:dyDescent="0.25">
      <c r="B21" s="10" t="s">
        <v>106</v>
      </c>
      <c r="C21" s="8"/>
      <c r="D21" s="8"/>
      <c r="E21" s="16">
        <v>1</v>
      </c>
      <c r="F21" s="169">
        <f ca="1">_xll.RiskPercentile(Inf_1,0.025,1)</f>
        <v>0</v>
      </c>
      <c r="G21" s="200">
        <f ca="1">_xll.RiskPercentile(Inf_yr_1,0.025,1)</f>
        <v>0</v>
      </c>
      <c r="H21" s="228"/>
      <c r="I21" s="228"/>
      <c r="J21" s="228"/>
      <c r="K21" s="228"/>
      <c r="L21" s="228"/>
      <c r="M21" s="228"/>
      <c r="N21" s="228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8"/>
      <c r="AL21" s="8"/>
      <c r="AM21" s="8"/>
      <c r="AN21" s="8"/>
      <c r="AO21" s="8"/>
      <c r="AP21" s="8"/>
      <c r="AQ21" s="8"/>
      <c r="AR21" s="8"/>
      <c r="AS21" s="8"/>
      <c r="AT21" s="8"/>
    </row>
    <row r="22" spans="2:46" x14ac:dyDescent="0.25">
      <c r="B22" s="10" t="s">
        <v>107</v>
      </c>
      <c r="C22" s="8"/>
      <c r="D22" s="8"/>
      <c r="E22" s="16">
        <v>2</v>
      </c>
      <c r="F22" s="169">
        <f ca="1">_xll.RiskPercentile(Inf_2,0.025,1)</f>
        <v>0</v>
      </c>
      <c r="G22" s="200">
        <f ca="1">_xll.RiskPercentile(Inf_yr_2,0.025,1)</f>
        <v>0</v>
      </c>
      <c r="H22" s="228"/>
      <c r="I22" s="228"/>
      <c r="J22" s="228"/>
      <c r="K22" s="228"/>
      <c r="L22" s="228"/>
      <c r="M22" s="228"/>
      <c r="N22" s="228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24"/>
      <c r="AB22" s="224"/>
      <c r="AC22" s="224"/>
      <c r="AD22" s="224"/>
      <c r="AE22" s="224"/>
      <c r="AF22" s="224"/>
      <c r="AG22" s="224"/>
      <c r="AH22" s="224"/>
      <c r="AI22" s="224"/>
      <c r="AJ22" s="224"/>
      <c r="AK22" s="8"/>
      <c r="AL22" s="8"/>
      <c r="AM22" s="8"/>
      <c r="AN22" s="8"/>
      <c r="AO22" s="8"/>
      <c r="AP22" s="8"/>
      <c r="AQ22" s="8"/>
      <c r="AR22" s="8"/>
      <c r="AS22" s="8"/>
      <c r="AT22" s="8"/>
    </row>
    <row r="23" spans="2:46" x14ac:dyDescent="0.25">
      <c r="B23" s="10" t="s">
        <v>108</v>
      </c>
      <c r="C23" s="8"/>
      <c r="D23" s="8"/>
      <c r="E23" s="16">
        <v>3</v>
      </c>
      <c r="F23" s="169">
        <f ca="1">_xll.RiskPercentile(Inf_3,0.025,1)</f>
        <v>51106.117397040573</v>
      </c>
      <c r="G23" s="200">
        <f ca="1">_xll.RiskPercentile(Inf_yr_3,0.025,1)</f>
        <v>0</v>
      </c>
      <c r="H23" s="228"/>
      <c r="I23" s="228"/>
      <c r="J23" s="228"/>
      <c r="K23" s="228"/>
      <c r="L23" s="228"/>
      <c r="M23" s="228"/>
      <c r="N23" s="228"/>
      <c r="O23" s="270"/>
      <c r="P23" s="270"/>
      <c r="Q23" s="270"/>
      <c r="R23" s="270"/>
      <c r="S23" s="270"/>
      <c r="T23" s="270"/>
      <c r="U23" s="270"/>
      <c r="V23" s="270"/>
      <c r="W23" s="270"/>
      <c r="X23" s="270"/>
      <c r="Y23" s="270"/>
      <c r="Z23" s="270"/>
      <c r="AA23" s="224"/>
      <c r="AB23" s="224"/>
      <c r="AC23" s="224"/>
      <c r="AD23" s="224"/>
      <c r="AE23" s="224"/>
      <c r="AF23" s="224"/>
      <c r="AG23" s="224"/>
      <c r="AH23" s="224"/>
      <c r="AI23" s="224"/>
      <c r="AJ23" s="224"/>
      <c r="AK23" s="8"/>
      <c r="AL23" s="8"/>
      <c r="AM23" s="8"/>
      <c r="AN23" s="8"/>
      <c r="AO23" s="8"/>
      <c r="AP23" s="8"/>
      <c r="AQ23" s="8"/>
      <c r="AR23" s="8"/>
      <c r="AS23" s="8"/>
      <c r="AT23" s="8"/>
    </row>
    <row r="24" spans="2:46" x14ac:dyDescent="0.25">
      <c r="B24" s="10" t="s">
        <v>109</v>
      </c>
      <c r="C24" s="8"/>
      <c r="D24" s="8"/>
      <c r="E24" s="16">
        <v>4</v>
      </c>
      <c r="F24" s="169">
        <f ca="1">_xll.RiskPercentile(Inf_4,0.025,1)</f>
        <v>0</v>
      </c>
      <c r="G24" s="200">
        <f ca="1">_xll.RiskPercentile(Inf_yr_4,0.025,1)</f>
        <v>0</v>
      </c>
      <c r="H24" s="228"/>
      <c r="I24" s="228"/>
      <c r="J24" s="228"/>
      <c r="K24" s="228"/>
      <c r="L24" s="228"/>
      <c r="M24" s="228"/>
      <c r="N24" s="228"/>
      <c r="O24" s="270"/>
      <c r="P24" s="270"/>
      <c r="Q24" s="270"/>
      <c r="R24" s="270"/>
      <c r="S24" s="270"/>
      <c r="T24" s="270"/>
      <c r="U24" s="270"/>
      <c r="V24" s="270"/>
      <c r="W24" s="270"/>
      <c r="X24" s="270"/>
      <c r="Y24" s="270"/>
      <c r="Z24" s="270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8"/>
      <c r="AL24" s="8"/>
      <c r="AM24" s="8"/>
      <c r="AN24" s="8"/>
      <c r="AO24" s="8"/>
      <c r="AP24" s="8"/>
      <c r="AQ24" s="8"/>
      <c r="AR24" s="8"/>
      <c r="AS24" s="8"/>
      <c r="AT24" s="8"/>
    </row>
    <row r="25" spans="2:46" x14ac:dyDescent="0.25">
      <c r="B25" s="10" t="s">
        <v>110</v>
      </c>
      <c r="C25" s="8"/>
      <c r="D25" s="8"/>
      <c r="E25" s="16">
        <v>5</v>
      </c>
      <c r="F25" s="169">
        <f ca="1">_xll.RiskPercentile(Inf_5,0.025,1)</f>
        <v>0</v>
      </c>
      <c r="G25" s="200">
        <f ca="1">_xll.RiskPercentile(Inf_yr_5,0.025,1)</f>
        <v>0</v>
      </c>
      <c r="H25" s="228"/>
      <c r="I25" s="228"/>
      <c r="J25" s="228"/>
      <c r="K25" s="228"/>
      <c r="L25" s="228"/>
      <c r="M25" s="228"/>
      <c r="N25" s="228"/>
      <c r="O25" s="270"/>
      <c r="P25" s="270"/>
      <c r="Q25" s="270"/>
      <c r="R25" s="270"/>
      <c r="S25" s="270"/>
      <c r="T25" s="270"/>
      <c r="U25" s="270"/>
      <c r="V25" s="270"/>
      <c r="W25" s="270"/>
      <c r="X25" s="270"/>
      <c r="Y25" s="270"/>
      <c r="Z25" s="270"/>
      <c r="AA25" s="224"/>
      <c r="AB25" s="224"/>
      <c r="AC25" s="224"/>
      <c r="AD25" s="224"/>
      <c r="AE25" s="224"/>
      <c r="AF25" s="224"/>
      <c r="AG25" s="224"/>
      <c r="AH25" s="224"/>
      <c r="AI25" s="224"/>
      <c r="AJ25" s="224"/>
      <c r="AK25" s="8"/>
      <c r="AL25" s="8"/>
      <c r="AM25" s="8"/>
      <c r="AN25" s="8"/>
      <c r="AO25" s="8"/>
      <c r="AP25" s="8"/>
      <c r="AQ25" s="8"/>
      <c r="AR25" s="8"/>
      <c r="AS25" s="8"/>
      <c r="AT25" s="8"/>
    </row>
    <row r="26" spans="2:46" x14ac:dyDescent="0.25">
      <c r="B26" s="4" t="s">
        <v>111</v>
      </c>
      <c r="C26" s="5"/>
      <c r="D26" s="5"/>
      <c r="E26" s="168">
        <v>6</v>
      </c>
      <c r="F26" s="185">
        <f ca="1">_xll.RiskPercentile(Inf_6,0.025,1)</f>
        <v>0</v>
      </c>
      <c r="G26" s="201">
        <f ca="1">_xll.RiskPercentile(Inf_yr_6,0.025,1)</f>
        <v>0</v>
      </c>
      <c r="H26" s="228"/>
      <c r="I26" s="228"/>
      <c r="J26" s="228"/>
      <c r="K26" s="228"/>
      <c r="L26" s="228"/>
      <c r="M26" s="228"/>
      <c r="N26" s="228"/>
      <c r="O26" s="270"/>
      <c r="P26" s="270"/>
      <c r="Q26" s="270"/>
      <c r="R26" s="270"/>
      <c r="S26" s="270"/>
      <c r="T26" s="270"/>
      <c r="U26" s="270"/>
      <c r="V26" s="270"/>
      <c r="W26" s="270"/>
      <c r="X26" s="270"/>
      <c r="Y26" s="270"/>
      <c r="Z26" s="270"/>
      <c r="AA26" s="224"/>
      <c r="AB26" s="224"/>
      <c r="AC26" s="224"/>
      <c r="AD26" s="224"/>
      <c r="AE26" s="224"/>
      <c r="AF26" s="224"/>
      <c r="AG26" s="224"/>
      <c r="AH26" s="224"/>
      <c r="AI26" s="224"/>
      <c r="AJ26" s="224"/>
      <c r="AK26" s="8"/>
      <c r="AL26" s="8"/>
      <c r="AM26" s="8"/>
      <c r="AN26" s="8"/>
      <c r="AO26" s="8"/>
      <c r="AP26" s="8"/>
      <c r="AQ26" s="8"/>
      <c r="AR26" s="8"/>
      <c r="AS26" s="8"/>
      <c r="AT26" s="8"/>
    </row>
    <row r="27" spans="2:46" s="222" customFormat="1" x14ac:dyDescent="0.25">
      <c r="F27" s="273"/>
      <c r="G27" s="273"/>
      <c r="H27" s="224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24"/>
      <c r="AB27" s="224"/>
      <c r="AC27" s="272"/>
      <c r="AD27" s="272"/>
      <c r="AE27" s="272"/>
      <c r="AF27" s="272"/>
      <c r="AG27" s="272"/>
      <c r="AH27" s="272"/>
      <c r="AI27" s="271"/>
      <c r="AJ27" s="271"/>
      <c r="AK27" s="271"/>
      <c r="AL27" s="271"/>
      <c r="AM27" s="271"/>
      <c r="AN27" s="271"/>
      <c r="AO27" s="271"/>
      <c r="AP27" s="271"/>
      <c r="AQ27" s="271"/>
      <c r="AR27" s="271"/>
      <c r="AS27" s="271"/>
      <c r="AT27" s="271"/>
    </row>
    <row r="28" spans="2:46" s="222" customFormat="1" x14ac:dyDescent="0.25">
      <c r="B28" s="263" t="s">
        <v>133</v>
      </c>
      <c r="F28" s="273"/>
      <c r="G28" s="273"/>
      <c r="H28" s="224"/>
      <c r="I28" s="224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  <c r="AA28" s="224"/>
      <c r="AB28" s="224"/>
      <c r="AC28" s="224"/>
      <c r="AD28" s="224"/>
      <c r="AE28" s="224"/>
      <c r="AF28" s="224"/>
      <c r="AG28" s="224"/>
      <c r="AH28" s="224"/>
      <c r="AI28" s="224"/>
      <c r="AJ28" s="224"/>
      <c r="AK28" s="224"/>
      <c r="AL28" s="224"/>
      <c r="AM28" s="224"/>
      <c r="AN28" s="224"/>
      <c r="AO28" s="224"/>
      <c r="AP28" s="224"/>
      <c r="AQ28" s="224"/>
      <c r="AR28" s="224"/>
      <c r="AS28" s="224"/>
      <c r="AT28" s="224"/>
    </row>
    <row r="29" spans="2:46" x14ac:dyDescent="0.25">
      <c r="B29" s="1"/>
      <c r="C29" s="2"/>
      <c r="D29" s="2"/>
      <c r="E29" s="2"/>
      <c r="F29" s="198" t="s">
        <v>100</v>
      </c>
      <c r="G29" s="202" t="s">
        <v>101</v>
      </c>
    </row>
    <row r="30" spans="2:46" x14ac:dyDescent="0.25">
      <c r="B30" s="10"/>
      <c r="C30" s="8"/>
      <c r="D30" s="8"/>
      <c r="E30" s="8"/>
      <c r="F30" s="199" t="s">
        <v>328</v>
      </c>
      <c r="G30" s="200" t="s">
        <v>328</v>
      </c>
    </row>
    <row r="31" spans="2:46" x14ac:dyDescent="0.25">
      <c r="B31" s="10"/>
      <c r="C31" s="8"/>
      <c r="D31" s="8"/>
      <c r="E31" s="8" t="s">
        <v>102</v>
      </c>
      <c r="F31" s="200"/>
      <c r="G31" s="200"/>
    </row>
    <row r="32" spans="2:46" x14ac:dyDescent="0.25">
      <c r="B32" s="10"/>
      <c r="C32" s="8"/>
      <c r="D32" s="8"/>
      <c r="E32" s="16" t="s">
        <v>37</v>
      </c>
      <c r="F32" s="200" t="s">
        <v>105</v>
      </c>
      <c r="G32" s="200" t="s">
        <v>335</v>
      </c>
    </row>
    <row r="33" spans="2:7" x14ac:dyDescent="0.25">
      <c r="B33" s="10" t="s">
        <v>106</v>
      </c>
      <c r="C33" s="8"/>
      <c r="D33" s="8"/>
      <c r="E33" s="16">
        <v>1</v>
      </c>
      <c r="F33" s="169">
        <f ca="1">_xll.RiskPercentile(Inf_1,0.975,1)</f>
        <v>0</v>
      </c>
      <c r="G33" s="200">
        <f ca="1">_xll.RiskPercentile(Inf_yr_1,0.975,1)</f>
        <v>0</v>
      </c>
    </row>
    <row r="34" spans="2:7" x14ac:dyDescent="0.25">
      <c r="B34" s="10" t="s">
        <v>107</v>
      </c>
      <c r="C34" s="8"/>
      <c r="D34" s="8"/>
      <c r="E34" s="16">
        <v>2</v>
      </c>
      <c r="F34" s="169">
        <f ca="1">_xll.RiskPercentile(Inf_2,0.975,1)</f>
        <v>0</v>
      </c>
      <c r="G34" s="200">
        <f ca="1">_xll.RiskPercentile(Inf_yr_2,0.975,1)</f>
        <v>0</v>
      </c>
    </row>
    <row r="35" spans="2:7" x14ac:dyDescent="0.25">
      <c r="B35" s="10" t="s">
        <v>108</v>
      </c>
      <c r="C35" s="8"/>
      <c r="D35" s="8"/>
      <c r="E35" s="16">
        <v>3</v>
      </c>
      <c r="F35" s="169">
        <f ca="1">_xll.RiskPercentile(Inf_3,0.975,1)</f>
        <v>51106.117397040573</v>
      </c>
      <c r="G35" s="200">
        <f ca="1">_xll.RiskPercentile(Inf_yr_3,0.975,1)</f>
        <v>0</v>
      </c>
    </row>
    <row r="36" spans="2:7" x14ac:dyDescent="0.25">
      <c r="B36" s="10" t="s">
        <v>109</v>
      </c>
      <c r="C36" s="8"/>
      <c r="D36" s="8"/>
      <c r="E36" s="16">
        <v>4</v>
      </c>
      <c r="F36" s="169">
        <f ca="1">_xll.RiskPercentile(Inf_4,0.975,1)</f>
        <v>0</v>
      </c>
      <c r="G36" s="200">
        <f ca="1">_xll.RiskPercentile(Inf_yr_4,0.975,1)</f>
        <v>0</v>
      </c>
    </row>
    <row r="37" spans="2:7" x14ac:dyDescent="0.25">
      <c r="B37" s="10" t="s">
        <v>110</v>
      </c>
      <c r="C37" s="8"/>
      <c r="D37" s="8"/>
      <c r="E37" s="16">
        <v>5</v>
      </c>
      <c r="F37" s="169">
        <f ca="1">_xll.RiskPercentile(Inf_5,0.975,1)</f>
        <v>0</v>
      </c>
      <c r="G37" s="200">
        <f ca="1">_xll.RiskPercentile(Inf_yr_5,0.975,1)</f>
        <v>0</v>
      </c>
    </row>
    <row r="38" spans="2:7" x14ac:dyDescent="0.25">
      <c r="B38" s="4" t="s">
        <v>111</v>
      </c>
      <c r="C38" s="5"/>
      <c r="D38" s="5"/>
      <c r="E38" s="168">
        <v>6</v>
      </c>
      <c r="F38" s="185">
        <f ca="1">_xll.RiskPercentile(Inf_6,0.975,1)</f>
        <v>0</v>
      </c>
      <c r="G38" s="201">
        <f ca="1">_xll.RiskPercentile(Inf_yr_6,0.975,1)</f>
        <v>0</v>
      </c>
    </row>
    <row r="39" spans="2:7" s="222" customFormat="1" x14ac:dyDescent="0.25">
      <c r="F39" s="273"/>
      <c r="G39" s="273"/>
    </row>
    <row r="40" spans="2:7" s="222" customFormat="1" x14ac:dyDescent="0.25">
      <c r="B40" s="274" t="s">
        <v>134</v>
      </c>
      <c r="F40" s="273"/>
      <c r="G40" s="273"/>
    </row>
    <row r="41" spans="2:7" x14ac:dyDescent="0.25">
      <c r="B41" s="1"/>
      <c r="C41" s="2"/>
      <c r="D41" s="2"/>
      <c r="E41" s="2"/>
      <c r="F41" s="198" t="s">
        <v>100</v>
      </c>
      <c r="G41" s="202" t="s">
        <v>101</v>
      </c>
    </row>
    <row r="42" spans="2:7" x14ac:dyDescent="0.25">
      <c r="B42" s="10"/>
      <c r="C42" s="8"/>
      <c r="D42" s="8"/>
      <c r="E42" s="8"/>
      <c r="F42" s="199" t="s">
        <v>328</v>
      </c>
      <c r="G42" s="200" t="s">
        <v>328</v>
      </c>
    </row>
    <row r="43" spans="2:7" x14ac:dyDescent="0.25">
      <c r="B43" s="10"/>
      <c r="C43" s="8"/>
      <c r="D43" s="8"/>
      <c r="E43" s="8" t="s">
        <v>102</v>
      </c>
      <c r="F43" s="200"/>
      <c r="G43" s="200"/>
    </row>
    <row r="44" spans="2:7" x14ac:dyDescent="0.25">
      <c r="B44" s="10"/>
      <c r="C44" s="8"/>
      <c r="D44" s="8"/>
      <c r="E44" s="16" t="s">
        <v>37</v>
      </c>
      <c r="F44" s="200" t="s">
        <v>105</v>
      </c>
      <c r="G44" s="200" t="s">
        <v>335</v>
      </c>
    </row>
    <row r="45" spans="2:7" x14ac:dyDescent="0.25">
      <c r="B45" s="10" t="s">
        <v>106</v>
      </c>
      <c r="C45" s="8"/>
      <c r="D45" s="8"/>
      <c r="E45" s="16">
        <v>1</v>
      </c>
      <c r="F45" s="169" t="str">
        <f ca="1">CONCATENATE((FIXED(F9,2,TRUE))," (",(FIXED(F21,2,TRUE)),",",(FIXED(F33,2,TRUE)),")")</f>
        <v>0.00 (0.00,0.00)</v>
      </c>
      <c r="G45" s="200" t="str">
        <f t="shared" ref="G45" ca="1" si="0">CONCATENATE((FIXED(G9,2,TRUE))," (",(FIXED(G21,2,TRUE)),",",(FIXED(G33,2,TRUE)),")")</f>
        <v>0.00 (0.00,0.00)</v>
      </c>
    </row>
    <row r="46" spans="2:7" x14ac:dyDescent="0.25">
      <c r="B46" s="10" t="s">
        <v>107</v>
      </c>
      <c r="C46" s="8"/>
      <c r="D46" s="8"/>
      <c r="E46" s="16">
        <v>2</v>
      </c>
      <c r="F46" s="169" t="str">
        <f t="shared" ref="F46:G46" ca="1" si="1">CONCATENATE((FIXED(F10,2,TRUE))," (",(FIXED(F22,2,TRUE)),",",(FIXED(F34,2,TRUE)),")")</f>
        <v>0.00 (0.00,0.00)</v>
      </c>
      <c r="G46" s="200" t="str">
        <f t="shared" ca="1" si="1"/>
        <v>0.00 (0.00,0.00)</v>
      </c>
    </row>
    <row r="47" spans="2:7" x14ac:dyDescent="0.25">
      <c r="B47" s="10" t="s">
        <v>108</v>
      </c>
      <c r="C47" s="8"/>
      <c r="D47" s="8"/>
      <c r="E47" s="16">
        <v>3</v>
      </c>
      <c r="F47" s="169" t="str">
        <f t="shared" ref="F47:G47" ca="1" si="2">CONCATENATE((FIXED(F11,2,TRUE))," (",(FIXED(F23,2,TRUE)),",",(FIXED(F35,2,TRUE)),")")</f>
        <v>51106.12 (51106.12,51106.12)</v>
      </c>
      <c r="G47" s="200" t="str">
        <f t="shared" ca="1" si="2"/>
        <v>0.00 (0.00,0.00)</v>
      </c>
    </row>
    <row r="48" spans="2:7" x14ac:dyDescent="0.25">
      <c r="B48" s="10" t="s">
        <v>109</v>
      </c>
      <c r="C48" s="8"/>
      <c r="D48" s="8"/>
      <c r="E48" s="16">
        <v>4</v>
      </c>
      <c r="F48" s="169" t="str">
        <f t="shared" ref="F48:G48" ca="1" si="3">CONCATENATE((FIXED(F12,2,TRUE))," (",(FIXED(F24,2,TRUE)),",",(FIXED(F36,2,TRUE)),")")</f>
        <v>0.00 (0.00,0.00)</v>
      </c>
      <c r="G48" s="200" t="str">
        <f t="shared" ca="1" si="3"/>
        <v>0.00 (0.00,0.00)</v>
      </c>
    </row>
    <row r="49" spans="2:7" x14ac:dyDescent="0.25">
      <c r="B49" s="10" t="s">
        <v>110</v>
      </c>
      <c r="C49" s="8"/>
      <c r="D49" s="8"/>
      <c r="E49" s="16">
        <v>5</v>
      </c>
      <c r="F49" s="169" t="str">
        <f t="shared" ref="F49:G49" ca="1" si="4">CONCATENATE((FIXED(F13,2,TRUE))," (",(FIXED(F25,2,TRUE)),",",(FIXED(F37,2,TRUE)),")")</f>
        <v>0.00 (0.00,0.00)</v>
      </c>
      <c r="G49" s="200" t="str">
        <f t="shared" ca="1" si="4"/>
        <v>0.00 (0.00,0.00)</v>
      </c>
    </row>
    <row r="50" spans="2:7" x14ac:dyDescent="0.25">
      <c r="B50" s="4" t="s">
        <v>111</v>
      </c>
      <c r="C50" s="5"/>
      <c r="D50" s="5"/>
      <c r="E50" s="168">
        <v>6</v>
      </c>
      <c r="F50" s="185" t="str">
        <f t="shared" ref="F50:G50" ca="1" si="5">CONCATENATE((FIXED(F14,2,TRUE))," (",(FIXED(F26,2,TRUE)),",",(FIXED(F38,2,TRUE)),")")</f>
        <v>0.00 (0.00,0.00)</v>
      </c>
      <c r="G50" s="201" t="str">
        <f t="shared" ca="1" si="5"/>
        <v>0.00 (0.00,0.00)</v>
      </c>
    </row>
    <row r="51" spans="2:7" s="222" customFormat="1" x14ac:dyDescent="0.25">
      <c r="F51" s="273"/>
      <c r="G51" s="273"/>
    </row>
    <row r="52" spans="2:7" s="222" customFormat="1" x14ac:dyDescent="0.25">
      <c r="B52" s="274" t="s">
        <v>135</v>
      </c>
      <c r="F52" s="273"/>
      <c r="G52" s="273"/>
    </row>
    <row r="53" spans="2:7" x14ac:dyDescent="0.25">
      <c r="B53" s="1"/>
      <c r="C53" s="2"/>
      <c r="D53" s="2"/>
      <c r="E53" s="2"/>
      <c r="F53" s="198" t="s">
        <v>100</v>
      </c>
      <c r="G53" s="202" t="s">
        <v>101</v>
      </c>
    </row>
    <row r="54" spans="2:7" x14ac:dyDescent="0.25">
      <c r="B54" s="10"/>
      <c r="C54" s="8"/>
      <c r="D54" s="8"/>
      <c r="E54" s="8"/>
      <c r="F54" s="199" t="s">
        <v>328</v>
      </c>
      <c r="G54" s="200" t="s">
        <v>328</v>
      </c>
    </row>
    <row r="55" spans="2:7" x14ac:dyDescent="0.25">
      <c r="B55" s="10"/>
      <c r="C55" s="8"/>
      <c r="D55" s="8"/>
      <c r="E55" s="8" t="s">
        <v>102</v>
      </c>
      <c r="F55" s="200"/>
      <c r="G55" s="200"/>
    </row>
    <row r="56" spans="2:7" x14ac:dyDescent="0.25">
      <c r="B56" s="10"/>
      <c r="C56" s="8"/>
      <c r="D56" s="8"/>
      <c r="E56" s="16" t="s">
        <v>37</v>
      </c>
      <c r="F56" s="200" t="s">
        <v>105</v>
      </c>
      <c r="G56" s="200" t="s">
        <v>335</v>
      </c>
    </row>
    <row r="57" spans="2:7" x14ac:dyDescent="0.25">
      <c r="B57" s="10" t="s">
        <v>106</v>
      </c>
      <c r="C57" s="8"/>
      <c r="D57" s="8"/>
      <c r="E57" s="16">
        <v>1</v>
      </c>
      <c r="F57" s="169" t="str">
        <f ca="1">CONCATENATE(TEXT(F9,"0.00E+00")," (",(TEXT(F21,"0.00E+00")),", ",(TEXT(F33,"0.00E+00")),")")</f>
        <v>0.00E+00 (0.00E+00, 0.00E+00)</v>
      </c>
      <c r="G57" s="200" t="str">
        <f t="shared" ref="G57" ca="1" si="6">CONCATENATE(TEXT(G9,"0.00E+00")," (",(TEXT(G21,"0.00E+00")),", ",(TEXT(G33,"0.00E+00")),")")</f>
        <v>0.00E+00 (0.00E+00, 0.00E+00)</v>
      </c>
    </row>
    <row r="58" spans="2:7" x14ac:dyDescent="0.25">
      <c r="B58" s="10" t="s">
        <v>107</v>
      </c>
      <c r="C58" s="8"/>
      <c r="D58" s="8"/>
      <c r="E58" s="16">
        <v>2</v>
      </c>
      <c r="F58" s="169" t="str">
        <f t="shared" ref="F58:G58" ca="1" si="7">CONCATENATE(TEXT(F10,"0.00E+00")," (",(TEXT(F22,"0.00E+00")),", ",(TEXT(F34,"0.00E+00")),")")</f>
        <v>0.00E+00 (0.00E+00, 0.00E+00)</v>
      </c>
      <c r="G58" s="200" t="str">
        <f t="shared" ca="1" si="7"/>
        <v>0.00E+00 (0.00E+00, 0.00E+00)</v>
      </c>
    </row>
    <row r="59" spans="2:7" x14ac:dyDescent="0.25">
      <c r="B59" s="10" t="s">
        <v>108</v>
      </c>
      <c r="C59" s="8"/>
      <c r="D59" s="8"/>
      <c r="E59" s="16">
        <v>3</v>
      </c>
      <c r="F59" s="169" t="str">
        <f t="shared" ref="F59:G59" ca="1" si="8">CONCATENATE(TEXT(F11,"0.00E+00")," (",(TEXT(F23,"0.00E+00")),", ",(TEXT(F35,"0.00E+00")),")")</f>
        <v>5.11E+04 (5.11E+04, 5.11E+04)</v>
      </c>
      <c r="G59" s="200" t="str">
        <f t="shared" ca="1" si="8"/>
        <v>0.00E+00 (0.00E+00, 0.00E+00)</v>
      </c>
    </row>
    <row r="60" spans="2:7" x14ac:dyDescent="0.25">
      <c r="B60" s="10" t="s">
        <v>109</v>
      </c>
      <c r="C60" s="8"/>
      <c r="D60" s="8"/>
      <c r="E60" s="16">
        <v>4</v>
      </c>
      <c r="F60" s="169" t="str">
        <f t="shared" ref="F60:G60" ca="1" si="9">CONCATENATE(TEXT(F12,"0.00E+00")," (",(TEXT(F24,"0.00E+00")),", ",(TEXT(F36,"0.00E+00")),")")</f>
        <v>0.00E+00 (0.00E+00, 0.00E+00)</v>
      </c>
      <c r="G60" s="200" t="str">
        <f t="shared" ca="1" si="9"/>
        <v>0.00E+00 (0.00E+00, 0.00E+00)</v>
      </c>
    </row>
    <row r="61" spans="2:7" x14ac:dyDescent="0.25">
      <c r="B61" s="10" t="s">
        <v>110</v>
      </c>
      <c r="C61" s="8"/>
      <c r="D61" s="8"/>
      <c r="E61" s="16">
        <v>5</v>
      </c>
      <c r="F61" s="169" t="str">
        <f t="shared" ref="F61:G61" ca="1" si="10">CONCATENATE(TEXT(F13,"0.00E+00")," (",(TEXT(F25,"0.00E+00")),", ",(TEXT(F37,"0.00E+00")),")")</f>
        <v>0.00E+00 (0.00E+00, 0.00E+00)</v>
      </c>
      <c r="G61" s="200" t="str">
        <f t="shared" ca="1" si="10"/>
        <v>0.00E+00 (0.00E+00, 0.00E+00)</v>
      </c>
    </row>
    <row r="62" spans="2:7" x14ac:dyDescent="0.25">
      <c r="B62" s="4" t="s">
        <v>111</v>
      </c>
      <c r="C62" s="5"/>
      <c r="D62" s="5"/>
      <c r="E62" s="168">
        <v>6</v>
      </c>
      <c r="F62" s="185" t="str">
        <f t="shared" ref="F62:G62" ca="1" si="11">CONCATENATE(TEXT(F14,"0.00E+00")," (",(TEXT(F26,"0.00E+00")),", ",(TEXT(F38,"0.00E+00")),")")</f>
        <v>0.00E+00 (0.00E+00, 0.00E+00)</v>
      </c>
      <c r="G62" s="201" t="str">
        <f t="shared" ca="1" si="11"/>
        <v>0.00E+00 (0.00E+00, 0.00E+00)</v>
      </c>
    </row>
    <row r="63" spans="2:7" s="222" customFormat="1" x14ac:dyDescent="0.25">
      <c r="F63" s="273"/>
      <c r="G63" s="273"/>
    </row>
    <row r="64" spans="2:7" s="222" customFormat="1" x14ac:dyDescent="0.25">
      <c r="F64" s="273"/>
      <c r="G64" s="273"/>
    </row>
    <row r="65" spans="6:7" s="222" customFormat="1" x14ac:dyDescent="0.25">
      <c r="F65" s="273"/>
      <c r="G65" s="273"/>
    </row>
    <row r="66" spans="6:7" s="222" customFormat="1" x14ac:dyDescent="0.25">
      <c r="F66" s="273"/>
      <c r="G66" s="273"/>
    </row>
    <row r="67" spans="6:7" s="222" customFormat="1" x14ac:dyDescent="0.25">
      <c r="F67" s="273"/>
      <c r="G67" s="273"/>
    </row>
    <row r="68" spans="6:7" s="222" customFormat="1" x14ac:dyDescent="0.25">
      <c r="F68" s="273"/>
      <c r="G68" s="273"/>
    </row>
    <row r="69" spans="6:7" s="222" customFormat="1" x14ac:dyDescent="0.25">
      <c r="F69" s="273"/>
      <c r="G69" s="273"/>
    </row>
    <row r="70" spans="6:7" s="222" customFormat="1" x14ac:dyDescent="0.25">
      <c r="F70" s="273"/>
      <c r="G70" s="273"/>
    </row>
    <row r="71" spans="6:7" s="222" customFormat="1" x14ac:dyDescent="0.25">
      <c r="F71" s="273"/>
      <c r="G71" s="273"/>
    </row>
    <row r="72" spans="6:7" s="222" customFormat="1" x14ac:dyDescent="0.25">
      <c r="F72" s="273"/>
      <c r="G72" s="273"/>
    </row>
    <row r="73" spans="6:7" s="222" customFormat="1" x14ac:dyDescent="0.25">
      <c r="F73" s="273"/>
      <c r="G73" s="273"/>
    </row>
    <row r="74" spans="6:7" s="222" customFormat="1" x14ac:dyDescent="0.25">
      <c r="F74" s="273"/>
      <c r="G74" s="273"/>
    </row>
    <row r="75" spans="6:7" s="222" customFormat="1" x14ac:dyDescent="0.25">
      <c r="F75" s="273"/>
      <c r="G75" s="273"/>
    </row>
    <row r="76" spans="6:7" s="222" customFormat="1" x14ac:dyDescent="0.25">
      <c r="F76" s="273"/>
      <c r="G76" s="273"/>
    </row>
    <row r="77" spans="6:7" s="222" customFormat="1" x14ac:dyDescent="0.25">
      <c r="F77" s="273"/>
      <c r="G77" s="273"/>
    </row>
    <row r="78" spans="6:7" s="222" customFormat="1" x14ac:dyDescent="0.25">
      <c r="F78" s="273"/>
      <c r="G78" s="273"/>
    </row>
    <row r="79" spans="6:7" s="222" customFormat="1" x14ac:dyDescent="0.25">
      <c r="F79" s="273"/>
      <c r="G79" s="273"/>
    </row>
    <row r="80" spans="6:7" s="222" customFormat="1" x14ac:dyDescent="0.25">
      <c r="F80" s="273"/>
      <c r="G80" s="273"/>
    </row>
    <row r="81" spans="6:7" s="222" customFormat="1" x14ac:dyDescent="0.25">
      <c r="F81" s="273"/>
      <c r="G81" s="273"/>
    </row>
    <row r="82" spans="6:7" s="222" customFormat="1" x14ac:dyDescent="0.25">
      <c r="F82" s="273"/>
      <c r="G82" s="273"/>
    </row>
    <row r="83" spans="6:7" s="222" customFormat="1" x14ac:dyDescent="0.25">
      <c r="F83" s="273"/>
      <c r="G83" s="273"/>
    </row>
    <row r="84" spans="6:7" s="222" customFormat="1" x14ac:dyDescent="0.25">
      <c r="F84" s="273"/>
      <c r="G84" s="273"/>
    </row>
    <row r="85" spans="6:7" s="222" customFormat="1" x14ac:dyDescent="0.25">
      <c r="F85" s="273"/>
      <c r="G85" s="273"/>
    </row>
    <row r="86" spans="6:7" s="222" customFormat="1" x14ac:dyDescent="0.25">
      <c r="F86" s="273"/>
      <c r="G86" s="273"/>
    </row>
    <row r="87" spans="6:7" s="222" customFormat="1" x14ac:dyDescent="0.25">
      <c r="F87" s="273"/>
      <c r="G87" s="273"/>
    </row>
    <row r="88" spans="6:7" s="222" customFormat="1" x14ac:dyDescent="0.25">
      <c r="F88" s="273"/>
      <c r="G88" s="273"/>
    </row>
    <row r="89" spans="6:7" s="222" customFormat="1" x14ac:dyDescent="0.25">
      <c r="F89" s="273"/>
      <c r="G89" s="273"/>
    </row>
    <row r="90" spans="6:7" s="222" customFormat="1" x14ac:dyDescent="0.25">
      <c r="F90" s="273"/>
      <c r="G90" s="273"/>
    </row>
    <row r="91" spans="6:7" s="222" customFormat="1" x14ac:dyDescent="0.25">
      <c r="F91" s="273"/>
      <c r="G91" s="273"/>
    </row>
    <row r="92" spans="6:7" s="222" customFormat="1" x14ac:dyDescent="0.25">
      <c r="F92" s="273"/>
      <c r="G92" s="273"/>
    </row>
    <row r="93" spans="6:7" s="222" customFormat="1" x14ac:dyDescent="0.25">
      <c r="F93" s="273"/>
      <c r="G93" s="273"/>
    </row>
    <row r="94" spans="6:7" s="222" customFormat="1" x14ac:dyDescent="0.25">
      <c r="F94" s="273"/>
      <c r="G94" s="273"/>
    </row>
    <row r="95" spans="6:7" s="222" customFormat="1" x14ac:dyDescent="0.25">
      <c r="F95" s="273"/>
      <c r="G95" s="273"/>
    </row>
    <row r="96" spans="6:7" s="222" customFormat="1" x14ac:dyDescent="0.25">
      <c r="F96" s="273"/>
      <c r="G96" s="273"/>
    </row>
    <row r="97" spans="6:7" s="222" customFormat="1" x14ac:dyDescent="0.25">
      <c r="F97" s="273"/>
      <c r="G97" s="273"/>
    </row>
    <row r="98" spans="6:7" s="222" customFormat="1" x14ac:dyDescent="0.25">
      <c r="F98" s="273"/>
      <c r="G98" s="273"/>
    </row>
    <row r="99" spans="6:7" s="222" customFormat="1" x14ac:dyDescent="0.25">
      <c r="F99" s="273"/>
      <c r="G99" s="273"/>
    </row>
    <row r="100" spans="6:7" s="222" customFormat="1" x14ac:dyDescent="0.25">
      <c r="F100" s="273"/>
      <c r="G100" s="273"/>
    </row>
    <row r="101" spans="6:7" s="222" customFormat="1" x14ac:dyDescent="0.25">
      <c r="F101" s="273"/>
      <c r="G101" s="273"/>
    </row>
    <row r="102" spans="6:7" s="222" customFormat="1" x14ac:dyDescent="0.25">
      <c r="F102" s="273"/>
      <c r="G102" s="273"/>
    </row>
    <row r="103" spans="6:7" s="222" customFormat="1" x14ac:dyDescent="0.25">
      <c r="F103" s="273"/>
      <c r="G103" s="273"/>
    </row>
    <row r="104" spans="6:7" s="222" customFormat="1" x14ac:dyDescent="0.25">
      <c r="F104" s="273"/>
      <c r="G104" s="273"/>
    </row>
    <row r="105" spans="6:7" s="222" customFormat="1" x14ac:dyDescent="0.25">
      <c r="F105" s="273"/>
      <c r="G105" s="273"/>
    </row>
    <row r="106" spans="6:7" s="222" customFormat="1" x14ac:dyDescent="0.25">
      <c r="F106" s="273"/>
      <c r="G106" s="273"/>
    </row>
    <row r="107" spans="6:7" s="222" customFormat="1" x14ac:dyDescent="0.25">
      <c r="F107" s="273"/>
      <c r="G107" s="273"/>
    </row>
    <row r="108" spans="6:7" s="222" customFormat="1" x14ac:dyDescent="0.25">
      <c r="F108" s="273"/>
      <c r="G108" s="273"/>
    </row>
    <row r="109" spans="6:7" s="222" customFormat="1" x14ac:dyDescent="0.25">
      <c r="F109" s="273"/>
      <c r="G109" s="273"/>
    </row>
    <row r="110" spans="6:7" s="222" customFormat="1" x14ac:dyDescent="0.25">
      <c r="F110" s="273"/>
      <c r="G110" s="273"/>
    </row>
    <row r="111" spans="6:7" s="222" customFormat="1" x14ac:dyDescent="0.25">
      <c r="F111" s="273"/>
      <c r="G111" s="273"/>
    </row>
    <row r="112" spans="6:7" s="222" customFormat="1" x14ac:dyDescent="0.25">
      <c r="F112" s="273"/>
      <c r="G112" s="273"/>
    </row>
    <row r="113" spans="6:7" s="222" customFormat="1" x14ac:dyDescent="0.25">
      <c r="F113" s="273"/>
      <c r="G113" s="273"/>
    </row>
    <row r="114" spans="6:7" s="222" customFormat="1" x14ac:dyDescent="0.25">
      <c r="F114" s="273"/>
      <c r="G114" s="273"/>
    </row>
    <row r="115" spans="6:7" s="222" customFormat="1" x14ac:dyDescent="0.25">
      <c r="F115" s="273"/>
      <c r="G115" s="273"/>
    </row>
    <row r="116" spans="6:7" s="222" customFormat="1" x14ac:dyDescent="0.25">
      <c r="F116" s="273"/>
      <c r="G116" s="273"/>
    </row>
    <row r="117" spans="6:7" s="222" customFormat="1" x14ac:dyDescent="0.25">
      <c r="F117" s="273"/>
      <c r="G117" s="273"/>
    </row>
    <row r="118" spans="6:7" s="222" customFormat="1" x14ac:dyDescent="0.25">
      <c r="F118" s="273"/>
      <c r="G118" s="273"/>
    </row>
    <row r="119" spans="6:7" s="222" customFormat="1" x14ac:dyDescent="0.25">
      <c r="F119" s="273"/>
      <c r="G119" s="273"/>
    </row>
    <row r="120" spans="6:7" s="222" customFormat="1" x14ac:dyDescent="0.25">
      <c r="F120" s="273"/>
      <c r="G120" s="273"/>
    </row>
    <row r="121" spans="6:7" s="222" customFormat="1" x14ac:dyDescent="0.25">
      <c r="F121" s="273"/>
      <c r="G121" s="273"/>
    </row>
    <row r="122" spans="6:7" s="222" customFormat="1" x14ac:dyDescent="0.25">
      <c r="F122" s="273"/>
      <c r="G122" s="273"/>
    </row>
    <row r="123" spans="6:7" s="222" customFormat="1" x14ac:dyDescent="0.25">
      <c r="F123" s="273"/>
      <c r="G123" s="273"/>
    </row>
    <row r="124" spans="6:7" s="222" customFormat="1" x14ac:dyDescent="0.25">
      <c r="F124" s="273"/>
      <c r="G124" s="273"/>
    </row>
    <row r="125" spans="6:7" s="222" customFormat="1" x14ac:dyDescent="0.25">
      <c r="F125" s="273"/>
      <c r="G125" s="273"/>
    </row>
    <row r="126" spans="6:7" s="222" customFormat="1" x14ac:dyDescent="0.25">
      <c r="F126" s="273"/>
      <c r="G126" s="273"/>
    </row>
    <row r="127" spans="6:7" s="222" customFormat="1" x14ac:dyDescent="0.25">
      <c r="F127" s="273"/>
      <c r="G127" s="273"/>
    </row>
    <row r="128" spans="6:7" s="222" customFormat="1" x14ac:dyDescent="0.25">
      <c r="F128" s="273"/>
      <c r="G128" s="273"/>
    </row>
    <row r="129" spans="6:7" s="222" customFormat="1" x14ac:dyDescent="0.25">
      <c r="F129" s="273"/>
      <c r="G129" s="273"/>
    </row>
    <row r="130" spans="6:7" s="222" customFormat="1" x14ac:dyDescent="0.25">
      <c r="F130" s="273"/>
      <c r="G130" s="273"/>
    </row>
    <row r="131" spans="6:7" s="222" customFormat="1" x14ac:dyDescent="0.25">
      <c r="F131" s="273"/>
      <c r="G131" s="273"/>
    </row>
    <row r="132" spans="6:7" s="222" customFormat="1" x14ac:dyDescent="0.25">
      <c r="F132" s="273"/>
      <c r="G132" s="273"/>
    </row>
    <row r="133" spans="6:7" s="222" customFormat="1" x14ac:dyDescent="0.25">
      <c r="F133" s="273"/>
      <c r="G133" s="273"/>
    </row>
    <row r="134" spans="6:7" s="222" customFormat="1" x14ac:dyDescent="0.25">
      <c r="F134" s="273"/>
      <c r="G134" s="273"/>
    </row>
    <row r="135" spans="6:7" s="222" customFormat="1" x14ac:dyDescent="0.25">
      <c r="F135" s="273"/>
      <c r="G135" s="273"/>
    </row>
    <row r="136" spans="6:7" s="222" customFormat="1" x14ac:dyDescent="0.25">
      <c r="F136" s="273"/>
      <c r="G136" s="273"/>
    </row>
    <row r="137" spans="6:7" s="222" customFormat="1" x14ac:dyDescent="0.25">
      <c r="F137" s="273"/>
      <c r="G137" s="273"/>
    </row>
    <row r="138" spans="6:7" s="222" customFormat="1" x14ac:dyDescent="0.25">
      <c r="F138" s="273"/>
      <c r="G138" s="273"/>
    </row>
    <row r="139" spans="6:7" s="222" customFormat="1" x14ac:dyDescent="0.25">
      <c r="F139" s="273"/>
      <c r="G139" s="273"/>
    </row>
    <row r="140" spans="6:7" s="222" customFormat="1" x14ac:dyDescent="0.25">
      <c r="F140" s="273"/>
      <c r="G140" s="273"/>
    </row>
    <row r="141" spans="6:7" s="222" customFormat="1" x14ac:dyDescent="0.25">
      <c r="F141" s="273"/>
      <c r="G141" s="273"/>
    </row>
    <row r="142" spans="6:7" s="222" customFormat="1" x14ac:dyDescent="0.25">
      <c r="F142" s="273"/>
      <c r="G142" s="273"/>
    </row>
  </sheetData>
  <pageMargins left="0.7" right="0.7" top="0.75" bottom="0.75" header="0.3" footer="0.3"/>
  <pageSetup paperSize="9" orientation="portrait" horizontalDpi="4294967294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2:Q42"/>
  <sheetViews>
    <sheetView workbookViewId="0"/>
  </sheetViews>
  <sheetFormatPr defaultRowHeight="15" x14ac:dyDescent="0.25"/>
  <cols>
    <col min="1" max="5" width="9.140625" style="276"/>
    <col min="6" max="6" width="10.42578125" style="276" customWidth="1"/>
    <col min="7" max="7" width="9" style="276" customWidth="1"/>
    <col min="8" max="8" width="15.140625" style="276" customWidth="1"/>
    <col min="9" max="9" width="5.42578125" style="295" customWidth="1"/>
    <col min="10" max="10" width="16.28515625" style="276" customWidth="1"/>
    <col min="11" max="11" width="17.7109375" style="276" customWidth="1"/>
    <col min="12" max="16384" width="9.140625" style="276"/>
  </cols>
  <sheetData>
    <row r="2" spans="1:17" x14ac:dyDescent="0.25">
      <c r="A2" s="276" t="s">
        <v>171</v>
      </c>
      <c r="B2" s="276" t="s">
        <v>172</v>
      </c>
      <c r="C2" s="276" t="s">
        <v>173</v>
      </c>
      <c r="E2" s="276" t="s">
        <v>7</v>
      </c>
      <c r="F2" s="276" t="s">
        <v>174</v>
      </c>
      <c r="G2" s="276" t="s">
        <v>7</v>
      </c>
      <c r="H2" s="276" t="s">
        <v>64</v>
      </c>
      <c r="J2" s="296" t="s">
        <v>272</v>
      </c>
      <c r="K2" s="297" t="s">
        <v>175</v>
      </c>
      <c r="M2" s="276" t="s">
        <v>176</v>
      </c>
      <c r="P2" s="123"/>
      <c r="Q2" s="278" t="b">
        <v>1</v>
      </c>
    </row>
    <row r="3" spans="1:17" x14ac:dyDescent="0.25">
      <c r="A3" s="276">
        <v>0</v>
      </c>
      <c r="B3" s="276" t="s">
        <v>0</v>
      </c>
      <c r="C3" s="276" t="s">
        <v>0</v>
      </c>
      <c r="K3" s="295"/>
    </row>
    <row r="4" spans="1:17" x14ac:dyDescent="0.25">
      <c r="A4" s="276">
        <v>1</v>
      </c>
      <c r="B4" s="276" t="s">
        <v>276</v>
      </c>
      <c r="C4" s="276" t="s">
        <v>276</v>
      </c>
      <c r="E4" s="298" t="s">
        <v>337</v>
      </c>
      <c r="F4" s="298">
        <v>4</v>
      </c>
      <c r="G4" s="298" t="s">
        <v>180</v>
      </c>
      <c r="H4" s="298">
        <v>0</v>
      </c>
      <c r="J4" s="296" t="s">
        <v>106</v>
      </c>
      <c r="K4" s="295">
        <v>1</v>
      </c>
    </row>
    <row r="5" spans="1:17" x14ac:dyDescent="0.25">
      <c r="A5" s="276">
        <v>2</v>
      </c>
      <c r="B5" s="276" t="s">
        <v>177</v>
      </c>
      <c r="C5" s="276" t="s">
        <v>178</v>
      </c>
      <c r="E5" s="298" t="s">
        <v>179</v>
      </c>
      <c r="F5" s="298">
        <v>13</v>
      </c>
      <c r="G5" s="298" t="s">
        <v>338</v>
      </c>
      <c r="H5" s="298">
        <v>3</v>
      </c>
      <c r="J5" s="296" t="s">
        <v>107</v>
      </c>
      <c r="K5" s="295">
        <v>2</v>
      </c>
    </row>
    <row r="6" spans="1:17" x14ac:dyDescent="0.25">
      <c r="A6" s="276">
        <v>3</v>
      </c>
      <c r="B6" s="276" t="s">
        <v>181</v>
      </c>
      <c r="C6" s="276" t="s">
        <v>182</v>
      </c>
      <c r="E6" s="298" t="s">
        <v>183</v>
      </c>
      <c r="F6" s="298">
        <v>1000</v>
      </c>
      <c r="G6" s="298" t="s">
        <v>183</v>
      </c>
      <c r="H6" s="298">
        <v>12</v>
      </c>
      <c r="J6" s="296" t="s">
        <v>108</v>
      </c>
      <c r="K6" s="295">
        <v>3</v>
      </c>
      <c r="M6" s="296"/>
    </row>
    <row r="7" spans="1:17" x14ac:dyDescent="0.25">
      <c r="A7" s="276">
        <v>4</v>
      </c>
      <c r="B7" s="276" t="s">
        <v>184</v>
      </c>
      <c r="C7" s="276" t="s">
        <v>185</v>
      </c>
      <c r="E7" s="298"/>
      <c r="F7" s="298"/>
      <c r="G7" s="298"/>
      <c r="H7" s="298"/>
      <c r="J7" s="276" t="s">
        <v>109</v>
      </c>
      <c r="K7" s="295">
        <v>4</v>
      </c>
    </row>
    <row r="8" spans="1:17" x14ac:dyDescent="0.25">
      <c r="A8" s="276">
        <v>5</v>
      </c>
      <c r="B8" s="276" t="s">
        <v>186</v>
      </c>
      <c r="C8" s="276" t="s">
        <v>187</v>
      </c>
      <c r="E8" s="298"/>
      <c r="F8" s="298"/>
      <c r="G8" s="298"/>
      <c r="H8" s="298"/>
      <c r="J8" s="296" t="s">
        <v>110</v>
      </c>
      <c r="K8" s="295">
        <v>5</v>
      </c>
    </row>
    <row r="9" spans="1:17" x14ac:dyDescent="0.25">
      <c r="A9" s="276">
        <v>6</v>
      </c>
      <c r="B9" s="276" t="s">
        <v>188</v>
      </c>
      <c r="C9" s="276" t="s">
        <v>189</v>
      </c>
      <c r="E9" s="298"/>
      <c r="F9" s="298"/>
      <c r="G9" s="298"/>
      <c r="H9" s="298"/>
      <c r="J9" s="296" t="s">
        <v>111</v>
      </c>
      <c r="K9" s="295">
        <v>6</v>
      </c>
    </row>
    <row r="10" spans="1:17" x14ac:dyDescent="0.25">
      <c r="A10" s="276">
        <v>7</v>
      </c>
      <c r="B10" s="276" t="s">
        <v>190</v>
      </c>
      <c r="C10" s="276" t="s">
        <v>191</v>
      </c>
      <c r="E10" s="298"/>
      <c r="F10" s="298"/>
      <c r="G10" s="298"/>
      <c r="H10" s="298"/>
      <c r="J10" s="296"/>
      <c r="K10" s="295"/>
    </row>
    <row r="11" spans="1:17" x14ac:dyDescent="0.25">
      <c r="A11" s="276">
        <v>8</v>
      </c>
      <c r="B11" s="276" t="s">
        <v>192</v>
      </c>
      <c r="C11" s="276" t="s">
        <v>193</v>
      </c>
      <c r="E11" s="298"/>
      <c r="F11" s="298"/>
      <c r="G11" s="298"/>
      <c r="H11" s="298"/>
      <c r="K11" s="295"/>
    </row>
    <row r="12" spans="1:17" x14ac:dyDescent="0.25">
      <c r="A12" s="276">
        <v>9</v>
      </c>
      <c r="B12" s="276" t="s">
        <v>194</v>
      </c>
      <c r="C12" s="276" t="s">
        <v>195</v>
      </c>
      <c r="E12" s="298"/>
      <c r="F12" s="298"/>
      <c r="G12" s="298"/>
      <c r="H12" s="298"/>
      <c r="L12" s="295"/>
    </row>
    <row r="13" spans="1:17" x14ac:dyDescent="0.25">
      <c r="A13" s="276">
        <v>10</v>
      </c>
      <c r="B13" s="276" t="s">
        <v>196</v>
      </c>
      <c r="C13" s="276" t="s">
        <v>197</v>
      </c>
      <c r="G13" s="298"/>
      <c r="H13" s="298"/>
      <c r="L13" s="295"/>
    </row>
    <row r="14" spans="1:17" x14ac:dyDescent="0.25">
      <c r="A14" s="276">
        <v>11</v>
      </c>
      <c r="B14" s="276" t="s">
        <v>198</v>
      </c>
      <c r="C14" s="276" t="s">
        <v>199</v>
      </c>
      <c r="J14" s="296"/>
      <c r="K14" s="295"/>
    </row>
    <row r="15" spans="1:17" x14ac:dyDescent="0.25">
      <c r="A15" s="276">
        <v>12</v>
      </c>
      <c r="B15" s="276" t="s">
        <v>200</v>
      </c>
      <c r="C15" s="276" t="s">
        <v>201</v>
      </c>
      <c r="K15" s="295"/>
    </row>
    <row r="16" spans="1:17" x14ac:dyDescent="0.25">
      <c r="A16" s="276">
        <v>13</v>
      </c>
      <c r="B16" s="276" t="s">
        <v>202</v>
      </c>
      <c r="C16" s="276" t="s">
        <v>203</v>
      </c>
      <c r="J16" s="296"/>
      <c r="K16" s="297"/>
      <c r="L16" s="296"/>
    </row>
    <row r="17" spans="1:12" x14ac:dyDescent="0.25">
      <c r="A17" s="276">
        <v>14</v>
      </c>
      <c r="B17" s="276" t="s">
        <v>204</v>
      </c>
      <c r="C17" s="276" t="s">
        <v>205</v>
      </c>
      <c r="J17" s="296"/>
      <c r="K17" s="297"/>
      <c r="L17" s="296"/>
    </row>
    <row r="18" spans="1:12" x14ac:dyDescent="0.25">
      <c r="A18" s="276">
        <v>15</v>
      </c>
      <c r="B18" s="276" t="s">
        <v>206</v>
      </c>
      <c r="C18" s="276" t="s">
        <v>207</v>
      </c>
      <c r="J18" s="296"/>
      <c r="K18" s="297"/>
      <c r="L18" s="296"/>
    </row>
    <row r="19" spans="1:12" x14ac:dyDescent="0.25">
      <c r="A19" s="276">
        <v>16</v>
      </c>
      <c r="B19" s="276" t="s">
        <v>208</v>
      </c>
      <c r="C19" s="276" t="s">
        <v>209</v>
      </c>
      <c r="J19" s="296"/>
      <c r="K19" s="297"/>
      <c r="L19" s="296"/>
    </row>
    <row r="20" spans="1:12" x14ac:dyDescent="0.25">
      <c r="A20" s="276">
        <v>17</v>
      </c>
      <c r="B20" s="276" t="s">
        <v>210</v>
      </c>
      <c r="C20" s="276" t="s">
        <v>211</v>
      </c>
      <c r="J20" s="296"/>
      <c r="K20" s="297"/>
      <c r="L20" s="296"/>
    </row>
    <row r="21" spans="1:12" x14ac:dyDescent="0.25">
      <c r="A21" s="276">
        <v>18</v>
      </c>
      <c r="B21" s="276" t="s">
        <v>212</v>
      </c>
      <c r="C21" s="276" t="s">
        <v>213</v>
      </c>
      <c r="J21" s="296"/>
      <c r="K21" s="297"/>
      <c r="L21" s="296"/>
    </row>
    <row r="22" spans="1:12" x14ac:dyDescent="0.25">
      <c r="A22" s="276">
        <v>19</v>
      </c>
      <c r="B22" s="276" t="s">
        <v>214</v>
      </c>
      <c r="C22" s="276" t="s">
        <v>215</v>
      </c>
      <c r="J22" s="296"/>
      <c r="K22" s="297"/>
      <c r="L22" s="296"/>
    </row>
    <row r="23" spans="1:12" x14ac:dyDescent="0.25">
      <c r="A23" s="276">
        <v>20</v>
      </c>
      <c r="B23" s="276" t="s">
        <v>216</v>
      </c>
      <c r="C23" s="276" t="s">
        <v>217</v>
      </c>
      <c r="J23" s="296"/>
      <c r="K23" s="297"/>
      <c r="L23" s="296"/>
    </row>
    <row r="24" spans="1:12" x14ac:dyDescent="0.25">
      <c r="A24" s="276">
        <v>21</v>
      </c>
      <c r="B24" s="276" t="s">
        <v>218</v>
      </c>
      <c r="C24" s="276" t="s">
        <v>219</v>
      </c>
    </row>
    <row r="25" spans="1:12" x14ac:dyDescent="0.25">
      <c r="A25" s="276">
        <v>22</v>
      </c>
      <c r="B25" s="276" t="s">
        <v>220</v>
      </c>
      <c r="C25" s="276" t="s">
        <v>221</v>
      </c>
    </row>
    <row r="26" spans="1:12" x14ac:dyDescent="0.25">
      <c r="A26" s="276">
        <v>23</v>
      </c>
      <c r="B26" s="276" t="s">
        <v>222</v>
      </c>
      <c r="C26" s="276" t="s">
        <v>223</v>
      </c>
    </row>
    <row r="27" spans="1:12" x14ac:dyDescent="0.25">
      <c r="A27" s="276">
        <v>24</v>
      </c>
      <c r="B27" s="276" t="s">
        <v>224</v>
      </c>
      <c r="C27" s="276" t="s">
        <v>225</v>
      </c>
    </row>
    <row r="28" spans="1:12" x14ac:dyDescent="0.25">
      <c r="A28" s="276">
        <v>25</v>
      </c>
      <c r="B28" s="276" t="s">
        <v>226</v>
      </c>
      <c r="C28" s="276" t="s">
        <v>227</v>
      </c>
    </row>
    <row r="29" spans="1:12" x14ac:dyDescent="0.25">
      <c r="A29" s="276">
        <v>26</v>
      </c>
      <c r="B29" s="276" t="s">
        <v>228</v>
      </c>
      <c r="C29" s="276" t="s">
        <v>229</v>
      </c>
    </row>
    <row r="30" spans="1:12" x14ac:dyDescent="0.25">
      <c r="A30" s="276">
        <v>27</v>
      </c>
      <c r="B30" s="276" t="s">
        <v>230</v>
      </c>
      <c r="C30" s="276" t="s">
        <v>231</v>
      </c>
    </row>
    <row r="31" spans="1:12" x14ac:dyDescent="0.25">
      <c r="A31" s="276">
        <v>28</v>
      </c>
      <c r="B31" s="276" t="s">
        <v>232</v>
      </c>
      <c r="C31" s="276" t="s">
        <v>233</v>
      </c>
    </row>
    <row r="32" spans="1:12" x14ac:dyDescent="0.25">
      <c r="A32" s="276">
        <v>29</v>
      </c>
      <c r="B32" s="276" t="s">
        <v>234</v>
      </c>
      <c r="C32" s="276" t="s">
        <v>235</v>
      </c>
    </row>
    <row r="33" spans="1:9" x14ac:dyDescent="0.25">
      <c r="A33" s="276">
        <v>30</v>
      </c>
      <c r="B33" s="276" t="s">
        <v>236</v>
      </c>
      <c r="C33" s="276" t="s">
        <v>237</v>
      </c>
      <c r="I33" s="276"/>
    </row>
    <row r="34" spans="1:9" x14ac:dyDescent="0.25">
      <c r="A34" s="276">
        <v>31</v>
      </c>
      <c r="B34" s="276" t="s">
        <v>238</v>
      </c>
      <c r="C34" s="276" t="s">
        <v>239</v>
      </c>
      <c r="I34" s="276"/>
    </row>
    <row r="35" spans="1:9" x14ac:dyDescent="0.25">
      <c r="A35" s="276">
        <v>32</v>
      </c>
      <c r="B35" s="276" t="s">
        <v>240</v>
      </c>
      <c r="C35" s="276" t="s">
        <v>241</v>
      </c>
      <c r="I35" s="276"/>
    </row>
    <row r="36" spans="1:9" x14ac:dyDescent="0.25">
      <c r="A36" s="276">
        <v>33</v>
      </c>
      <c r="B36" s="276" t="s">
        <v>242</v>
      </c>
      <c r="C36" s="276" t="s">
        <v>243</v>
      </c>
      <c r="I36" s="276"/>
    </row>
    <row r="37" spans="1:9" x14ac:dyDescent="0.25">
      <c r="A37" s="276">
        <v>34</v>
      </c>
      <c r="B37" s="276" t="s">
        <v>244</v>
      </c>
      <c r="C37" s="276" t="s">
        <v>245</v>
      </c>
      <c r="I37" s="276"/>
    </row>
    <row r="38" spans="1:9" x14ac:dyDescent="0.25">
      <c r="A38" s="276">
        <v>35</v>
      </c>
      <c r="B38" s="276" t="s">
        <v>246</v>
      </c>
      <c r="C38" s="276" t="s">
        <v>247</v>
      </c>
      <c r="I38" s="276"/>
    </row>
    <row r="39" spans="1:9" x14ac:dyDescent="0.25">
      <c r="A39" s="276">
        <v>36</v>
      </c>
      <c r="B39" s="276" t="s">
        <v>248</v>
      </c>
      <c r="C39" s="276" t="s">
        <v>249</v>
      </c>
      <c r="I39" s="276"/>
    </row>
    <row r="40" spans="1:9" x14ac:dyDescent="0.25">
      <c r="A40" s="276">
        <v>37</v>
      </c>
      <c r="B40" s="276" t="s">
        <v>250</v>
      </c>
      <c r="C40" s="276" t="s">
        <v>251</v>
      </c>
      <c r="I40" s="276"/>
    </row>
    <row r="41" spans="1:9" x14ac:dyDescent="0.25">
      <c r="A41" s="276">
        <v>38</v>
      </c>
      <c r="B41" s="276" t="s">
        <v>252</v>
      </c>
      <c r="C41" s="276" t="s">
        <v>253</v>
      </c>
      <c r="I41" s="276"/>
    </row>
    <row r="42" spans="1:9" x14ac:dyDescent="0.25">
      <c r="A42" s="276">
        <v>39</v>
      </c>
      <c r="B42" s="276" t="s">
        <v>254</v>
      </c>
      <c r="C42" s="276" t="s">
        <v>255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0.14999847407452621"/>
  </sheetPr>
  <dimension ref="A1:O35"/>
  <sheetViews>
    <sheetView workbookViewId="0"/>
  </sheetViews>
  <sheetFormatPr defaultRowHeight="15" x14ac:dyDescent="0.25"/>
  <cols>
    <col min="1" max="16384" width="9.140625" style="276"/>
  </cols>
  <sheetData>
    <row r="1" spans="1:15" ht="18.75" x14ac:dyDescent="0.3">
      <c r="A1" s="275" t="s">
        <v>336</v>
      </c>
      <c r="H1" s="123"/>
      <c r="I1" s="110" t="s">
        <v>34</v>
      </c>
      <c r="J1" s="277">
        <f ca="1">N_carcaseVRQ</f>
        <v>1117</v>
      </c>
      <c r="L1" s="110" t="s">
        <v>35</v>
      </c>
      <c r="M1" s="278">
        <f ca="1">N_carcaseARQ</f>
        <v>41717</v>
      </c>
    </row>
    <row r="3" spans="1:15" x14ac:dyDescent="0.25">
      <c r="A3" s="279" t="s">
        <v>136</v>
      </c>
      <c r="I3" s="276" t="s">
        <v>136</v>
      </c>
    </row>
    <row r="4" spans="1:15" x14ac:dyDescent="0.25">
      <c r="A4" s="280"/>
      <c r="B4" s="281" t="s">
        <v>329</v>
      </c>
      <c r="C4" s="281" t="s">
        <v>330</v>
      </c>
      <c r="D4" s="281" t="s">
        <v>331</v>
      </c>
      <c r="E4" s="281" t="s">
        <v>332</v>
      </c>
      <c r="F4" s="281" t="s">
        <v>333</v>
      </c>
      <c r="G4" s="282" t="s">
        <v>334</v>
      </c>
      <c r="I4" s="280"/>
      <c r="J4" s="281" t="s">
        <v>329</v>
      </c>
      <c r="K4" s="281" t="s">
        <v>330</v>
      </c>
      <c r="L4" s="281" t="s">
        <v>331</v>
      </c>
      <c r="M4" s="281" t="s">
        <v>332</v>
      </c>
      <c r="N4" s="281" t="s">
        <v>333</v>
      </c>
      <c r="O4" s="282" t="s">
        <v>334</v>
      </c>
    </row>
    <row r="5" spans="1:15" x14ac:dyDescent="0.25">
      <c r="A5" s="283" t="s">
        <v>137</v>
      </c>
      <c r="B5" s="284">
        <f ca="1">_xll.RiskMin(Inf_1,1)</f>
        <v>0</v>
      </c>
      <c r="C5" s="284">
        <f ca="1">_xll.RiskMin(Inf_2,1)</f>
        <v>0</v>
      </c>
      <c r="D5" s="284">
        <f ca="1">_xll.RiskMin(Inf_3,1)</f>
        <v>51106.117397040573</v>
      </c>
      <c r="E5" s="284">
        <f ca="1">_xll.RiskMin(Inf_4,1)</f>
        <v>0</v>
      </c>
      <c r="F5" s="284">
        <f ca="1">_xll.RiskMin(Inf_5,1)</f>
        <v>0</v>
      </c>
      <c r="G5" s="285">
        <f ca="1">_xll.RiskMin(Inf_6,1)</f>
        <v>0</v>
      </c>
      <c r="I5" s="124" t="s">
        <v>137</v>
      </c>
      <c r="J5" s="284">
        <v>0</v>
      </c>
      <c r="K5" s="284" t="e">
        <v>#N/A</v>
      </c>
      <c r="L5" s="284">
        <v>960.43679251202525</v>
      </c>
      <c r="M5" s="284">
        <v>0</v>
      </c>
      <c r="N5" s="284" t="e">
        <v>#N/A</v>
      </c>
      <c r="O5" s="285">
        <v>0</v>
      </c>
    </row>
    <row r="6" spans="1:15" x14ac:dyDescent="0.25">
      <c r="A6" s="283" t="s">
        <v>138</v>
      </c>
      <c r="B6" s="284">
        <f ca="1">_xll.RiskMax(Inf_1,1)</f>
        <v>0</v>
      </c>
      <c r="C6" s="284">
        <f ca="1">_xll.RiskMax(Inf_2,1)</f>
        <v>0</v>
      </c>
      <c r="D6" s="284">
        <f ca="1">_xll.RiskMax(Inf_3,1)</f>
        <v>51106.117397040573</v>
      </c>
      <c r="E6" s="284">
        <f ca="1">_xll.RiskMax(Inf_4,1)</f>
        <v>0</v>
      </c>
      <c r="F6" s="284">
        <f ca="1">_xll.RiskMax(Inf_5,1)</f>
        <v>0</v>
      </c>
      <c r="G6" s="285">
        <f ca="1">_xll.RiskMax(Inf_6,1)</f>
        <v>0</v>
      </c>
      <c r="I6" s="124" t="s">
        <v>138</v>
      </c>
      <c r="J6" s="284">
        <v>70166469.595846117</v>
      </c>
      <c r="K6" s="284" t="e">
        <v>#N/A</v>
      </c>
      <c r="L6" s="284">
        <v>6690831.042414628</v>
      </c>
      <c r="M6" s="284">
        <v>548809559.3383441</v>
      </c>
      <c r="N6" s="284" t="e">
        <v>#N/A</v>
      </c>
      <c r="O6" s="285">
        <v>6859031.5901322234</v>
      </c>
    </row>
    <row r="7" spans="1:15" x14ac:dyDescent="0.25">
      <c r="A7" s="286">
        <v>0.05</v>
      </c>
      <c r="B7" s="284">
        <f ca="1">_xll.RiskPercentile(Inf_1,0.05,1)</f>
        <v>0</v>
      </c>
      <c r="C7" s="284">
        <f ca="1">_xll.RiskPercentile(Inf_2,0.05,1)</f>
        <v>0</v>
      </c>
      <c r="D7" s="284">
        <f ca="1">_xll.RiskPercentile(Inf_3,0.05,1)</f>
        <v>51106.117397040573</v>
      </c>
      <c r="E7" s="284">
        <f ca="1">_xll.RiskPercentile(Inf_4,0.05,1)</f>
        <v>0</v>
      </c>
      <c r="F7" s="284">
        <f ca="1">_xll.RiskPercentile(Inf_5,0.05,1)</f>
        <v>0</v>
      </c>
      <c r="G7" s="285">
        <f ca="1">_xll.RiskPercentile(Inf_6,0.05,1)</f>
        <v>0</v>
      </c>
      <c r="I7" s="124">
        <v>0.05</v>
      </c>
      <c r="J7" s="284">
        <v>0</v>
      </c>
      <c r="K7" s="284" t="e">
        <v>#N/A</v>
      </c>
      <c r="L7" s="284">
        <v>22519.359097048855</v>
      </c>
      <c r="M7" s="284">
        <v>0</v>
      </c>
      <c r="N7" s="284" t="e">
        <v>#N/A</v>
      </c>
      <c r="O7" s="285">
        <v>0</v>
      </c>
    </row>
    <row r="8" spans="1:15" x14ac:dyDescent="0.25">
      <c r="A8" s="286">
        <v>0.1</v>
      </c>
      <c r="B8" s="284">
        <f ca="1">_xll.RiskPercentile(Inf_1,0.1,1)</f>
        <v>0</v>
      </c>
      <c r="C8" s="284">
        <f ca="1">_xll.RiskPercentile(Inf_2,0.1,1)</f>
        <v>0</v>
      </c>
      <c r="D8" s="284">
        <f ca="1">_xll.RiskPercentile(Inf_3,0.1,1)</f>
        <v>51106.117397040573</v>
      </c>
      <c r="E8" s="284">
        <f ca="1">_xll.RiskPercentile(Inf_4,0.1,1)</f>
        <v>0</v>
      </c>
      <c r="F8" s="284">
        <f ca="1">_xll.RiskPercentile(Inf_5,0.1,1)</f>
        <v>0</v>
      </c>
      <c r="G8" s="285">
        <f ca="1">_xll.RiskPercentile(Inf_6,0.1,1)</f>
        <v>0</v>
      </c>
      <c r="H8" s="276" t="s">
        <v>102</v>
      </c>
      <c r="I8" s="124">
        <v>0.1</v>
      </c>
      <c r="J8" s="284">
        <v>0</v>
      </c>
      <c r="K8" s="284" t="e">
        <v>#N/A</v>
      </c>
      <c r="L8" s="284">
        <v>31508.425186267668</v>
      </c>
      <c r="M8" s="284">
        <v>0</v>
      </c>
      <c r="N8" s="284" t="e">
        <v>#N/A</v>
      </c>
      <c r="O8" s="285">
        <v>0</v>
      </c>
    </row>
    <row r="9" spans="1:15" x14ac:dyDescent="0.25">
      <c r="A9" s="286">
        <v>0.15</v>
      </c>
      <c r="B9" s="284">
        <f ca="1">_xll.RiskPercentile(Inf_1,0.15,1)</f>
        <v>0</v>
      </c>
      <c r="C9" s="284">
        <f ca="1">_xll.RiskPercentile(Inf_2,0.15,1)</f>
        <v>0</v>
      </c>
      <c r="D9" s="284">
        <f ca="1">_xll.RiskPercentile(Inf_3,0.15,1)</f>
        <v>51106.117397040573</v>
      </c>
      <c r="E9" s="284">
        <f ca="1">_xll.RiskPercentile(Inf_4,0.15,1)</f>
        <v>0</v>
      </c>
      <c r="F9" s="284">
        <f ca="1">_xll.RiskPercentile(Inf_5,0.15,1)</f>
        <v>0</v>
      </c>
      <c r="G9" s="285">
        <f ca="1">_xll.RiskPercentile(Inf_6,0.15,1)</f>
        <v>0</v>
      </c>
      <c r="I9" s="124">
        <v>0.15</v>
      </c>
      <c r="J9" s="284">
        <v>0</v>
      </c>
      <c r="K9" s="284" t="e">
        <v>#N/A</v>
      </c>
      <c r="L9" s="284">
        <v>40405.415922407185</v>
      </c>
      <c r="M9" s="284">
        <v>0</v>
      </c>
      <c r="N9" s="284" t="e">
        <v>#N/A</v>
      </c>
      <c r="O9" s="285">
        <v>0</v>
      </c>
    </row>
    <row r="10" spans="1:15" x14ac:dyDescent="0.25">
      <c r="A10" s="286">
        <v>0.2</v>
      </c>
      <c r="B10" s="284">
        <f ca="1">_xll.RiskPercentile(Inf_1,0.2,1)</f>
        <v>0</v>
      </c>
      <c r="C10" s="284">
        <f ca="1">_xll.RiskPercentile(Inf_2,0.2,1)</f>
        <v>0</v>
      </c>
      <c r="D10" s="284">
        <f ca="1">_xll.RiskPercentile(Inf_3,0.2,1)</f>
        <v>51106.117397040573</v>
      </c>
      <c r="E10" s="284">
        <f ca="1">_xll.RiskPercentile(Inf_4,0.2,1)</f>
        <v>0</v>
      </c>
      <c r="F10" s="284">
        <f ca="1">_xll.RiskPercentile(Inf_5,0.2,1)</f>
        <v>0</v>
      </c>
      <c r="G10" s="285">
        <f ca="1">_xll.RiskPercentile(Inf_6,0.2,1)</f>
        <v>0</v>
      </c>
      <c r="I10" s="124">
        <v>0.2</v>
      </c>
      <c r="J10" s="284">
        <v>0</v>
      </c>
      <c r="K10" s="284" t="e">
        <v>#N/A</v>
      </c>
      <c r="L10" s="284">
        <v>53280.49064239084</v>
      </c>
      <c r="M10" s="284">
        <v>0</v>
      </c>
      <c r="N10" s="284" t="e">
        <v>#N/A</v>
      </c>
      <c r="O10" s="285">
        <v>0</v>
      </c>
    </row>
    <row r="11" spans="1:15" x14ac:dyDescent="0.25">
      <c r="A11" s="286">
        <v>0.25</v>
      </c>
      <c r="B11" s="284">
        <f ca="1">_xll.RiskPercentile(Inf_1,0.25,1)</f>
        <v>0</v>
      </c>
      <c r="C11" s="284">
        <f ca="1">_xll.RiskPercentile(Inf_2,0.25,1)</f>
        <v>0</v>
      </c>
      <c r="D11" s="284">
        <f ca="1">_xll.RiskPercentile(Inf_3,0.25,1)</f>
        <v>51106.117397040573</v>
      </c>
      <c r="E11" s="284">
        <f ca="1">_xll.RiskPercentile(Inf_4,0.25,1)</f>
        <v>0</v>
      </c>
      <c r="F11" s="284">
        <f ca="1">_xll.RiskPercentile(Inf_5,0.25,1)</f>
        <v>0</v>
      </c>
      <c r="G11" s="285">
        <f ca="1">_xll.RiskPercentile(Inf_6,0.25,1)</f>
        <v>0</v>
      </c>
      <c r="I11" s="124">
        <v>0.25</v>
      </c>
      <c r="J11" s="284">
        <v>82.272822458435101</v>
      </c>
      <c r="K11" s="284" t="e">
        <v>#N/A</v>
      </c>
      <c r="L11" s="284">
        <v>416741.89174333913</v>
      </c>
      <c r="M11" s="284">
        <v>0</v>
      </c>
      <c r="N11" s="284" t="e">
        <v>#N/A</v>
      </c>
      <c r="O11" s="285">
        <v>401308.89246498171</v>
      </c>
    </row>
    <row r="12" spans="1:15" x14ac:dyDescent="0.25">
      <c r="A12" s="286">
        <v>0.3</v>
      </c>
      <c r="B12" s="284">
        <f ca="1">_xll.RiskPercentile(Inf_1,0.3,1)</f>
        <v>0</v>
      </c>
      <c r="C12" s="284">
        <f ca="1">_xll.RiskPercentile(Inf_2,0.3,1)</f>
        <v>0</v>
      </c>
      <c r="D12" s="284">
        <f ca="1">_xll.RiskPercentile(Inf_3,0.3,1)</f>
        <v>51106.117397040573</v>
      </c>
      <c r="E12" s="284">
        <f ca="1">_xll.RiskPercentile(Inf_4,0.3,1)</f>
        <v>0</v>
      </c>
      <c r="F12" s="284">
        <f ca="1">_xll.RiskPercentile(Inf_5,0.3,1)</f>
        <v>0</v>
      </c>
      <c r="G12" s="285">
        <f ca="1">_xll.RiskPercentile(Inf_6,0.3,1)</f>
        <v>0</v>
      </c>
      <c r="I12" s="124">
        <v>0.3</v>
      </c>
      <c r="J12" s="284">
        <v>124.90555522947959</v>
      </c>
      <c r="K12" s="284" t="e">
        <v>#N/A</v>
      </c>
      <c r="L12" s="284">
        <v>564816.26938620256</v>
      </c>
      <c r="M12" s="284">
        <v>0</v>
      </c>
      <c r="N12" s="284" t="e">
        <v>#N/A</v>
      </c>
      <c r="O12" s="285">
        <v>554653.19588004227</v>
      </c>
    </row>
    <row r="13" spans="1:15" x14ac:dyDescent="0.25">
      <c r="A13" s="286">
        <v>0.35</v>
      </c>
      <c r="B13" s="284">
        <f ca="1">_xll.RiskPercentile(Inf_1,0.35,1)</f>
        <v>0</v>
      </c>
      <c r="C13" s="284">
        <f ca="1">_xll.RiskPercentile(Inf_2,0.35,1)</f>
        <v>0</v>
      </c>
      <c r="D13" s="284">
        <f ca="1">_xll.RiskPercentile(Inf_3,0.35,1)</f>
        <v>51106.117397040573</v>
      </c>
      <c r="E13" s="284">
        <f ca="1">_xll.RiskPercentile(Inf_4,0.35,1)</f>
        <v>0</v>
      </c>
      <c r="F13" s="284">
        <f ca="1">_xll.RiskPercentile(Inf_5,0.35,1)</f>
        <v>0</v>
      </c>
      <c r="G13" s="285">
        <f ca="1">_xll.RiskPercentile(Inf_6,0.35,1)</f>
        <v>0</v>
      </c>
      <c r="I13" s="124">
        <v>0.35</v>
      </c>
      <c r="J13" s="284">
        <v>153.67701880019533</v>
      </c>
      <c r="K13" s="284" t="e">
        <v>#N/A</v>
      </c>
      <c r="L13" s="284">
        <v>678610.75128868222</v>
      </c>
      <c r="M13" s="284">
        <v>0</v>
      </c>
      <c r="N13" s="284" t="e">
        <v>#N/A</v>
      </c>
      <c r="O13" s="285">
        <v>667024.06777505029</v>
      </c>
    </row>
    <row r="14" spans="1:15" x14ac:dyDescent="0.25">
      <c r="A14" s="286">
        <v>0.4</v>
      </c>
      <c r="B14" s="284">
        <f ca="1">_xll.RiskPercentile(Inf_1,0.4,1)</f>
        <v>0</v>
      </c>
      <c r="C14" s="284">
        <f ca="1">_xll.RiskPercentile(Inf_2,0.4,1)</f>
        <v>0</v>
      </c>
      <c r="D14" s="284">
        <f ca="1">_xll.RiskPercentile(Inf_3,0.4,1)</f>
        <v>51106.117397040573</v>
      </c>
      <c r="E14" s="284">
        <f ca="1">_xll.RiskPercentile(Inf_4,0.4,1)</f>
        <v>0</v>
      </c>
      <c r="F14" s="284">
        <f ca="1">_xll.RiskPercentile(Inf_5,0.4,1)</f>
        <v>0</v>
      </c>
      <c r="G14" s="285">
        <f ca="1">_xll.RiskPercentile(Inf_6,0.4,1)</f>
        <v>0</v>
      </c>
      <c r="I14" s="124">
        <v>0.4</v>
      </c>
      <c r="J14" s="284">
        <v>178.56722771073976</v>
      </c>
      <c r="K14" s="284" t="e">
        <v>#N/A</v>
      </c>
      <c r="L14" s="284">
        <v>792803.1648365194</v>
      </c>
      <c r="M14" s="284">
        <v>0</v>
      </c>
      <c r="N14" s="284" t="e">
        <v>#N/A</v>
      </c>
      <c r="O14" s="285">
        <v>778863.64450150181</v>
      </c>
    </row>
    <row r="15" spans="1:15" x14ac:dyDescent="0.25">
      <c r="A15" s="286">
        <v>0.45</v>
      </c>
      <c r="B15" s="284">
        <f ca="1">_xll.RiskPercentile(Inf_1,0.45,1)</f>
        <v>0</v>
      </c>
      <c r="C15" s="284">
        <f ca="1">_xll.RiskPercentile(Inf_2,0.45,1)</f>
        <v>0</v>
      </c>
      <c r="D15" s="284">
        <f ca="1">_xll.RiskPercentile(Inf_3,0.45,1)</f>
        <v>51106.117397040573</v>
      </c>
      <c r="E15" s="284">
        <f ca="1">_xll.RiskPercentile(Inf_4,0.45,1)</f>
        <v>0</v>
      </c>
      <c r="F15" s="284">
        <f ca="1">_xll.RiskPercentile(Inf_5,0.45,1)</f>
        <v>0</v>
      </c>
      <c r="G15" s="285">
        <f ca="1">_xll.RiskPercentile(Inf_6,0.45,1)</f>
        <v>0</v>
      </c>
      <c r="I15" s="124">
        <v>0.45</v>
      </c>
      <c r="J15" s="284">
        <v>200.71541220706183</v>
      </c>
      <c r="K15" s="284" t="e">
        <v>#N/A</v>
      </c>
      <c r="L15" s="284">
        <v>958827.85376266809</v>
      </c>
      <c r="M15" s="284">
        <v>0</v>
      </c>
      <c r="N15" s="284" t="e">
        <v>#N/A</v>
      </c>
      <c r="O15" s="285">
        <v>934510.44451001799</v>
      </c>
    </row>
    <row r="16" spans="1:15" x14ac:dyDescent="0.25">
      <c r="A16" s="286">
        <v>0.5</v>
      </c>
      <c r="B16" s="284">
        <f ca="1">_xll.RiskPercentile(Inf_1,0.5,1)</f>
        <v>0</v>
      </c>
      <c r="C16" s="284">
        <f ca="1">_xll.RiskPercentile(Inf_2,0.5,1)</f>
        <v>0</v>
      </c>
      <c r="D16" s="284">
        <f ca="1">_xll.RiskPercentile(Inf_3,0.5,1)</f>
        <v>51106.117397040573</v>
      </c>
      <c r="E16" s="284">
        <f ca="1">_xll.RiskPercentile(Inf_4,0.5,1)</f>
        <v>0</v>
      </c>
      <c r="F16" s="284">
        <f ca="1">_xll.RiskPercentile(Inf_5,0.5,1)</f>
        <v>0</v>
      </c>
      <c r="G16" s="285">
        <f ca="1">_xll.RiskPercentile(Inf_6,0.5,1)</f>
        <v>0</v>
      </c>
      <c r="I16" s="124">
        <v>0.5</v>
      </c>
      <c r="J16" s="284">
        <v>222.13384849926192</v>
      </c>
      <c r="K16" s="284" t="e">
        <v>#N/A</v>
      </c>
      <c r="L16" s="284">
        <v>1156598.155700546</v>
      </c>
      <c r="M16" s="284">
        <v>0</v>
      </c>
      <c r="N16" s="284" t="e">
        <v>#N/A</v>
      </c>
      <c r="O16" s="285">
        <v>1138741.3839273951</v>
      </c>
    </row>
    <row r="17" spans="1:15" x14ac:dyDescent="0.25">
      <c r="A17" s="286">
        <v>0.55000000000000004</v>
      </c>
      <c r="B17" s="284">
        <f ca="1">_xll.RiskPercentile(Inf_1,0.55,1)</f>
        <v>0</v>
      </c>
      <c r="C17" s="284">
        <f ca="1">_xll.RiskPercentile(Inf_2,0.55,1)</f>
        <v>0</v>
      </c>
      <c r="D17" s="284">
        <f ca="1">_xll.RiskPercentile(Inf_3,0.55,1)</f>
        <v>51106.117397040573</v>
      </c>
      <c r="E17" s="284">
        <f ca="1">_xll.RiskPercentile(Inf_4,0.55,1)</f>
        <v>0</v>
      </c>
      <c r="F17" s="284">
        <f ca="1">_xll.RiskPercentile(Inf_5,0.55,1)</f>
        <v>0</v>
      </c>
      <c r="G17" s="285">
        <f ca="1">_xll.RiskPercentile(Inf_6,0.55,1)</f>
        <v>0</v>
      </c>
      <c r="I17" s="124">
        <v>0.55000000000000004</v>
      </c>
      <c r="J17" s="284">
        <v>242.91247224066129</v>
      </c>
      <c r="K17" s="284" t="e">
        <v>#N/A</v>
      </c>
      <c r="L17" s="284">
        <v>1349260.5106260139</v>
      </c>
      <c r="M17" s="284">
        <v>0</v>
      </c>
      <c r="N17" s="284" t="e">
        <v>#N/A</v>
      </c>
      <c r="O17" s="285">
        <v>1329931.3750325837</v>
      </c>
    </row>
    <row r="18" spans="1:15" x14ac:dyDescent="0.25">
      <c r="A18" s="286">
        <v>0.6</v>
      </c>
      <c r="B18" s="284">
        <f ca="1">_xll.RiskPercentile(Inf_1,0.6,1)</f>
        <v>0</v>
      </c>
      <c r="C18" s="284">
        <f ca="1">_xll.RiskPercentile(Inf_2,0.6,1)</f>
        <v>0</v>
      </c>
      <c r="D18" s="284">
        <f ca="1">_xll.RiskPercentile(Inf_3,0.6,1)</f>
        <v>51106.117397040573</v>
      </c>
      <c r="E18" s="284">
        <f ca="1">_xll.RiskPercentile(Inf_4,0.6,1)</f>
        <v>0</v>
      </c>
      <c r="F18" s="284">
        <f ca="1">_xll.RiskPercentile(Inf_5,0.6,1)</f>
        <v>0</v>
      </c>
      <c r="G18" s="285">
        <f ca="1">_xll.RiskPercentile(Inf_6,0.6,1)</f>
        <v>0</v>
      </c>
      <c r="I18" s="124">
        <v>0.6</v>
      </c>
      <c r="J18" s="284">
        <v>264.32527721523314</v>
      </c>
      <c r="K18" s="284" t="e">
        <v>#N/A</v>
      </c>
      <c r="L18" s="284">
        <v>1543990.0090308564</v>
      </c>
      <c r="M18" s="284">
        <v>0</v>
      </c>
      <c r="N18" s="284" t="e">
        <v>#N/A</v>
      </c>
      <c r="O18" s="285">
        <v>1524019.3194168487</v>
      </c>
    </row>
    <row r="19" spans="1:15" x14ac:dyDescent="0.25">
      <c r="A19" s="286">
        <v>0.65</v>
      </c>
      <c r="B19" s="284">
        <f ca="1">_xll.RiskPercentile(Inf_1,0.65,1)</f>
        <v>0</v>
      </c>
      <c r="C19" s="284">
        <f ca="1">_xll.RiskPercentile(Inf_2,0.65,1)</f>
        <v>0</v>
      </c>
      <c r="D19" s="284">
        <f ca="1">_xll.RiskPercentile(Inf_3,0.65,1)</f>
        <v>51106.117397040573</v>
      </c>
      <c r="E19" s="284">
        <f ca="1">_xll.RiskPercentile(Inf_4,0.65,1)</f>
        <v>0</v>
      </c>
      <c r="F19" s="284">
        <f ca="1">_xll.RiskPercentile(Inf_5,0.65,1)</f>
        <v>0</v>
      </c>
      <c r="G19" s="285">
        <f ca="1">_xll.RiskPercentile(Inf_6,0.65,1)</f>
        <v>0</v>
      </c>
      <c r="I19" s="124">
        <v>0.65</v>
      </c>
      <c r="J19" s="284">
        <v>286.90699580929589</v>
      </c>
      <c r="K19" s="284" t="e">
        <v>#N/A</v>
      </c>
      <c r="L19" s="284">
        <v>1744411.5434102849</v>
      </c>
      <c r="M19" s="284">
        <v>0</v>
      </c>
      <c r="N19" s="284" t="e">
        <v>#N/A</v>
      </c>
      <c r="O19" s="285">
        <v>1717428.1094639213</v>
      </c>
    </row>
    <row r="20" spans="1:15" x14ac:dyDescent="0.25">
      <c r="A20" s="286">
        <v>0.7</v>
      </c>
      <c r="B20" s="284">
        <f ca="1">_xll.RiskPercentile(Inf_1,0.7,1)</f>
        <v>0</v>
      </c>
      <c r="C20" s="284">
        <f ca="1">_xll.RiskPercentile(Inf_2,0.7,1)</f>
        <v>0</v>
      </c>
      <c r="D20" s="284">
        <f ca="1">_xll.RiskPercentile(Inf_3,0.7,1)</f>
        <v>51106.117397040573</v>
      </c>
      <c r="E20" s="284">
        <f ca="1">_xll.RiskPercentile(Inf_4,0.7,1)</f>
        <v>0</v>
      </c>
      <c r="F20" s="284">
        <f ca="1">_xll.RiskPercentile(Inf_5,0.7,1)</f>
        <v>0</v>
      </c>
      <c r="G20" s="285">
        <f ca="1">_xll.RiskPercentile(Inf_6,0.7,1)</f>
        <v>0</v>
      </c>
      <c r="I20" s="124">
        <v>0.7</v>
      </c>
      <c r="J20" s="284">
        <v>311.01793843855597</v>
      </c>
      <c r="K20" s="284" t="e">
        <v>#N/A</v>
      </c>
      <c r="L20" s="284">
        <v>1949183.7636829915</v>
      </c>
      <c r="M20" s="284">
        <v>0</v>
      </c>
      <c r="N20" s="284" t="e">
        <v>#N/A</v>
      </c>
      <c r="O20" s="285">
        <v>1922153.7617694782</v>
      </c>
    </row>
    <row r="21" spans="1:15" x14ac:dyDescent="0.25">
      <c r="A21" s="286">
        <v>0.75</v>
      </c>
      <c r="B21" s="284">
        <f ca="1">_xll.RiskPercentile(Inf_1,0.75,1)</f>
        <v>0</v>
      </c>
      <c r="C21" s="284">
        <f ca="1">_xll.RiskPercentile(Inf_2,0.75,1)</f>
        <v>0</v>
      </c>
      <c r="D21" s="284">
        <f ca="1">_xll.RiskPercentile(Inf_3,0.75,1)</f>
        <v>51106.117397040573</v>
      </c>
      <c r="E21" s="284">
        <f ca="1">_xll.RiskPercentile(Inf_4,0.75,1)</f>
        <v>0</v>
      </c>
      <c r="F21" s="284">
        <f ca="1">_xll.RiskPercentile(Inf_5,0.75,1)</f>
        <v>0</v>
      </c>
      <c r="G21" s="285">
        <f ca="1">_xll.RiskPercentile(Inf_6,0.75,1)</f>
        <v>0</v>
      </c>
      <c r="I21" s="124">
        <v>0.75</v>
      </c>
      <c r="J21" s="284">
        <v>339.27553199380179</v>
      </c>
      <c r="K21" s="284" t="e">
        <v>#N/A</v>
      </c>
      <c r="L21" s="284">
        <v>2170667.2058830173</v>
      </c>
      <c r="M21" s="284">
        <v>0</v>
      </c>
      <c r="N21" s="284" t="e">
        <v>#N/A</v>
      </c>
      <c r="O21" s="285">
        <v>2146692.4486394501</v>
      </c>
    </row>
    <row r="22" spans="1:15" x14ac:dyDescent="0.25">
      <c r="A22" s="286">
        <v>0.8</v>
      </c>
      <c r="B22" s="284">
        <f ca="1">_xll.RiskPercentile(Inf_1,0.8,1)</f>
        <v>0</v>
      </c>
      <c r="C22" s="284">
        <f ca="1">_xll.RiskPercentile(Inf_2,0.8,1)</f>
        <v>0</v>
      </c>
      <c r="D22" s="284">
        <f ca="1">_xll.RiskPercentile(Inf_3,0.8,1)</f>
        <v>51106.117397040573</v>
      </c>
      <c r="E22" s="284">
        <f ca="1">_xll.RiskPercentile(Inf_4,0.8,1)</f>
        <v>0</v>
      </c>
      <c r="F22" s="284">
        <f ca="1">_xll.RiskPercentile(Inf_5,0.8,1)</f>
        <v>0</v>
      </c>
      <c r="G22" s="285">
        <f ca="1">_xll.RiskPercentile(Inf_6,0.8,1)</f>
        <v>0</v>
      </c>
      <c r="I22" s="124">
        <v>0.8</v>
      </c>
      <c r="J22" s="284">
        <v>374.41467455013185</v>
      </c>
      <c r="K22" s="284" t="e">
        <v>#N/A</v>
      </c>
      <c r="L22" s="284">
        <v>2417084.1534580057</v>
      </c>
      <c r="M22" s="284">
        <v>0</v>
      </c>
      <c r="N22" s="284" t="e">
        <v>#N/A</v>
      </c>
      <c r="O22" s="285">
        <v>2396550.2034518193</v>
      </c>
    </row>
    <row r="23" spans="1:15" x14ac:dyDescent="0.25">
      <c r="A23" s="286">
        <v>0.85</v>
      </c>
      <c r="B23" s="284">
        <f ca="1">_xll.RiskPercentile(Inf_1,0.85,1)</f>
        <v>0</v>
      </c>
      <c r="C23" s="284">
        <f ca="1">_xll.RiskPercentile(Inf_2,0.85,1)</f>
        <v>0</v>
      </c>
      <c r="D23" s="284">
        <f ca="1">_xll.RiskPercentile(Inf_3,0.85,1)</f>
        <v>51106.117397040573</v>
      </c>
      <c r="E23" s="284">
        <f ca="1">_xll.RiskPercentile(Inf_4,0.85,1)</f>
        <v>0</v>
      </c>
      <c r="F23" s="284">
        <f ca="1">_xll.RiskPercentile(Inf_5,0.85,1)</f>
        <v>0</v>
      </c>
      <c r="G23" s="285">
        <f ca="1">_xll.RiskPercentile(Inf_6,0.85,1)</f>
        <v>0</v>
      </c>
      <c r="I23" s="124">
        <v>0.85</v>
      </c>
      <c r="J23" s="284">
        <v>427.63386443007943</v>
      </c>
      <c r="K23" s="284" t="e">
        <v>#N/A</v>
      </c>
      <c r="L23" s="284">
        <v>2712028.6707514264</v>
      </c>
      <c r="M23" s="284">
        <v>0</v>
      </c>
      <c r="N23" s="284" t="e">
        <v>#N/A</v>
      </c>
      <c r="O23" s="285">
        <v>2680145.7402079133</v>
      </c>
    </row>
    <row r="24" spans="1:15" x14ac:dyDescent="0.25">
      <c r="A24" s="286">
        <v>0.9</v>
      </c>
      <c r="B24" s="284">
        <f ca="1">_xll.RiskPercentile(Inf_1,0.9,1)</f>
        <v>0</v>
      </c>
      <c r="C24" s="284">
        <f ca="1">_xll.RiskPercentile(Inf_2,0.9,1)</f>
        <v>0</v>
      </c>
      <c r="D24" s="284">
        <f ca="1">_xll.RiskPercentile(Inf_3,0.9,1)</f>
        <v>51106.117397040573</v>
      </c>
      <c r="E24" s="284">
        <f ca="1">_xll.RiskPercentile(Inf_4,0.9,1)</f>
        <v>0</v>
      </c>
      <c r="F24" s="284">
        <f ca="1">_xll.RiskPercentile(Inf_5,0.9,1)</f>
        <v>0</v>
      </c>
      <c r="G24" s="285">
        <f ca="1">_xll.RiskPercentile(Inf_6,0.9,1)</f>
        <v>0</v>
      </c>
      <c r="I24" s="124">
        <v>0.9</v>
      </c>
      <c r="J24" s="284">
        <v>14942506.431969266</v>
      </c>
      <c r="K24" s="284" t="e">
        <v>#N/A</v>
      </c>
      <c r="L24" s="284">
        <v>3073579.7345016594</v>
      </c>
      <c r="M24" s="284">
        <v>118335486.17076735</v>
      </c>
      <c r="N24" s="284" t="e">
        <v>#N/A</v>
      </c>
      <c r="O24" s="285">
        <v>3058725.0482031703</v>
      </c>
    </row>
    <row r="25" spans="1:15" x14ac:dyDescent="0.25">
      <c r="A25" s="286">
        <v>0.95</v>
      </c>
      <c r="B25" s="284">
        <f ca="1">_xll.RiskPercentile(Inf_1,0.95,1)</f>
        <v>0</v>
      </c>
      <c r="C25" s="284">
        <f ca="1">_xll.RiskPercentile(Inf_2,0.95,1)</f>
        <v>0</v>
      </c>
      <c r="D25" s="284">
        <f ca="1">_xll.RiskPercentile(Inf_3,0.95,1)</f>
        <v>51106.117397040573</v>
      </c>
      <c r="E25" s="284">
        <f ca="1">_xll.RiskPercentile(Inf_4,0.95,1)</f>
        <v>0</v>
      </c>
      <c r="F25" s="284">
        <f ca="1">_xll.RiskPercentile(Inf_5,0.95,1)</f>
        <v>0</v>
      </c>
      <c r="G25" s="285">
        <f ca="1">_xll.RiskPercentile(Inf_6,0.95,1)</f>
        <v>0</v>
      </c>
      <c r="I25" s="124">
        <v>0.95</v>
      </c>
      <c r="J25" s="284">
        <v>31443153.706722438</v>
      </c>
      <c r="K25" s="284" t="e">
        <v>#N/A</v>
      </c>
      <c r="L25" s="284">
        <v>3623445.1662484244</v>
      </c>
      <c r="M25" s="284">
        <v>247458429.53318757</v>
      </c>
      <c r="N25" s="284" t="e">
        <v>#N/A</v>
      </c>
      <c r="O25" s="285">
        <v>3590737.8957761494</v>
      </c>
    </row>
    <row r="26" spans="1:15" x14ac:dyDescent="0.25">
      <c r="A26" s="287">
        <v>0.99</v>
      </c>
      <c r="B26" s="288">
        <f ca="1">_xll.RiskPercentile(Inf_1,0.99,1)</f>
        <v>0</v>
      </c>
      <c r="C26" s="288">
        <f ca="1">_xll.RiskPercentile(Inf_2,0.99,1)</f>
        <v>0</v>
      </c>
      <c r="D26" s="288">
        <f ca="1">_xll.RiskPercentile(Inf_3,0.99,1)</f>
        <v>51106.117397040573</v>
      </c>
      <c r="E26" s="288">
        <f ca="1">_xll.RiskPercentile(Inf_4,0.99,1)</f>
        <v>0</v>
      </c>
      <c r="F26" s="288">
        <f ca="1">_xll.RiskPercentile(Inf_5,0.99,1)</f>
        <v>0</v>
      </c>
      <c r="G26" s="289">
        <f ca="1">_xll.RiskPercentile(Inf_6,0.99,1)</f>
        <v>0</v>
      </c>
      <c r="I26" s="124">
        <v>0.99</v>
      </c>
      <c r="J26" s="284">
        <v>47074339.6849159</v>
      </c>
      <c r="K26" s="284" t="e">
        <v>#N/A</v>
      </c>
      <c r="L26" s="284">
        <v>4615281.2635983871</v>
      </c>
      <c r="M26" s="284">
        <v>368989555.40528172</v>
      </c>
      <c r="N26" s="284" t="e">
        <v>#N/A</v>
      </c>
      <c r="O26" s="285">
        <v>4572977.1646460388</v>
      </c>
    </row>
    <row r="27" spans="1:15" x14ac:dyDescent="0.25">
      <c r="A27" s="290"/>
      <c r="B27" s="291"/>
      <c r="C27" s="291"/>
      <c r="D27" s="291"/>
      <c r="E27" s="291"/>
      <c r="F27" s="291"/>
      <c r="G27" s="291"/>
      <c r="I27" s="290"/>
      <c r="J27" s="291">
        <f ca="1">_xll.RiskCumul(J5,J6,J7:J26,$I$7:$I$26)</f>
        <v>21562528.222264409</v>
      </c>
      <c r="K27" s="291" t="e">
        <f ca="1">_xll.RiskCumul(K5,K6,K7:K26,$I$7:$I$26)</f>
        <v>#VALUE!</v>
      </c>
      <c r="L27" s="291">
        <f ca="1">_xll.RiskCumul(L5,L6,L7:L26,$I$7:$I$26)</f>
        <v>3060314.1638847236</v>
      </c>
      <c r="M27" s="291">
        <f ca="1">_xll.RiskCumul(M5,M6,M7:M26,$I$7:$I$26)</f>
        <v>2.9708808083870675E-4</v>
      </c>
      <c r="N27" s="291" t="e">
        <f ca="1">_xll.RiskCumul(N5,N6,N7:N26,$I$7:$I$26)</f>
        <v>#VALUE!</v>
      </c>
      <c r="O27" s="291">
        <f ca="1">_xll.RiskCumul(O5,O6,O7:O26,$I$7:$I$26)</f>
        <v>1114293.5493846021</v>
      </c>
    </row>
    <row r="28" spans="1:15" x14ac:dyDescent="0.25">
      <c r="I28" s="290" t="s">
        <v>139</v>
      </c>
      <c r="J28" s="291">
        <v>0</v>
      </c>
      <c r="K28" s="291">
        <v>0</v>
      </c>
      <c r="L28" s="291">
        <v>0</v>
      </c>
      <c r="M28" s="291">
        <v>0</v>
      </c>
      <c r="N28" s="291">
        <v>0</v>
      </c>
      <c r="O28" s="292">
        <v>0</v>
      </c>
    </row>
    <row r="29" spans="1:15" x14ac:dyDescent="0.25">
      <c r="A29" s="276" t="s">
        <v>273</v>
      </c>
      <c r="D29" s="293" t="s">
        <v>274</v>
      </c>
      <c r="E29" s="294" t="s">
        <v>275</v>
      </c>
    </row>
    <row r="30" spans="1:15" x14ac:dyDescent="0.25">
      <c r="D30" s="124" t="b">
        <f>SRMAge_1</f>
        <v>0</v>
      </c>
      <c r="E30" s="125" t="b">
        <f>Proc_1</f>
        <v>0</v>
      </c>
    </row>
    <row r="31" spans="1:15" x14ac:dyDescent="0.25">
      <c r="D31" s="124" t="b">
        <f>SRMAge_2</f>
        <v>0</v>
      </c>
      <c r="E31" s="125" t="b">
        <f>Proc_2</f>
        <v>0</v>
      </c>
    </row>
    <row r="32" spans="1:15" x14ac:dyDescent="0.25">
      <c r="D32" s="124" t="b">
        <f>SRMAge_3</f>
        <v>0</v>
      </c>
      <c r="E32" s="125" t="b">
        <f>Proc_3</f>
        <v>0</v>
      </c>
    </row>
    <row r="33" spans="4:5" x14ac:dyDescent="0.25">
      <c r="D33" s="124" t="b">
        <f>SRMAge_4</f>
        <v>0</v>
      </c>
      <c r="E33" s="125" t="b">
        <f>Proc_4</f>
        <v>0</v>
      </c>
    </row>
    <row r="34" spans="4:5" x14ac:dyDescent="0.25">
      <c r="D34" s="124" t="b">
        <f>SRMAge_5</f>
        <v>0</v>
      </c>
      <c r="E34" s="125" t="b">
        <f>Proc_5</f>
        <v>0</v>
      </c>
    </row>
    <row r="35" spans="4:5" x14ac:dyDescent="0.25">
      <c r="D35" s="144" t="b">
        <f>SRMAge_6</f>
        <v>0</v>
      </c>
      <c r="E35" s="129" t="b">
        <f>Proc_6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47</vt:i4>
      </vt:variant>
    </vt:vector>
  </HeadingPairs>
  <TitlesOfParts>
    <vt:vector size="58" baseType="lpstr">
      <vt:lpstr>User</vt:lpstr>
      <vt:lpstr>Model</vt:lpstr>
      <vt:lpstr>Surv</vt:lpstr>
      <vt:lpstr>Abattoir</vt:lpstr>
      <vt:lpstr>SRM</vt:lpstr>
      <vt:lpstr>Processing</vt:lpstr>
      <vt:lpstr>Infectivity</vt:lpstr>
      <vt:lpstr>_@RISKFitInformation</vt:lpstr>
      <vt:lpstr>Results</vt:lpstr>
      <vt:lpstr>KEY</vt:lpstr>
      <vt:lpstr>Resampler</vt:lpstr>
      <vt:lpstr>Age_slaughter</vt:lpstr>
      <vt:lpstr>Inf_1</vt:lpstr>
      <vt:lpstr>Inf_2</vt:lpstr>
      <vt:lpstr>Inf_3</vt:lpstr>
      <vt:lpstr>Inf_4</vt:lpstr>
      <vt:lpstr>Inf_5</vt:lpstr>
      <vt:lpstr>Inf_6</vt:lpstr>
      <vt:lpstr>Inf_yr_1</vt:lpstr>
      <vt:lpstr>Inf_yr_2</vt:lpstr>
      <vt:lpstr>Inf_yr_3</vt:lpstr>
      <vt:lpstr>Inf_yr_4</vt:lpstr>
      <vt:lpstr>Inf_yr_5</vt:lpstr>
      <vt:lpstr>Inf_yr_6</vt:lpstr>
      <vt:lpstr>N_carcaseARQ</vt:lpstr>
      <vt:lpstr>N_carcaseVRQ</vt:lpstr>
      <vt:lpstr>P_processing_1</vt:lpstr>
      <vt:lpstr>P_processing_2</vt:lpstr>
      <vt:lpstr>P_processing_3</vt:lpstr>
      <vt:lpstr>P_processing_4</vt:lpstr>
      <vt:lpstr>P_processing_5</vt:lpstr>
      <vt:lpstr>P_processing_6</vt:lpstr>
      <vt:lpstr>Prev_cases</vt:lpstr>
      <vt:lpstr>Proc_1</vt:lpstr>
      <vt:lpstr>Proc_2</vt:lpstr>
      <vt:lpstr>Proc_3</vt:lpstr>
      <vt:lpstr>Proc_4</vt:lpstr>
      <vt:lpstr>Proc_5</vt:lpstr>
      <vt:lpstr>Proc_6</vt:lpstr>
      <vt:lpstr>SRMAge_1</vt:lpstr>
      <vt:lpstr>SRMAge_2</vt:lpstr>
      <vt:lpstr>SRMAge_3</vt:lpstr>
      <vt:lpstr>SRMAge_4</vt:lpstr>
      <vt:lpstr>SRMAge_5</vt:lpstr>
      <vt:lpstr>SRMAge_6</vt:lpstr>
      <vt:lpstr>Titre_1</vt:lpstr>
      <vt:lpstr>Titre_2</vt:lpstr>
      <vt:lpstr>Titre_3</vt:lpstr>
      <vt:lpstr>Titre_4</vt:lpstr>
      <vt:lpstr>Titre_5</vt:lpstr>
      <vt:lpstr>Titre_6</vt:lpstr>
      <vt:lpstr>Uncertainty</vt:lpstr>
      <vt:lpstr>Weight_1</vt:lpstr>
      <vt:lpstr>Weight_2</vt:lpstr>
      <vt:lpstr>Weight_3</vt:lpstr>
      <vt:lpstr>Weight_4</vt:lpstr>
      <vt:lpstr>Weight_5</vt:lpstr>
      <vt:lpstr>Weight_6</vt:lpstr>
    </vt:vector>
  </TitlesOfParts>
  <Company>AHVLA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Adkin, Amie</dc:creator>
  <cp:lastModifiedBy>Adkin, Amie</cp:lastModifiedBy>
  <dcterms:created xsi:type="dcterms:W3CDTF">2013-06-20T12:07:12Z</dcterms:created>
  <dcterms:modified xsi:type="dcterms:W3CDTF">2013-09-24T11:32:06Z</dcterms:modified>
</cp:coreProperties>
</file>