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2"/>
  <workbookPr/>
  <mc:AlternateContent xmlns:mc="http://schemas.openxmlformats.org/markup-compatibility/2006">
    <mc:Choice Requires="x15">
      <x15ac:absPath xmlns:x15ac="http://schemas.microsoft.com/office/spreadsheetml/2010/11/ac" url="/Users/gaelsola/Github-Collabs/mocaredd/inst/extdata/"/>
    </mc:Choice>
  </mc:AlternateContent>
  <xr:revisionPtr revIDLastSave="0" documentId="13_ncr:1_{72DF2BE8-2CE4-7847-A242-5A5A63D0394E}" xr6:coauthVersionLast="47" xr6:coauthVersionMax="47" xr10:uidLastSave="{00000000-0000-0000-0000-000000000000}"/>
  <bookViews>
    <workbookView xWindow="1380" yWindow="760" windowWidth="28860" windowHeight="18880" activeTab="5" xr2:uid="{00000000-000D-0000-FFFF-FFFF00000000}"/>
  </bookViews>
  <sheets>
    <sheet name="Instructions" sheetId="11" r:id="rId1"/>
    <sheet name="user_input_details" sheetId="1" r:id="rId2"/>
    <sheet name="user_inputs" sheetId="2" r:id="rId3"/>
    <sheet name="time_periods" sheetId="3" r:id="rId4"/>
    <sheet name="AD_lu_transitions" sheetId="4" r:id="rId5"/>
    <sheet name="c_stocks" sheetId="5" r:id="rId6"/>
    <sheet name="SIMS_io" sheetId="6" r:id="rId7"/>
    <sheet name="SIMS_EF_preparation" sheetId="7" r:id="rId8"/>
    <sheet name="SIMS_EF" sheetId="8" r:id="rId9"/>
    <sheet name="SIMS_AD" sheetId="9" r:id="rId10"/>
    <sheet name="SIMS_E" sheetId="10" r:id="rId11"/>
  </sheets>
  <definedNames>
    <definedName name="ci_alpha">SIMS_io!$F$5</definedName>
    <definedName name="conf_level">SIMS_io!$C$5</definedName>
    <definedName name="n_iter">SIMS_io!$B$5</definedName>
    <definedName name="year_mon">SIMS_io!$E$5</definedName>
    <definedName name="year_ref">SIMS_io!$D$5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M6" i="7" l="1"/>
  <c r="L6" i="7"/>
  <c r="A20" i="10" l="1" a="1"/>
  <c r="A20" i="10" s="1"/>
  <c r="M20" i="9" a="1"/>
  <c r="M20" i="9" s="1"/>
  <c r="M18" i="9" s="1"/>
  <c r="L20" i="9" a="1"/>
  <c r="L20" i="9" s="1"/>
  <c r="L18" i="9" s="1"/>
  <c r="K20" i="9" a="1"/>
  <c r="K20" i="9" s="1"/>
  <c r="K18" i="9" s="1"/>
  <c r="J20" i="9" a="1"/>
  <c r="J20" i="9" s="1"/>
  <c r="J18" i="9" s="1"/>
  <c r="I20" i="9" a="1"/>
  <c r="I20" i="9" s="1"/>
  <c r="I18" i="9" s="1"/>
  <c r="H20" i="9" a="1"/>
  <c r="H20" i="9" s="1"/>
  <c r="H18" i="9" s="1"/>
  <c r="G20" i="9" a="1"/>
  <c r="G20" i="9" s="1"/>
  <c r="G18" i="9" s="1"/>
  <c r="F20" i="9" a="1"/>
  <c r="F20" i="9" s="1"/>
  <c r="F18" i="9" s="1"/>
  <c r="E20" i="9" a="1"/>
  <c r="E20" i="9" s="1"/>
  <c r="E17" i="9" s="1"/>
  <c r="D20" i="9" a="1"/>
  <c r="D20" i="9" s="1"/>
  <c r="D18" i="9" s="1"/>
  <c r="C20" i="9" a="1"/>
  <c r="C20" i="9" s="1"/>
  <c r="C17" i="9" s="1"/>
  <c r="B20" i="9" a="1"/>
  <c r="B20" i="9" s="1"/>
  <c r="B14" i="9" s="1"/>
  <c r="A20" i="9" a="1"/>
  <c r="A20" i="9" s="1"/>
  <c r="I6" i="8" a="1"/>
  <c r="I6" i="8" s="1"/>
  <c r="H6" i="8" a="1"/>
  <c r="H6" i="8" s="1"/>
  <c r="C6" i="8" a="1"/>
  <c r="C6" i="8" s="1"/>
  <c r="B6" i="8" a="1"/>
  <c r="B6" i="8" s="1"/>
  <c r="C18" i="9" l="1"/>
  <c r="C16" i="9" s="1"/>
  <c r="B18" i="9"/>
  <c r="E18" i="9"/>
  <c r="E16" i="9" s="1"/>
  <c r="B17" i="9"/>
  <c r="D14" i="9"/>
  <c r="D17" i="9"/>
  <c r="D16" i="9" s="1"/>
  <c r="E14" i="9"/>
  <c r="F14" i="9"/>
  <c r="F17" i="9"/>
  <c r="F16" i="9" s="1"/>
  <c r="G14" i="9"/>
  <c r="G17" i="9"/>
  <c r="G16" i="9" s="1"/>
  <c r="H14" i="9"/>
  <c r="H17" i="9"/>
  <c r="H16" i="9" s="1"/>
  <c r="C14" i="9"/>
  <c r="I14" i="9"/>
  <c r="I17" i="9"/>
  <c r="I16" i="9" s="1"/>
  <c r="J14" i="9"/>
  <c r="J17" i="9"/>
  <c r="J16" i="9" s="1"/>
  <c r="K14" i="9"/>
  <c r="K17" i="9"/>
  <c r="K16" i="9" s="1"/>
  <c r="L14" i="9"/>
  <c r="L17" i="9"/>
  <c r="L16" i="9" s="1"/>
  <c r="M14" i="9"/>
  <c r="M17" i="9"/>
  <c r="M16" i="9" s="1"/>
  <c r="I15" i="9" l="1"/>
  <c r="F15" i="9"/>
  <c r="J15" i="9"/>
  <c r="H15" i="9"/>
  <c r="L15" i="9"/>
  <c r="B16" i="9"/>
  <c r="B15" i="9" s="1"/>
  <c r="D15" i="9"/>
  <c r="G15" i="9"/>
  <c r="E15" i="9"/>
  <c r="M15" i="9"/>
  <c r="K15" i="9"/>
  <c r="C15" i="9"/>
  <c r="A20" i="8" l="1" a="1"/>
  <c r="A20" i="8" s="1"/>
  <c r="I20" i="7" a="1"/>
  <c r="I20" i="7" s="1"/>
  <c r="P20" i="7" s="1" a="1"/>
  <c r="P20" i="7" s="1"/>
  <c r="H20" i="7" a="1"/>
  <c r="H20" i="7" s="1"/>
  <c r="H14" i="7" s="1"/>
  <c r="G20" i="7" a="1"/>
  <c r="G20" i="7" s="1"/>
  <c r="F20" i="7" a="1"/>
  <c r="F20" i="7" s="1"/>
  <c r="F17" i="7" s="1"/>
  <c r="E20" i="7" a="1"/>
  <c r="E20" i="7" s="1"/>
  <c r="D20" i="7" a="1"/>
  <c r="D20" i="7" s="1"/>
  <c r="C20" i="7" a="1"/>
  <c r="A20" i="7" a="1"/>
  <c r="A20" i="7" s="1"/>
  <c r="B20" i="7" a="1"/>
  <c r="B20" i="7" s="1"/>
  <c r="L11" i="9"/>
  <c r="H11" i="9"/>
  <c r="D11" i="9"/>
  <c r="L10" i="9"/>
  <c r="H10" i="9"/>
  <c r="D10" i="9"/>
  <c r="L9" i="9"/>
  <c r="H9" i="9"/>
  <c r="D9" i="9"/>
  <c r="L8" i="9"/>
  <c r="H8" i="9"/>
  <c r="D8" i="9"/>
  <c r="L7" i="9"/>
  <c r="H7" i="9"/>
  <c r="D7" i="9"/>
  <c r="L6" i="9"/>
  <c r="H6" i="9"/>
  <c r="D6" i="9"/>
  <c r="L5" i="9"/>
  <c r="H5" i="9"/>
  <c r="D5" i="9"/>
  <c r="L4" i="9"/>
  <c r="H4" i="9"/>
  <c r="D4" i="9"/>
  <c r="L3" i="9"/>
  <c r="H3" i="9"/>
  <c r="D3" i="9"/>
  <c r="L2" i="9"/>
  <c r="H2" i="9"/>
  <c r="D2" i="9"/>
  <c r="B2" i="9" a="1"/>
  <c r="K11" i="9" s="1"/>
  <c r="H6" i="10"/>
  <c r="B7" i="7"/>
  <c r="B6" i="7" a="1"/>
  <c r="B8" i="7" s="1"/>
  <c r="B6" i="7"/>
  <c r="D10" i="7"/>
  <c r="H9" i="7"/>
  <c r="I8" i="7"/>
  <c r="G8" i="7"/>
  <c r="H5" i="7"/>
  <c r="F5" i="7"/>
  <c r="C5" i="7"/>
  <c r="G4" i="7"/>
  <c r="C2" i="7" a="1"/>
  <c r="F11" i="7" s="1"/>
  <c r="F5" i="6"/>
  <c r="B8" i="5"/>
  <c r="K7" i="5"/>
  <c r="J7" i="5"/>
  <c r="B7" i="5"/>
  <c r="K6" i="5"/>
  <c r="J6" i="5"/>
  <c r="B6" i="5"/>
  <c r="B5" i="5"/>
  <c r="B4" i="5"/>
  <c r="B3" i="5"/>
  <c r="B2" i="5"/>
  <c r="B13" i="4"/>
  <c r="B12" i="4"/>
  <c r="B11" i="4"/>
  <c r="B10" i="4"/>
  <c r="B9" i="4"/>
  <c r="B8" i="4"/>
  <c r="B7" i="4"/>
  <c r="B6" i="4"/>
  <c r="B5" i="4"/>
  <c r="B4" i="4"/>
  <c r="B3" i="4"/>
  <c r="B2" i="4"/>
  <c r="C20" i="7" l="1"/>
  <c r="L19" i="7" s="1"/>
  <c r="M20" i="7" a="1"/>
  <c r="M20" i="7" s="1"/>
  <c r="K20" i="7" a="1"/>
  <c r="K20" i="7" s="1"/>
  <c r="J20" i="7" a="1"/>
  <c r="J20" i="7" s="1"/>
  <c r="D18" i="7"/>
  <c r="D17" i="7"/>
  <c r="E17" i="7"/>
  <c r="E18" i="7"/>
  <c r="E14" i="7"/>
  <c r="C18" i="7"/>
  <c r="C17" i="7"/>
  <c r="C14" i="7"/>
  <c r="G14" i="7"/>
  <c r="G17" i="7"/>
  <c r="G18" i="7"/>
  <c r="F18" i="7"/>
  <c r="F16" i="7" s="1"/>
  <c r="D14" i="7"/>
  <c r="H18" i="7"/>
  <c r="I18" i="7"/>
  <c r="F14" i="7"/>
  <c r="H17" i="7"/>
  <c r="I17" i="7"/>
  <c r="I14" i="7"/>
  <c r="D5" i="7"/>
  <c r="D9" i="7"/>
  <c r="E2" i="7"/>
  <c r="H6" i="7"/>
  <c r="G10" i="7"/>
  <c r="H11" i="7"/>
  <c r="C10" i="7"/>
  <c r="E8" i="7"/>
  <c r="G6" i="7"/>
  <c r="I4" i="7"/>
  <c r="D3" i="7"/>
  <c r="G11" i="7"/>
  <c r="I9" i="7"/>
  <c r="D8" i="7"/>
  <c r="F6" i="7"/>
  <c r="H4" i="7"/>
  <c r="C3" i="7"/>
  <c r="E11" i="7"/>
  <c r="G9" i="7"/>
  <c r="I7" i="7"/>
  <c r="D6" i="7"/>
  <c r="F4" i="7"/>
  <c r="H2" i="7"/>
  <c r="D11" i="7"/>
  <c r="F9" i="7"/>
  <c r="H7" i="7"/>
  <c r="C6" i="7"/>
  <c r="E4" i="7"/>
  <c r="G2" i="7"/>
  <c r="C11" i="7"/>
  <c r="E9" i="7"/>
  <c r="G7" i="7"/>
  <c r="I5" i="7"/>
  <c r="D4" i="7"/>
  <c r="F2" i="7"/>
  <c r="H10" i="7"/>
  <c r="C9" i="7"/>
  <c r="E7" i="7"/>
  <c r="G5" i="7"/>
  <c r="I3" i="7"/>
  <c r="D2" i="7"/>
  <c r="F10" i="7"/>
  <c r="H8" i="7"/>
  <c r="C7" i="7"/>
  <c r="E5" i="7"/>
  <c r="G3" i="7"/>
  <c r="C2" i="7"/>
  <c r="E6" i="7"/>
  <c r="E10" i="7"/>
  <c r="I10" i="7"/>
  <c r="E3" i="7"/>
  <c r="I2" i="7"/>
  <c r="I6" i="7"/>
  <c r="P6" i="7" s="1"/>
  <c r="D7" i="7"/>
  <c r="F3" i="7"/>
  <c r="F7" i="7"/>
  <c r="I11" i="7"/>
  <c r="C8" i="7"/>
  <c r="H3" i="7"/>
  <c r="C4" i="7"/>
  <c r="F8" i="7"/>
  <c r="C6" i="10"/>
  <c r="B2" i="9"/>
  <c r="M2" i="9"/>
  <c r="M3" i="9"/>
  <c r="M4" i="9"/>
  <c r="M5" i="9"/>
  <c r="M6" i="9"/>
  <c r="M7" i="9"/>
  <c r="M8" i="9"/>
  <c r="M9" i="9"/>
  <c r="M10" i="9"/>
  <c r="M11" i="9"/>
  <c r="B3" i="9"/>
  <c r="B4" i="9"/>
  <c r="B5" i="9"/>
  <c r="B6" i="9"/>
  <c r="B7" i="9"/>
  <c r="B8" i="9"/>
  <c r="B9" i="9"/>
  <c r="B10" i="9"/>
  <c r="B11" i="9"/>
  <c r="C2" i="9"/>
  <c r="C3" i="9"/>
  <c r="C4" i="9"/>
  <c r="C5" i="9"/>
  <c r="C6" i="9"/>
  <c r="C7" i="9"/>
  <c r="C8" i="9"/>
  <c r="C9" i="9"/>
  <c r="C10" i="9"/>
  <c r="C11" i="9"/>
  <c r="E2" i="9"/>
  <c r="E3" i="9"/>
  <c r="E4" i="9"/>
  <c r="E5" i="9"/>
  <c r="E6" i="9"/>
  <c r="E7" i="9"/>
  <c r="E8" i="9"/>
  <c r="E9" i="9"/>
  <c r="E10" i="9"/>
  <c r="E11" i="9"/>
  <c r="F2" i="9"/>
  <c r="F3" i="9"/>
  <c r="F4" i="9"/>
  <c r="F5" i="9"/>
  <c r="F6" i="9"/>
  <c r="F7" i="9"/>
  <c r="F8" i="9"/>
  <c r="F9" i="9"/>
  <c r="F10" i="9"/>
  <c r="F11" i="9"/>
  <c r="G2" i="9"/>
  <c r="G3" i="9"/>
  <c r="G4" i="9"/>
  <c r="G5" i="9"/>
  <c r="G6" i="9"/>
  <c r="G7" i="9"/>
  <c r="G8" i="9"/>
  <c r="G9" i="9"/>
  <c r="G10" i="9"/>
  <c r="G11" i="9"/>
  <c r="I2" i="9"/>
  <c r="I3" i="9"/>
  <c r="I4" i="9"/>
  <c r="I5" i="9"/>
  <c r="I6" i="9"/>
  <c r="I7" i="9"/>
  <c r="I8" i="9"/>
  <c r="I9" i="9"/>
  <c r="I10" i="9"/>
  <c r="I11" i="9"/>
  <c r="J2" i="9"/>
  <c r="J3" i="9"/>
  <c r="J4" i="9"/>
  <c r="J5" i="9"/>
  <c r="J6" i="9"/>
  <c r="J7" i="9"/>
  <c r="J8" i="9"/>
  <c r="J9" i="9"/>
  <c r="J10" i="9"/>
  <c r="J11" i="9"/>
  <c r="K2" i="9"/>
  <c r="K3" i="9"/>
  <c r="K4" i="9"/>
  <c r="K5" i="9"/>
  <c r="K6" i="9"/>
  <c r="K7" i="9"/>
  <c r="K8" i="9"/>
  <c r="K9" i="9"/>
  <c r="K10" i="9"/>
  <c r="L20" i="7" l="1" a="1"/>
  <c r="L20" i="7" s="1"/>
  <c r="B20" i="8" s="1" a="1"/>
  <c r="B20" i="8" s="1"/>
  <c r="C19" i="8"/>
  <c r="P18" i="7"/>
  <c r="P14" i="7"/>
  <c r="P17" i="7"/>
  <c r="E16" i="7"/>
  <c r="E15" i="7" s="1"/>
  <c r="G16" i="7"/>
  <c r="G15" i="7" s="1"/>
  <c r="I16" i="7"/>
  <c r="I15" i="7" s="1"/>
  <c r="C16" i="7"/>
  <c r="C15" i="7" s="1"/>
  <c r="H16" i="7"/>
  <c r="H15" i="7" s="1"/>
  <c r="D16" i="7"/>
  <c r="D15" i="7" s="1"/>
  <c r="F15" i="7"/>
  <c r="B17" i="7"/>
  <c r="B18" i="7"/>
  <c r="B14" i="7"/>
  <c r="K6" i="7"/>
  <c r="O6" i="7" s="1"/>
  <c r="J6" i="7"/>
  <c r="N6" i="7" s="1"/>
  <c r="I6" i="10"/>
  <c r="B6" i="10"/>
  <c r="M6" i="8" l="1" a="1"/>
  <c r="M6" i="8" s="1"/>
  <c r="M6" i="10" s="1"/>
  <c r="K6" i="8" a="1"/>
  <c r="K6" i="8" s="1"/>
  <c r="K6" i="10" s="1"/>
  <c r="G6" i="8" a="1"/>
  <c r="G6" i="8" s="1"/>
  <c r="G6" i="10" s="1"/>
  <c r="E6" i="8" a="1"/>
  <c r="E6" i="8" s="1"/>
  <c r="E6" i="10" s="1"/>
  <c r="L6" i="8" a="1"/>
  <c r="L6" i="8" s="1"/>
  <c r="L6" i="10" s="1"/>
  <c r="R6" i="10" s="1"/>
  <c r="J6" i="8" a="1"/>
  <c r="J6" i="8" s="1"/>
  <c r="J6" i="10" s="1"/>
  <c r="Q6" i="10" s="1"/>
  <c r="U6" i="10" s="1"/>
  <c r="F6" i="8" a="1"/>
  <c r="F6" i="8" s="1"/>
  <c r="F6" i="10" s="1"/>
  <c r="O6" i="10" s="1"/>
  <c r="D6" i="8" a="1"/>
  <c r="D6" i="8" s="1"/>
  <c r="D6" i="10" s="1"/>
  <c r="B20" i="10" a="1"/>
  <c r="B20" i="10" s="1"/>
  <c r="B19" i="8"/>
  <c r="C20" i="8" a="1"/>
  <c r="C20" i="8" s="1"/>
  <c r="C20" i="10" s="1" a="1"/>
  <c r="C20" i="10" s="1"/>
  <c r="I20" i="8" a="1"/>
  <c r="I20" i="8" s="1"/>
  <c r="I20" i="10" s="1" a="1"/>
  <c r="I20" i="10" s="1"/>
  <c r="H20" i="8" a="1"/>
  <c r="H20" i="8" s="1"/>
  <c r="H20" i="10" s="1" a="1"/>
  <c r="H20" i="10" s="1"/>
  <c r="O20" i="7" a="1"/>
  <c r="O20" i="7" s="1"/>
  <c r="E20" i="8" s="1" a="1"/>
  <c r="E20" i="8" s="1"/>
  <c r="E20" i="10" s="1" a="1"/>
  <c r="E20" i="10" s="1"/>
  <c r="N20" i="7" a="1"/>
  <c r="N20" i="7" s="1"/>
  <c r="L20" i="8" s="1" a="1"/>
  <c r="L20" i="8" s="1"/>
  <c r="L20" i="10" s="1" a="1"/>
  <c r="L20" i="10" s="1"/>
  <c r="P16" i="7"/>
  <c r="P15" i="7" s="1"/>
  <c r="B16" i="7"/>
  <c r="J19" i="7"/>
  <c r="N6" i="10" l="1"/>
  <c r="T6" i="10" s="1"/>
  <c r="W6" i="10" s="1"/>
  <c r="H5" i="6" s="1"/>
  <c r="H18" i="10"/>
  <c r="H17" i="10"/>
  <c r="H14" i="10"/>
  <c r="I18" i="10"/>
  <c r="I17" i="10"/>
  <c r="I14" i="10"/>
  <c r="L17" i="10"/>
  <c r="L14" i="10"/>
  <c r="L18" i="10"/>
  <c r="E17" i="10"/>
  <c r="E18" i="10"/>
  <c r="E14" i="10"/>
  <c r="C18" i="10"/>
  <c r="C17" i="10"/>
  <c r="C14" i="10"/>
  <c r="B18" i="10"/>
  <c r="B17" i="10"/>
  <c r="B14" i="10"/>
  <c r="L17" i="8"/>
  <c r="L18" i="8"/>
  <c r="L14" i="8"/>
  <c r="H14" i="8"/>
  <c r="H17" i="8"/>
  <c r="H18" i="8"/>
  <c r="I14" i="8"/>
  <c r="I17" i="8"/>
  <c r="I18" i="8"/>
  <c r="C14" i="8"/>
  <c r="C17" i="8"/>
  <c r="C18" i="8"/>
  <c r="E14" i="8"/>
  <c r="E17" i="8"/>
  <c r="E18" i="8"/>
  <c r="B18" i="8"/>
  <c r="B17" i="8"/>
  <c r="B14" i="8"/>
  <c r="F20" i="8" a="1"/>
  <c r="F20" i="8" s="1"/>
  <c r="F20" i="10" s="1" a="1"/>
  <c r="F20" i="10" s="1"/>
  <c r="M20" i="8" a="1"/>
  <c r="M20" i="8" s="1"/>
  <c r="M20" i="10" s="1" a="1"/>
  <c r="M20" i="10" s="1"/>
  <c r="R20" i="10" s="1" a="1"/>
  <c r="R20" i="10" s="1"/>
  <c r="G20" i="8" a="1"/>
  <c r="G20" i="8" s="1"/>
  <c r="G20" i="10" s="1" a="1"/>
  <c r="G20" i="10" s="1"/>
  <c r="K20" i="8" a="1"/>
  <c r="K20" i="8" s="1"/>
  <c r="K20" i="10" s="1" a="1"/>
  <c r="K20" i="10" s="1"/>
  <c r="J20" i="8" a="1"/>
  <c r="J20" i="8" s="1"/>
  <c r="J20" i="10" s="1" a="1"/>
  <c r="J20" i="10" s="1"/>
  <c r="D20" i="8" a="1"/>
  <c r="D20" i="8" s="1"/>
  <c r="D20" i="10" s="1" a="1"/>
  <c r="D20" i="10" s="1"/>
  <c r="N20" i="10" s="1" a="1"/>
  <c r="N20" i="10" s="1"/>
  <c r="B15" i="7"/>
  <c r="K14" i="7"/>
  <c r="K18" i="7"/>
  <c r="K17" i="7"/>
  <c r="J14" i="7"/>
  <c r="J18" i="7"/>
  <c r="J17" i="7"/>
  <c r="Q20" i="10" l="1" a="1"/>
  <c r="Q20" i="10" s="1"/>
  <c r="R17" i="10"/>
  <c r="R18" i="10"/>
  <c r="R14" i="10"/>
  <c r="L16" i="10"/>
  <c r="L15" i="10" s="1"/>
  <c r="O20" i="10" a="1"/>
  <c r="O20" i="10" s="1"/>
  <c r="T20" i="10" s="1" a="1"/>
  <c r="T20" i="10" s="1"/>
  <c r="N14" i="10"/>
  <c r="N17" i="10"/>
  <c r="N18" i="10"/>
  <c r="E16" i="10"/>
  <c r="E15" i="10" s="1"/>
  <c r="K18" i="10"/>
  <c r="K17" i="10"/>
  <c r="K14" i="10"/>
  <c r="D18" i="10"/>
  <c r="D17" i="10"/>
  <c r="D14" i="10"/>
  <c r="G18" i="10"/>
  <c r="G17" i="10"/>
  <c r="G14" i="10"/>
  <c r="B16" i="10"/>
  <c r="B15" i="10" s="1"/>
  <c r="I16" i="10"/>
  <c r="I15" i="10" s="1"/>
  <c r="M18" i="10"/>
  <c r="M17" i="10"/>
  <c r="M14" i="10"/>
  <c r="J18" i="10"/>
  <c r="J17" i="10"/>
  <c r="J14" i="10"/>
  <c r="F18" i="10"/>
  <c r="F17" i="10"/>
  <c r="F14" i="10"/>
  <c r="C16" i="10"/>
  <c r="C15" i="10" s="1"/>
  <c r="H16" i="10"/>
  <c r="H15" i="10" s="1"/>
  <c r="E16" i="8"/>
  <c r="E15" i="8" s="1"/>
  <c r="H16" i="8"/>
  <c r="H15" i="8" s="1"/>
  <c r="B16" i="8"/>
  <c r="B15" i="8" s="1"/>
  <c r="I16" i="8"/>
  <c r="I15" i="8" s="1"/>
  <c r="C16" i="8"/>
  <c r="C15" i="8" s="1"/>
  <c r="J17" i="8"/>
  <c r="J18" i="8"/>
  <c r="J14" i="8"/>
  <c r="K17" i="8"/>
  <c r="K18" i="8"/>
  <c r="K14" i="8"/>
  <c r="G14" i="8"/>
  <c r="G17" i="8"/>
  <c r="G18" i="8"/>
  <c r="M18" i="8"/>
  <c r="M14" i="8"/>
  <c r="M17" i="8"/>
  <c r="F14" i="8"/>
  <c r="F17" i="8"/>
  <c r="F18" i="8"/>
  <c r="L16" i="8"/>
  <c r="L15" i="8" s="1"/>
  <c r="D14" i="8"/>
  <c r="D17" i="8"/>
  <c r="D18" i="8"/>
  <c r="N19" i="7"/>
  <c r="N18" i="7"/>
  <c r="K16" i="7"/>
  <c r="K15" i="7" s="1"/>
  <c r="O18" i="7"/>
  <c r="O17" i="7"/>
  <c r="O14" i="7"/>
  <c r="J16" i="7"/>
  <c r="J15" i="7" s="1"/>
  <c r="L14" i="7"/>
  <c r="L18" i="7"/>
  <c r="L17" i="7"/>
  <c r="M18" i="7"/>
  <c r="M17" i="7"/>
  <c r="M14" i="7"/>
  <c r="Q17" i="10" l="1"/>
  <c r="U20" i="10" a="1"/>
  <c r="U20" i="10" s="1"/>
  <c r="W20" i="10" s="1" a="1"/>
  <c r="W20" i="10" s="1"/>
  <c r="Q18" i="10"/>
  <c r="R16" i="10"/>
  <c r="R15" i="10" s="1"/>
  <c r="Q14" i="10"/>
  <c r="O14" i="10"/>
  <c r="O17" i="10"/>
  <c r="O18" i="10"/>
  <c r="N16" i="10"/>
  <c r="N15" i="10" s="1"/>
  <c r="K16" i="10"/>
  <c r="K15" i="10" s="1"/>
  <c r="F16" i="10"/>
  <c r="F15" i="10" s="1"/>
  <c r="J16" i="10"/>
  <c r="J15" i="10" s="1"/>
  <c r="G16" i="10"/>
  <c r="G15" i="10" s="1"/>
  <c r="D16" i="10"/>
  <c r="D15" i="10" s="1"/>
  <c r="M16" i="10"/>
  <c r="M15" i="10" s="1"/>
  <c r="J16" i="8"/>
  <c r="J15" i="8" s="1"/>
  <c r="F16" i="8"/>
  <c r="F15" i="8" s="1"/>
  <c r="D16" i="8"/>
  <c r="D15" i="8" s="1"/>
  <c r="G16" i="8"/>
  <c r="G15" i="8" s="1"/>
  <c r="M16" i="8"/>
  <c r="M15" i="8" s="1"/>
  <c r="K16" i="8"/>
  <c r="K15" i="8" s="1"/>
  <c r="N19" i="10"/>
  <c r="N14" i="7"/>
  <c r="N17" i="7"/>
  <c r="N16" i="7" s="1"/>
  <c r="M16" i="7"/>
  <c r="M15" i="7" s="1"/>
  <c r="L16" i="7"/>
  <c r="L15" i="7" s="1"/>
  <c r="O16" i="7"/>
  <c r="O15" i="7" s="1"/>
  <c r="Q16" i="10" l="1"/>
  <c r="Q15" i="10" s="1"/>
  <c r="U17" i="10"/>
  <c r="U18" i="10"/>
  <c r="U14" i="10"/>
  <c r="W17" i="10"/>
  <c r="T18" i="10"/>
  <c r="O16" i="10"/>
  <c r="O15" i="10" s="1"/>
  <c r="T17" i="10"/>
  <c r="T14" i="10"/>
  <c r="N15" i="7"/>
  <c r="U16" i="10" l="1"/>
  <c r="U15" i="10" s="1"/>
  <c r="T16" i="10"/>
  <c r="T15" i="10" s="1"/>
  <c r="W14" i="10"/>
  <c r="I5" i="6" s="1"/>
  <c r="J9" i="6" s="1"/>
  <c r="W18" i="10"/>
  <c r="W16" i="10" s="1"/>
  <c r="W15" i="10" l="1"/>
  <c r="J5" i="6" s="1"/>
  <c r="I12" i="6" s="1"/>
  <c r="I9" i="6" s="1"/>
  <c r="H9" i="6"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<sst xmlns="http://schemas.openxmlformats.org/spreadsheetml/2006/main" count="447" uniqueCount="139">
  <si>
    <t>trunc_pdf</t>
  </si>
  <si>
    <t>Use truncated distributions to avoid negative values were illogical (TRUE or FALSE)</t>
  </si>
  <si>
    <t>n_iter</t>
  </si>
  <si>
    <t>How many simulations (Default 10,000)</t>
  </si>
  <si>
    <t>ran_seed</t>
  </si>
  <si>
    <t>Use a seed to reproduce random simulations (recommend setting to NULL the first time)</t>
  </si>
  <si>
    <t>c_unit</t>
  </si>
  <si>
    <t>dg_pool</t>
  </si>
  <si>
    <t>If degradation is a ratio of intact forest Cstock, list of pools separated by coma. Any combination of AGB, BGB, DW, LI, SOC or NA if not applicable. Note: the pools not listed in dg_pool will be excluded when calculating the initial vs final Cstocks</t>
  </si>
  <si>
    <t>ad_annual</t>
  </si>
  <si>
    <t>Is AD reported in ha/year or in ha (TRUE or FALSE resp.)</t>
  </si>
  <si>
    <t>conf_level</t>
  </si>
  <si>
    <t>Confidence level (1 - alpha) between 0 and 1</t>
  </si>
  <si>
    <t>c_fraction</t>
  </si>
  <si>
    <t>c_fraction_se</t>
  </si>
  <si>
    <t>c_fraction_pdf</t>
  </si>
  <si>
    <t>dg_ext</t>
  </si>
  <si>
    <t>DM</t>
  </si>
  <si>
    <t>normal</t>
  </si>
  <si>
    <t>_deg</t>
  </si>
  <si>
    <t>ALL</t>
  </si>
  <si>
    <t>period_no</t>
  </si>
  <si>
    <t>year_start</t>
  </si>
  <si>
    <t>year_end</t>
  </si>
  <si>
    <t>period_type</t>
  </si>
  <si>
    <t>T1</t>
  </si>
  <si>
    <t>REF</t>
  </si>
  <si>
    <t>T2</t>
  </si>
  <si>
    <t>MON1</t>
  </si>
  <si>
    <t>trans_no</t>
  </si>
  <si>
    <t>trans_id</t>
  </si>
  <si>
    <t>trans_period</t>
  </si>
  <si>
    <t>c_element</t>
  </si>
  <si>
    <t>trans_area</t>
  </si>
  <si>
    <t>trans_se</t>
  </si>
  <si>
    <t>trans_pdf</t>
  </si>
  <si>
    <t>trans_pdf_a</t>
  </si>
  <si>
    <t>trans_pdf_b</t>
  </si>
  <si>
    <t>trans_pdf_c</t>
  </si>
  <si>
    <t>EV</t>
  </si>
  <si>
    <t>Crop</t>
  </si>
  <si>
    <t>Evergreen Forest</t>
  </si>
  <si>
    <t>Cropland</t>
  </si>
  <si>
    <t>DF</t>
  </si>
  <si>
    <t>M</t>
  </si>
  <si>
    <t>Mountain Forest</t>
  </si>
  <si>
    <t>EV_deg</t>
  </si>
  <si>
    <t>Degraded Evergreen Forest</t>
  </si>
  <si>
    <t>M_deg</t>
  </si>
  <si>
    <t>Degraded Mountain Forest</t>
  </si>
  <si>
    <t>DG</t>
  </si>
  <si>
    <t>c_no</t>
  </si>
  <si>
    <t>c_id</t>
  </si>
  <si>
    <t>c_period</t>
  </si>
  <si>
    <t>c_value</t>
  </si>
  <si>
    <t>c_se</t>
  </si>
  <si>
    <t>c_pdf</t>
  </si>
  <si>
    <t>c_pdf_a</t>
  </si>
  <si>
    <t>c_pdf_b</t>
  </si>
  <si>
    <t>c_pdf_c</t>
  </si>
  <si>
    <t>AGB</t>
  </si>
  <si>
    <t>RS</t>
  </si>
  <si>
    <t>DG_ratio</t>
  </si>
  <si>
    <t>beta</t>
  </si>
  <si>
    <t>RESULTS FROM SIMS_E</t>
  </si>
  <si>
    <t>Simulations inputs</t>
  </si>
  <si>
    <t>Simulations Outputs</t>
  </si>
  <si>
    <t>N iter</t>
  </si>
  <si>
    <t>Conf level</t>
  </si>
  <si>
    <t>REF Period</t>
  </si>
  <si>
    <t>MON Period</t>
  </si>
  <si>
    <t>ci_alpha</t>
  </si>
  <si>
    <t>ER-arithmetic</t>
  </si>
  <si>
    <t>ER-simulated</t>
  </si>
  <si>
    <t>ER-Uperc</t>
  </si>
  <si>
    <t>ER Volume after uncertainty discount</t>
  </si>
  <si>
    <t>TREES ER</t>
  </si>
  <si>
    <t>FCPF ER</t>
  </si>
  <si>
    <t>GCF 2.0 ER (partial U)</t>
  </si>
  <si>
    <t>FCPF buffer level</t>
  </si>
  <si>
    <t>Time period</t>
  </si>
  <si>
    <t>C element</t>
  </si>
  <si>
    <t>CF</t>
  </si>
  <si>
    <t>BGB = (AGB * RS)</t>
  </si>
  <si>
    <t>C_deg = C * DG_ratio</t>
  </si>
  <si>
    <t>C_NF</t>
  </si>
  <si>
    <t>LU_init</t>
  </si>
  <si>
    <t>LU_final</t>
  </si>
  <si>
    <t>VALUE</t>
  </si>
  <si>
    <t>SE</t>
  </si>
  <si>
    <t>PDF</t>
  </si>
  <si>
    <t>calculated</t>
  </si>
  <si>
    <t>pdf_a</t>
  </si>
  <si>
    <t>pdf_b</t>
  </si>
  <si>
    <t>pdf_c</t>
  </si>
  <si>
    <t>on/off</t>
  </si>
  <si>
    <t>MEDIAN</t>
  </si>
  <si>
    <t>U%</t>
  </si>
  <si>
    <t>ME</t>
  </si>
  <si>
    <t>CI_LOWER</t>
  </si>
  <si>
    <t>CI_UPPER</t>
  </si>
  <si>
    <t>EF-REF</t>
  </si>
  <si>
    <t>EF_ MON</t>
  </si>
  <si>
    <t>E_REF</t>
  </si>
  <si>
    <t>E_MON</t>
  </si>
  <si>
    <t>sum(E) / nb_years</t>
  </si>
  <si>
    <t>ER = E_ref - E_mon</t>
  </si>
  <si>
    <t>E_REF_DF</t>
  </si>
  <si>
    <t>E_REF_DG</t>
  </si>
  <si>
    <t>E_MON_DF</t>
  </si>
  <si>
    <t>E_MON_DG</t>
  </si>
  <si>
    <t>ER</t>
  </si>
  <si>
    <t>This workbook acts as a template for {mocaredd} the Monte Carlo simulations tool for REDD+ uncertainty analysis</t>
  </si>
  <si>
    <t>Users can build as many tabs as desired but need the 4 building blocks to process a REDD+ carbon accouting and the asosciated incertainty:</t>
  </si>
  <si>
    <t xml:space="preserve">user_inputs: 
describes a few parameters to allow the tool to handle as many configurations as possible.
time_periods: 
describes the diiferent time periods used for building the reference period and the monitoring period(s).
AD_lu_transitions: 
describes the areas of land use/land cover change that generate emissions and or removals.
c_stocks: 
describes the carbon elements necessary to build emission and removal factors associated with the land use transitions </t>
  </si>
  <si>
    <t>Core interactions</t>
  </si>
  <si>
    <t>1. The land use IDs entered in the tab "AD_lu_transitions" (lu_initial_id" and "lu_final_id") must be the same as the land use IDs described in "c_stocks" to match activity data and emission factors
2.  Carbon pools AGB and BGB (if not expressed as a root-to-shoot ratio) are either reported as tons of dry matter (DM) or of carbon. If dry matter, a carbon fraction must be entered in "user_inputs" with, if possible, a standard error so that random simulations with be generated for the caron fraction.
3. Degraded land uses must be coded with the same ID as their intact equivalent with a consistent extension (for ex. "ev_deg" is the degraded land use of "ev") and the extension should be noted in the field "dg_ext"of the tab "user_inputs".</t>
  </si>
  <si>
    <t>How is the data used by {mocaredd}</t>
  </si>
  <si>
    <t>Upon uploading the data, the app runs 4 processes: (1) check the data to ensure it allows to construct emission factors matching the activity data and generate emission reductions, (2) build the carbon accounting calculations with arithmetic means to give a first idea of the volume of emission reductions, (3) run monte carlo simulations and provide simulation-based emission reductions for the monitoring period(s) desired with their aggregated uncertainty level and (4) turn off the variability of part of the input data to determine their contribution to the overall uncertainty (sensitivity analysis).</t>
  </si>
  <si>
    <t>Note</t>
  </si>
  <si>
    <t>For the sake of comparability, all calculations related tro emission factors are rounded to 3 digits and al calculations related to activity data, emissions and removals are rounded to the nearest integer (0 digits).</t>
  </si>
  <si>
    <t>The tabs SIMS_io and SIMS showcase the calculations with MS Excel for 10 simulations. For backward compatibility, array-based formulas are not used</t>
  </si>
  <si>
    <t>input_name</t>
  </si>
  <si>
    <t>input_description</t>
  </si>
  <si>
    <t>What is the unit of AGB and BGB if included (DM for dry matter or C for carbon)</t>
  </si>
  <si>
    <t xml:space="preserve">Carbon fraction value, mandatory if c_unit is "DM" </t>
  </si>
  <si>
    <t xml:space="preserve">Carbon fraction standard error, mandatory if c_unit is "DM" </t>
  </si>
  <si>
    <t xml:space="preserve">Carbon fraction PDF, mandatory if c_unit is "DM" </t>
  </si>
  <si>
    <t>extension for degradation land use (ex. "_deg") for the code to identify degradaed LU and their corresponding intact class</t>
  </si>
  <si>
    <t>C = AGB * (1 + RS) * CF</t>
  </si>
  <si>
    <t>trans_placeholder</t>
  </si>
  <si>
    <t>c_lu_id</t>
  </si>
  <si>
    <t>c_placeholder</t>
  </si>
  <si>
    <t>c_lu_name</t>
  </si>
  <si>
    <t>lu_initial_id</t>
  </si>
  <si>
    <t>lu_final_id</t>
  </si>
  <si>
    <t>lu_initial</t>
  </si>
  <si>
    <t>lu_final</t>
  </si>
  <si>
    <t>redd_activity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</si>
</sst>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_(* #,##0_);_(* \(#,##0\);_(* &quot;-&quot;??_);_(@_)"/>
    <numFmt numFmtId="165" formatCode="0.000"/>
  </numFmts>
  <fonts count="28" x14ac:knownFonts="1">
    <font>
      <sz val="10"/>
      <color rgb="FF000000"/>
      <name val="Arial"/>
      <scheme val="minor"/>
    </font>
    <font>
      <sz val="10"/>
      <color rgb="FF000000"/>
      <name val="Arial"/>
      <family val="2"/>
    </font>
    <font>
      <sz val="10"/>
      <color theme="1"/>
      <name val="Arial"/>
      <family val="2"/>
      <scheme val="minor"/>
    </font>
    <font>
      <b/>
      <sz val="10"/>
      <color theme="1"/>
      <name val="Arial"/>
      <family val="2"/>
    </font>
    <font>
      <sz val="10"/>
      <color theme="1"/>
      <name val="Arial"/>
      <family val="2"/>
    </font>
    <font>
      <b/>
      <sz val="12"/>
      <color theme="1"/>
      <name val="Arial"/>
      <family val="2"/>
    </font>
    <font>
      <b/>
      <sz val="12"/>
      <color theme="1"/>
      <name val="Arial"/>
      <family val="2"/>
      <scheme val="minor"/>
    </font>
    <font>
      <b/>
      <sz val="12"/>
      <color theme="0"/>
      <name val="Arial"/>
      <family val="2"/>
    </font>
    <font>
      <b/>
      <sz val="12"/>
      <color rgb="FFFFFFFF"/>
      <name val="Arial"/>
      <family val="2"/>
    </font>
    <font>
      <sz val="10"/>
      <name val="Arial"/>
      <family val="2"/>
    </font>
    <font>
      <b/>
      <sz val="10"/>
      <color theme="1"/>
      <name val="Arial"/>
      <family val="2"/>
      <scheme val="minor"/>
    </font>
    <font>
      <b/>
      <sz val="10"/>
      <color theme="0"/>
      <name val="Arial"/>
      <family val="2"/>
    </font>
    <font>
      <b/>
      <sz val="10"/>
      <color rgb="FF000000"/>
      <name val="Arial"/>
      <family val="2"/>
    </font>
    <font>
      <i/>
      <sz val="10"/>
      <color rgb="FF000000"/>
      <name val="Arial"/>
      <family val="2"/>
    </font>
    <font>
      <i/>
      <sz val="10"/>
      <color theme="1"/>
      <name val="Arial"/>
      <family val="2"/>
      <scheme val="minor"/>
    </font>
    <font>
      <i/>
      <sz val="10"/>
      <color theme="1"/>
      <name val="Arial"/>
      <family val="2"/>
      <scheme val="minor"/>
    </font>
    <font>
      <sz val="10"/>
      <color theme="1"/>
      <name val="Arial"/>
      <family val="2"/>
      <scheme val="minor"/>
    </font>
    <font>
      <sz val="10"/>
      <color theme="1"/>
      <name val="Arial"/>
      <family val="2"/>
    </font>
    <font>
      <i/>
      <sz val="10"/>
      <color rgb="FFCCCCCC"/>
      <name val="Arial"/>
      <family val="2"/>
      <scheme val="minor"/>
    </font>
    <font>
      <i/>
      <sz val="10"/>
      <color rgb="FFCCCCCC"/>
      <name val="Arial"/>
      <family val="2"/>
    </font>
    <font>
      <sz val="10"/>
      <color rgb="FF000000"/>
      <name val="Arial"/>
      <family val="2"/>
    </font>
    <font>
      <sz val="10"/>
      <color rgb="FF000000"/>
      <name val="Arial"/>
      <family val="2"/>
      <scheme val="minor"/>
    </font>
    <font>
      <i/>
      <sz val="10"/>
      <color theme="0" tint="-0.249977111117893"/>
      <name val="Arial"/>
      <family val="2"/>
      <scheme val="minor"/>
    </font>
    <font>
      <sz val="12"/>
      <color rgb="FF000000"/>
      <name val="Arial (Body)"/>
    </font>
    <font>
      <b/>
      <sz val="10"/>
      <color rgb="FF000000"/>
      <name val="Arial"/>
      <family val="2"/>
      <scheme val="minor"/>
    </font>
    <font>
      <sz val="12"/>
      <color rgb="FF000000"/>
      <name val="Arial"/>
      <family val="2"/>
      <scheme val="minor"/>
    </font>
    <font>
      <b/>
      <sz val="12"/>
      <color rgb="FF000000"/>
      <name val="Arial"/>
      <family val="2"/>
      <scheme val="minor"/>
    </font>
    <font>
      <b/>
      <sz val="12"/>
      <color rgb="FF000000"/>
      <name val="Arial (Body)"/>
    </font>
  </fonts>
  <fills count="16">
    <fill>
      <patternFill patternType="none"/>
    </fill>
    <fill>
      <patternFill patternType="gray125"/>
    </fill>
    <fill>
      <patternFill patternType="solid">
        <fgColor rgb="FFF28E85"/>
        <bgColor rgb="FFF28E85"/>
      </patternFill>
    </fill>
    <fill>
      <patternFill patternType="solid">
        <fgColor rgb="FFF6B3AE"/>
        <bgColor rgb="FFF6B3AE"/>
      </patternFill>
    </fill>
    <fill>
      <patternFill patternType="solid">
        <fgColor rgb="FFA6E3B6"/>
        <bgColor rgb="FFA6E3B6"/>
      </patternFill>
    </fill>
    <fill>
      <patternFill patternType="solid">
        <fgColor rgb="FFFEF1CC"/>
        <bgColor rgb="FFFEF1CC"/>
      </patternFill>
    </fill>
    <fill>
      <patternFill patternType="solid">
        <fgColor rgb="FFD9E6FC"/>
        <bgColor rgb="FFD9E6FC"/>
      </patternFill>
    </fill>
    <fill>
      <patternFill patternType="solid">
        <fgColor rgb="FFFEE1CC"/>
        <bgColor rgb="FFFEE1CC"/>
      </patternFill>
    </fill>
    <fill>
      <patternFill patternType="solid">
        <fgColor rgb="FFD9EAD3"/>
        <bgColor rgb="FFD9EAD3"/>
      </patternFill>
    </fill>
    <fill>
      <patternFill patternType="solid">
        <fgColor rgb="FFC00000"/>
        <bgColor rgb="FFC00000"/>
      </patternFill>
    </fill>
    <fill>
      <patternFill patternType="solid">
        <fgColor rgb="FFFFFF00"/>
        <bgColor rgb="FFFFFF00"/>
      </patternFill>
    </fill>
    <fill>
      <patternFill patternType="solid">
        <fgColor rgb="FFFFF2CC"/>
        <bgColor rgb="FFFFF2CC"/>
      </patternFill>
    </fill>
    <fill>
      <patternFill patternType="solid">
        <fgColor rgb="FF8DB5F8"/>
        <bgColor rgb="FF8DB5F8"/>
      </patternFill>
    </fill>
    <fill>
      <patternFill patternType="solid">
        <fgColor rgb="FFFFFF00"/>
        <bgColor rgb="FF8DB5F8"/>
      </patternFill>
    </fill>
    <fill>
      <patternFill patternType="solid">
        <fgColor rgb="FFFFFF00"/>
        <bgColor rgb="FFB6D7A8"/>
      </patternFill>
    </fill>
    <fill>
      <patternFill patternType="solid">
        <fgColor theme="7" tint="0.79998168889431442"/>
        <bgColor rgb="FFB6D7A8"/>
      </patternFill>
    </fill>
  </fills>
  <borders count="28">
    <border>
      <left/>
      <right/>
      <top/>
      <bottom/>
      <diagonal/>
    </border>
    <border>
      <left/>
      <right/>
      <top/>
      <bottom/>
      <diagonal/>
    </border>
    <border>
      <left/>
      <right/>
      <top/>
      <bottom/>
      <diagonal/>
    </border>
    <border>
      <left/>
      <right/>
      <top/>
      <bottom/>
      <diagonal/>
    </border>
    <border>
      <left/>
      <right/>
      <top/>
      <bottom/>
      <diagonal/>
    </border>
    <border>
      <left style="medium">
        <color rgb="FF000000"/>
      </left>
      <right/>
      <top style="medium">
        <color rgb="FF000000"/>
      </top>
      <bottom/>
      <diagonal/>
    </border>
    <border>
      <left style="medium">
        <color rgb="FF000000"/>
      </left>
      <right style="medium">
        <color rgb="FF000000"/>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top/>
      <bottom/>
      <diagonal/>
    </border>
    <border>
      <left style="medium">
        <color rgb="FF000000"/>
      </left>
      <right style="medium">
        <color rgb="FF000000"/>
      </right>
      <top/>
      <bottom/>
      <diagonal/>
    </border>
    <border>
      <left/>
      <right style="medium">
        <color rgb="FF000000"/>
      </right>
      <top/>
      <bottom/>
      <diagonal/>
    </border>
    <border>
      <left style="medium">
        <color rgb="FF000000"/>
      </left>
      <right/>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style="medium">
        <color rgb="FF000000"/>
      </left>
      <right/>
      <top/>
      <bottom/>
      <diagonal/>
    </border>
    <border>
      <left/>
      <right style="medium">
        <color rgb="FF000000"/>
      </right>
      <top/>
      <bottom/>
      <diagonal/>
    </border>
    <border>
      <left/>
      <right style="medium">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s>
  <cellStyleXfs count="2">
    <xf numFmtId="0" fontId="0" fillId="0" borderId="0"/>
    <xf numFmtId="0" fontId="21" fillId="0" borderId="4"/>
  </cellStyleXfs>
  <cellXfs count="153">
    <xf numFmtId="0" fontId="0" fillId="0" borderId="0" xfId="0"/>
    <xf numFmtId="0" fontId="1" fillId="0" borderId="0" xfId="0" applyFont="1"/>
    <xf numFmtId="0" fontId="2" fillId="0" borderId="0" xfId="0" applyFont="1"/>
    <xf numFmtId="0" fontId="4" fillId="2" borderId="1" xfId="0" applyFont="1" applyFill="1" applyBorder="1"/>
    <xf numFmtId="0" fontId="4" fillId="3" borderId="1" xfId="0" applyFont="1" applyFill="1" applyBorder="1"/>
    <xf numFmtId="0" fontId="4" fillId="4" borderId="1" xfId="0" applyFont="1" applyFill="1" applyBorder="1"/>
    <xf numFmtId="0" fontId="5" fillId="0" borderId="0" xfId="0" applyFont="1"/>
    <xf numFmtId="0" fontId="4" fillId="5" borderId="1" xfId="0" applyFont="1" applyFill="1" applyBorder="1"/>
    <xf numFmtId="0" fontId="4" fillId="6" borderId="1" xfId="0" applyFont="1" applyFill="1" applyBorder="1"/>
    <xf numFmtId="0" fontId="4" fillId="7" borderId="1" xfId="0" applyFont="1" applyFill="1" applyBorder="1"/>
    <xf numFmtId="0" fontId="1" fillId="7" borderId="1" xfId="0" applyFont="1" applyFill="1" applyBorder="1"/>
    <xf numFmtId="0" fontId="6" fillId="0" borderId="0" xfId="0" applyFont="1" applyAlignment="1">
      <alignment horizontal="center"/>
    </xf>
    <xf numFmtId="0" fontId="7" fillId="0" borderId="0" xfId="0" applyFont="1"/>
    <xf numFmtId="0" fontId="3" fillId="8" borderId="0" xfId="0" applyFont="1" applyFill="1"/>
    <xf numFmtId="0" fontId="11" fillId="9" borderId="1" xfId="0" applyFont="1" applyFill="1" applyBorder="1"/>
    <xf numFmtId="9" fontId="3" fillId="8" borderId="0" xfId="0" applyNumberFormat="1" applyFont="1" applyFill="1"/>
    <xf numFmtId="164" fontId="11" fillId="9" borderId="1" xfId="0" applyNumberFormat="1" applyFont="1" applyFill="1" applyBorder="1"/>
    <xf numFmtId="9" fontId="11" fillId="9" borderId="1" xfId="0" applyNumberFormat="1" applyFont="1" applyFill="1" applyBorder="1"/>
    <xf numFmtId="164" fontId="1" fillId="0" borderId="0" xfId="0" applyNumberFormat="1" applyFont="1"/>
    <xf numFmtId="0" fontId="2" fillId="0" borderId="5" xfId="0" applyFont="1" applyBorder="1"/>
    <xf numFmtId="0" fontId="2" fillId="0" borderId="6" xfId="0" applyFont="1" applyBorder="1"/>
    <xf numFmtId="0" fontId="2" fillId="10" borderId="7" xfId="0" applyFont="1" applyFill="1" applyBorder="1"/>
    <xf numFmtId="0" fontId="2" fillId="11" borderId="7" xfId="0" applyFont="1" applyFill="1" applyBorder="1"/>
    <xf numFmtId="0" fontId="2" fillId="0" borderId="7" xfId="0" applyFont="1" applyBorder="1"/>
    <xf numFmtId="0" fontId="2" fillId="0" borderId="8" xfId="0" applyFont="1" applyBorder="1"/>
    <xf numFmtId="0" fontId="12" fillId="0" borderId="9" xfId="0" applyFont="1" applyBorder="1" applyAlignment="1">
      <alignment horizontal="left"/>
    </xf>
    <xf numFmtId="0" fontId="10" fillId="0" borderId="10" xfId="0" applyFont="1" applyBorder="1"/>
    <xf numFmtId="0" fontId="10" fillId="11" borderId="0" xfId="0" applyFont="1" applyFill="1"/>
    <xf numFmtId="0" fontId="12" fillId="0" borderId="9" xfId="0" applyFont="1" applyBorder="1" applyAlignment="1">
      <alignment horizontal="center"/>
    </xf>
    <xf numFmtId="0" fontId="12" fillId="0" borderId="0" xfId="0" applyFont="1" applyAlignment="1">
      <alignment horizontal="center"/>
    </xf>
    <xf numFmtId="0" fontId="12" fillId="0" borderId="11" xfId="0" applyFont="1" applyBorder="1" applyAlignment="1">
      <alignment horizontal="center"/>
    </xf>
    <xf numFmtId="0" fontId="1" fillId="0" borderId="0" xfId="0" applyFont="1" applyAlignment="1">
      <alignment horizontal="center"/>
    </xf>
    <xf numFmtId="0" fontId="13" fillId="0" borderId="9" xfId="0" applyFont="1" applyBorder="1" applyAlignment="1">
      <alignment horizontal="center"/>
    </xf>
    <xf numFmtId="0" fontId="2" fillId="0" borderId="10" xfId="0" applyFont="1" applyBorder="1"/>
    <xf numFmtId="0" fontId="2" fillId="11" borderId="0" xfId="0" applyFont="1" applyFill="1"/>
    <xf numFmtId="0" fontId="14" fillId="0" borderId="9" xfId="0" applyFont="1" applyBorder="1" applyAlignment="1">
      <alignment horizontal="center"/>
    </xf>
    <xf numFmtId="0" fontId="14" fillId="0" borderId="0" xfId="0" applyFont="1" applyAlignment="1">
      <alignment horizontal="center"/>
    </xf>
    <xf numFmtId="0" fontId="13" fillId="0" borderId="11" xfId="0" applyFont="1" applyBorder="1" applyAlignment="1">
      <alignment horizontal="center"/>
    </xf>
    <xf numFmtId="0" fontId="15" fillId="0" borderId="0" xfId="0" applyFont="1" applyAlignment="1">
      <alignment horizontal="center"/>
    </xf>
    <xf numFmtId="0" fontId="15" fillId="0" borderId="9" xfId="0" applyFont="1" applyBorder="1" applyAlignment="1">
      <alignment horizontal="center"/>
    </xf>
    <xf numFmtId="0" fontId="15" fillId="0" borderId="11" xfId="0" applyFont="1" applyBorder="1" applyAlignment="1">
      <alignment horizontal="center"/>
    </xf>
    <xf numFmtId="0" fontId="1" fillId="0" borderId="9" xfId="0" applyFont="1" applyBorder="1" applyAlignment="1">
      <alignment horizontal="left"/>
    </xf>
    <xf numFmtId="0" fontId="10" fillId="10" borderId="10" xfId="0" applyFont="1" applyFill="1" applyBorder="1"/>
    <xf numFmtId="165" fontId="1" fillId="0" borderId="9" xfId="0" applyNumberFormat="1" applyFont="1" applyBorder="1"/>
    <xf numFmtId="165" fontId="1" fillId="0" borderId="0" xfId="0" applyNumberFormat="1" applyFont="1"/>
    <xf numFmtId="165" fontId="1" fillId="0" borderId="11" xfId="0" applyNumberFormat="1" applyFont="1" applyBorder="1"/>
    <xf numFmtId="0" fontId="2" fillId="11" borderId="10" xfId="0" applyFont="1" applyFill="1" applyBorder="1"/>
    <xf numFmtId="0" fontId="2" fillId="0" borderId="9" xfId="0" applyFont="1" applyBorder="1"/>
    <xf numFmtId="0" fontId="2" fillId="0" borderId="11" xfId="0" applyFont="1" applyBorder="1"/>
    <xf numFmtId="0" fontId="1" fillId="0" borderId="9" xfId="0" applyFont="1" applyBorder="1"/>
    <xf numFmtId="0" fontId="1" fillId="0" borderId="11" xfId="0" applyFont="1" applyBorder="1"/>
    <xf numFmtId="0" fontId="16" fillId="0" borderId="9" xfId="0" applyFont="1" applyBorder="1"/>
    <xf numFmtId="0" fontId="16" fillId="0" borderId="12" xfId="0" applyFont="1" applyBorder="1"/>
    <xf numFmtId="0" fontId="2" fillId="0" borderId="13" xfId="0" applyFont="1" applyBorder="1"/>
    <xf numFmtId="0" fontId="2" fillId="0" borderId="14" xfId="0" applyFont="1" applyBorder="1"/>
    <xf numFmtId="0" fontId="2" fillId="0" borderId="12" xfId="0" applyFont="1" applyBorder="1"/>
    <xf numFmtId="0" fontId="2" fillId="0" borderId="15" xfId="0" applyFont="1" applyBorder="1"/>
    <xf numFmtId="0" fontId="12" fillId="0" borderId="9" xfId="0" applyFont="1" applyBorder="1"/>
    <xf numFmtId="165" fontId="1" fillId="12" borderId="17" xfId="0" applyNumberFormat="1" applyFont="1" applyFill="1" applyBorder="1"/>
    <xf numFmtId="165" fontId="1" fillId="12" borderId="1" xfId="0" applyNumberFormat="1" applyFont="1" applyFill="1" applyBorder="1"/>
    <xf numFmtId="165" fontId="1" fillId="12" borderId="18" xfId="0" applyNumberFormat="1" applyFont="1" applyFill="1" applyBorder="1"/>
    <xf numFmtId="9" fontId="1" fillId="12" borderId="16" xfId="0" applyNumberFormat="1" applyFont="1" applyFill="1" applyBorder="1"/>
    <xf numFmtId="9" fontId="1" fillId="12" borderId="17" xfId="0" applyNumberFormat="1" applyFont="1" applyFill="1" applyBorder="1"/>
    <xf numFmtId="9" fontId="1" fillId="12" borderId="1" xfId="0" applyNumberFormat="1" applyFont="1" applyFill="1" applyBorder="1"/>
    <xf numFmtId="9" fontId="1" fillId="12" borderId="18" xfId="0" applyNumberFormat="1" applyFont="1" applyFill="1" applyBorder="1"/>
    <xf numFmtId="0" fontId="1" fillId="12" borderId="16" xfId="0" applyFont="1" applyFill="1" applyBorder="1"/>
    <xf numFmtId="0" fontId="1" fillId="12" borderId="17" xfId="0" applyFont="1" applyFill="1" applyBorder="1"/>
    <xf numFmtId="0" fontId="1" fillId="12" borderId="1" xfId="0" applyFont="1" applyFill="1" applyBorder="1"/>
    <xf numFmtId="0" fontId="1" fillId="12" borderId="18" xfId="0" applyFont="1" applyFill="1" applyBorder="1"/>
    <xf numFmtId="0" fontId="18" fillId="0" borderId="12" xfId="0" applyFont="1" applyBorder="1"/>
    <xf numFmtId="0" fontId="18" fillId="0" borderId="14" xfId="0" applyFont="1" applyBorder="1"/>
    <xf numFmtId="0" fontId="16" fillId="10" borderId="0" xfId="0" applyFont="1" applyFill="1"/>
    <xf numFmtId="165" fontId="1" fillId="10" borderId="0" xfId="0" applyNumberFormat="1" applyFont="1" applyFill="1"/>
    <xf numFmtId="165" fontId="17" fillId="12" borderId="1" xfId="0" applyNumberFormat="1" applyFont="1" applyFill="1" applyBorder="1" applyAlignment="1">
      <alignment horizontal="right"/>
    </xf>
    <xf numFmtId="165" fontId="17" fillId="12" borderId="18" xfId="0" applyNumberFormat="1" applyFont="1" applyFill="1" applyBorder="1" applyAlignment="1">
      <alignment horizontal="right"/>
    </xf>
    <xf numFmtId="9" fontId="17" fillId="12" borderId="1" xfId="0" applyNumberFormat="1" applyFont="1" applyFill="1" applyBorder="1" applyAlignment="1">
      <alignment horizontal="right"/>
    </xf>
    <xf numFmtId="9" fontId="17" fillId="12" borderId="18" xfId="0" applyNumberFormat="1" applyFont="1" applyFill="1" applyBorder="1" applyAlignment="1">
      <alignment horizontal="right"/>
    </xf>
    <xf numFmtId="0" fontId="2" fillId="10" borderId="5" xfId="0" applyFont="1" applyFill="1" applyBorder="1"/>
    <xf numFmtId="0" fontId="2" fillId="11" borderId="8" xfId="0" applyFont="1" applyFill="1" applyBorder="1"/>
    <xf numFmtId="0" fontId="2" fillId="11" borderId="9" xfId="0" applyFont="1" applyFill="1" applyBorder="1"/>
    <xf numFmtId="0" fontId="2" fillId="11" borderId="11" xfId="0" applyFont="1" applyFill="1" applyBorder="1"/>
    <xf numFmtId="3" fontId="2" fillId="11" borderId="9" xfId="0" applyNumberFormat="1" applyFont="1" applyFill="1" applyBorder="1"/>
    <xf numFmtId="3" fontId="2" fillId="11" borderId="0" xfId="0" applyNumberFormat="1" applyFont="1" applyFill="1"/>
    <xf numFmtId="3" fontId="2" fillId="11" borderId="11" xfId="0" applyNumberFormat="1" applyFont="1" applyFill="1" applyBorder="1"/>
    <xf numFmtId="3" fontId="17" fillId="12" borderId="17" xfId="0" applyNumberFormat="1" applyFont="1" applyFill="1" applyBorder="1" applyAlignment="1">
      <alignment horizontal="right"/>
    </xf>
    <xf numFmtId="3" fontId="17" fillId="12" borderId="4" xfId="0" applyNumberFormat="1" applyFont="1" applyFill="1" applyBorder="1" applyAlignment="1">
      <alignment horizontal="right"/>
    </xf>
    <xf numFmtId="3" fontId="17" fillId="12" borderId="19" xfId="0" applyNumberFormat="1" applyFont="1" applyFill="1" applyBorder="1" applyAlignment="1">
      <alignment horizontal="right"/>
    </xf>
    <xf numFmtId="9" fontId="17" fillId="12" borderId="17" xfId="0" applyNumberFormat="1" applyFont="1" applyFill="1" applyBorder="1" applyAlignment="1">
      <alignment horizontal="right"/>
    </xf>
    <xf numFmtId="9" fontId="17" fillId="12" borderId="4" xfId="0" applyNumberFormat="1" applyFont="1" applyFill="1" applyBorder="1" applyAlignment="1">
      <alignment horizontal="right"/>
    </xf>
    <xf numFmtId="9" fontId="17" fillId="12" borderId="19" xfId="0" applyNumberFormat="1" applyFont="1" applyFill="1" applyBorder="1" applyAlignment="1">
      <alignment horizontal="right"/>
    </xf>
    <xf numFmtId="0" fontId="17" fillId="12" borderId="17" xfId="0" applyFont="1" applyFill="1" applyBorder="1" applyAlignment="1">
      <alignment horizontal="right"/>
    </xf>
    <xf numFmtId="0" fontId="17" fillId="12" borderId="4" xfId="0" applyFont="1" applyFill="1" applyBorder="1" applyAlignment="1">
      <alignment horizontal="right"/>
    </xf>
    <xf numFmtId="0" fontId="17" fillId="12" borderId="19" xfId="0" applyFont="1" applyFill="1" applyBorder="1" applyAlignment="1">
      <alignment horizontal="right"/>
    </xf>
    <xf numFmtId="0" fontId="19" fillId="0" borderId="12" xfId="0" applyFont="1" applyBorder="1" applyAlignment="1">
      <alignment horizontal="right"/>
    </xf>
    <xf numFmtId="3" fontId="1" fillId="10" borderId="0" xfId="0" applyNumberFormat="1" applyFont="1" applyFill="1"/>
    <xf numFmtId="3" fontId="2" fillId="10" borderId="0" xfId="0" applyNumberFormat="1" applyFont="1" applyFill="1"/>
    <xf numFmtId="0" fontId="2" fillId="0" borderId="20" xfId="0" applyFont="1" applyBorder="1"/>
    <xf numFmtId="0" fontId="2" fillId="0" borderId="21" xfId="0" applyFont="1" applyBorder="1"/>
    <xf numFmtId="0" fontId="2" fillId="0" borderId="22" xfId="0" applyFont="1" applyBorder="1"/>
    <xf numFmtId="0" fontId="1" fillId="0" borderId="23" xfId="0" applyFont="1" applyBorder="1"/>
    <xf numFmtId="0" fontId="2" fillId="0" borderId="24" xfId="0" applyFont="1" applyBorder="1"/>
    <xf numFmtId="0" fontId="2" fillId="0" borderId="23" xfId="0" applyFont="1" applyBorder="1"/>
    <xf numFmtId="0" fontId="1" fillId="0" borderId="24" xfId="0" applyFont="1" applyBorder="1"/>
    <xf numFmtId="164" fontId="1" fillId="0" borderId="9" xfId="0" applyNumberFormat="1" applyFont="1" applyBorder="1"/>
    <xf numFmtId="164" fontId="1" fillId="0" borderId="23" xfId="0" applyNumberFormat="1" applyFont="1" applyBorder="1"/>
    <xf numFmtId="164" fontId="1" fillId="0" borderId="24" xfId="0" applyNumberFormat="1" applyFont="1" applyBorder="1"/>
    <xf numFmtId="0" fontId="2" fillId="0" borderId="25" xfId="0" applyFont="1" applyBorder="1"/>
    <xf numFmtId="0" fontId="2" fillId="0" borderId="26" xfId="0" applyFont="1" applyBorder="1"/>
    <xf numFmtId="0" fontId="2" fillId="0" borderId="27" xfId="0" applyFont="1" applyBorder="1"/>
    <xf numFmtId="3" fontId="17" fillId="12" borderId="1" xfId="0" applyNumberFormat="1" applyFont="1" applyFill="1" applyBorder="1" applyAlignment="1">
      <alignment horizontal="right"/>
    </xf>
    <xf numFmtId="3" fontId="17" fillId="12" borderId="18" xfId="0" applyNumberFormat="1" applyFont="1" applyFill="1" applyBorder="1" applyAlignment="1">
      <alignment horizontal="right"/>
    </xf>
    <xf numFmtId="0" fontId="17" fillId="12" borderId="1" xfId="0" applyFont="1" applyFill="1" applyBorder="1" applyAlignment="1">
      <alignment horizontal="right"/>
    </xf>
    <xf numFmtId="0" fontId="17" fillId="12" borderId="18" xfId="0" applyFont="1" applyFill="1" applyBorder="1" applyAlignment="1">
      <alignment horizontal="right"/>
    </xf>
    <xf numFmtId="164" fontId="1" fillId="0" borderId="12" xfId="0" applyNumberFormat="1" applyFont="1" applyBorder="1"/>
    <xf numFmtId="164" fontId="1" fillId="0" borderId="14" xfId="0" applyNumberFormat="1" applyFont="1" applyBorder="1"/>
    <xf numFmtId="164" fontId="1" fillId="0" borderId="15" xfId="0" applyNumberFormat="1" applyFont="1" applyBorder="1"/>
    <xf numFmtId="3" fontId="18" fillId="0" borderId="12" xfId="0" applyNumberFormat="1" applyFont="1" applyBorder="1"/>
    <xf numFmtId="164" fontId="1" fillId="10" borderId="0" xfId="0" applyNumberFormat="1" applyFont="1" applyFill="1"/>
    <xf numFmtId="0" fontId="2" fillId="10" borderId="0" xfId="0" applyFont="1" applyFill="1"/>
    <xf numFmtId="165" fontId="20" fillId="12" borderId="16" xfId="0" applyNumberFormat="1" applyFont="1" applyFill="1" applyBorder="1"/>
    <xf numFmtId="0" fontId="20" fillId="12" borderId="16" xfId="0" applyFont="1" applyFill="1" applyBorder="1"/>
    <xf numFmtId="165" fontId="20" fillId="10" borderId="0" xfId="0" applyNumberFormat="1" applyFont="1" applyFill="1"/>
    <xf numFmtId="165" fontId="21" fillId="10" borderId="0" xfId="0" applyNumberFormat="1" applyFont="1" applyFill="1"/>
    <xf numFmtId="165" fontId="17" fillId="0" borderId="0" xfId="0" applyNumberFormat="1" applyFont="1" applyAlignment="1">
      <alignment horizontal="right"/>
    </xf>
    <xf numFmtId="165" fontId="20" fillId="0" borderId="4" xfId="0" applyNumberFormat="1" applyFont="1" applyBorder="1"/>
    <xf numFmtId="9" fontId="17" fillId="0" borderId="0" xfId="0" applyNumberFormat="1" applyFont="1" applyAlignment="1">
      <alignment horizontal="right"/>
    </xf>
    <xf numFmtId="3" fontId="17" fillId="13" borderId="1" xfId="0" applyNumberFormat="1" applyFont="1" applyFill="1" applyBorder="1" applyAlignment="1">
      <alignment horizontal="right"/>
    </xf>
    <xf numFmtId="0" fontId="22" fillId="0" borderId="14" xfId="0" applyFont="1" applyBorder="1"/>
    <xf numFmtId="9" fontId="10" fillId="14" borderId="0" xfId="0" applyNumberFormat="1" applyFont="1" applyFill="1"/>
    <xf numFmtId="0" fontId="10" fillId="15" borderId="0" xfId="0" applyFont="1" applyFill="1"/>
    <xf numFmtId="0" fontId="23" fillId="0" borderId="4" xfId="1" applyFont="1" applyAlignment="1">
      <alignment horizontal="left" vertical="top" wrapText="1"/>
    </xf>
    <xf numFmtId="0" fontId="21" fillId="0" borderId="4" xfId="1"/>
    <xf numFmtId="0" fontId="24" fillId="0" borderId="4" xfId="1" applyFont="1" applyAlignment="1">
      <alignment horizontal="left" vertical="top" wrapText="1"/>
    </xf>
    <xf numFmtId="0" fontId="21" fillId="0" borderId="4" xfId="1" applyAlignment="1">
      <alignment horizontal="left" vertical="top" wrapText="1"/>
    </xf>
    <xf numFmtId="0" fontId="21" fillId="0" borderId="4" xfId="1" applyAlignment="1">
      <alignment horizontal="left" vertical="top"/>
    </xf>
    <xf numFmtId="0" fontId="24" fillId="0" borderId="4" xfId="1" applyFont="1" applyAlignment="1">
      <alignment wrapText="1"/>
    </xf>
    <xf numFmtId="0" fontId="21" fillId="0" borderId="4" xfId="1" applyAlignment="1">
      <alignment wrapText="1"/>
    </xf>
    <xf numFmtId="0" fontId="21" fillId="0" borderId="4" xfId="0" applyFont="1" applyBorder="1"/>
    <xf numFmtId="0" fontId="21" fillId="0" borderId="4" xfId="0" applyFont="1" applyBorder="1" applyAlignment="1">
      <alignment wrapText="1"/>
    </xf>
    <xf numFmtId="0" fontId="6" fillId="0" borderId="0" xfId="0" applyFont="1"/>
    <xf numFmtId="0" fontId="25" fillId="0" borderId="0" xfId="0" applyFont="1"/>
    <xf numFmtId="0" fontId="26" fillId="0" borderId="0" xfId="0" applyFont="1"/>
    <xf numFmtId="0" fontId="26" fillId="0" borderId="4" xfId="0" applyFont="1" applyBorder="1"/>
    <xf numFmtId="0" fontId="27" fillId="0" borderId="4" xfId="1" applyFont="1" applyAlignment="1">
      <alignment horizontal="left" vertical="top" wrapText="1"/>
    </xf>
    <xf numFmtId="0" fontId="5" fillId="0" borderId="0" xfId="0" applyFont="1" applyAlignment="1">
      <alignment horizontal="center"/>
    </xf>
    <xf numFmtId="0" fontId="0" fillId="0" borderId="0" xfId="0"/>
    <xf numFmtId="0" fontId="6" fillId="8" borderId="0" xfId="0" applyFont="1" applyFill="1" applyAlignment="1">
      <alignment horizontal="center"/>
    </xf>
    <xf numFmtId="0" fontId="8" fillId="9" borderId="2" xfId="0" applyFont="1" applyFill="1" applyBorder="1" applyAlignment="1">
      <alignment horizontal="center"/>
    </xf>
    <xf numFmtId="0" fontId="9" fillId="0" borderId="3" xfId="0" applyFont="1" applyBorder="1"/>
    <xf numFmtId="0" fontId="9" fillId="0" borderId="4" xfId="0" applyFont="1" applyBorder="1"/>
    <xf numFmtId="0" fontId="2" fillId="0" borderId="0" xfId="0" applyFont="1" applyAlignment="1">
      <alignment horizontal="center"/>
    </xf>
    <xf numFmtId="0" fontId="12" fillId="0" borderId="9" xfId="0" applyFont="1" applyBorder="1" applyAlignment="1">
      <alignment horizontal="center"/>
    </xf>
    <xf numFmtId="0" fontId="12" fillId="0" borderId="0" xfId="0" applyFont="1" applyAlignment="1">
      <alignment horizontal="center"/>
    </xf>
  </cellXfs>
  <cellStyles count="2">
    <cellStyle name="Normal" xfId="0" builtinId="0"/>
    <cellStyle name="Normal 2" xfId="1" xr:uid="{19AA1ED1-6DE9-F54E-8738-870F0E16859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eetMetadata" Target="metadata.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E355AE-3197-7348-98BC-2DF9070133EC}">
  <dimension ref="A1:A14"/>
  <sheetViews>
    <sheetView zoomScale="184" zoomScaleNormal="184" workbookViewId="0">
      <selection activeCell="A2" sqref="A2"/>
    </sheetView>
  </sheetViews>
  <sheetFormatPr baseColWidth="10" defaultRowHeight="13" x14ac:dyDescent="0.15"/>
  <cols>
    <col min="1" max="1" width="70.5" style="136" customWidth="1"/>
    <col min="2" max="16384" width="10.83203125" style="131"/>
  </cols>
  <sheetData>
    <row r="1" spans="1:1" ht="34" x14ac:dyDescent="0.15">
      <c r="A1" s="143" t="s">
        <v>112</v>
      </c>
    </row>
    <row r="2" spans="1:1" ht="16" x14ac:dyDescent="0.15">
      <c r="A2" s="130"/>
    </row>
    <row r="3" spans="1:1" ht="28" x14ac:dyDescent="0.15">
      <c r="A3" s="132" t="s">
        <v>113</v>
      </c>
    </row>
    <row r="4" spans="1:1" ht="187" customHeight="1" x14ac:dyDescent="0.15">
      <c r="A4" s="133" t="s">
        <v>114</v>
      </c>
    </row>
    <row r="5" spans="1:1" x14ac:dyDescent="0.15">
      <c r="A5" s="134"/>
    </row>
    <row r="6" spans="1:1" ht="14" x14ac:dyDescent="0.15">
      <c r="A6" s="132" t="s">
        <v>115</v>
      </c>
    </row>
    <row r="7" spans="1:1" ht="168" x14ac:dyDescent="0.15">
      <c r="A7" s="133" t="s">
        <v>116</v>
      </c>
    </row>
    <row r="8" spans="1:1" x14ac:dyDescent="0.15">
      <c r="A8" s="133"/>
    </row>
    <row r="9" spans="1:1" ht="14" x14ac:dyDescent="0.15">
      <c r="A9" s="132" t="s">
        <v>117</v>
      </c>
    </row>
    <row r="10" spans="1:1" ht="98" x14ac:dyDescent="0.15">
      <c r="A10" s="133" t="s">
        <v>118</v>
      </c>
    </row>
    <row r="11" spans="1:1" x14ac:dyDescent="0.15">
      <c r="A11" s="133"/>
    </row>
    <row r="12" spans="1:1" ht="14" x14ac:dyDescent="0.15">
      <c r="A12" s="135" t="s">
        <v>119</v>
      </c>
    </row>
    <row r="13" spans="1:1" ht="42" x14ac:dyDescent="0.15">
      <c r="A13" s="136" t="s">
        <v>120</v>
      </c>
    </row>
    <row r="14" spans="1:1" ht="28" x14ac:dyDescent="0.15">
      <c r="A14" s="136" t="s">
        <v>121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00"/>
  <sheetViews>
    <sheetView zoomScale="141" workbookViewId="0">
      <selection sqref="A1:XFD1"/>
    </sheetView>
  </sheetViews>
  <sheetFormatPr baseColWidth="10" defaultColWidth="12.6640625" defaultRowHeight="15" customHeight="1" x14ac:dyDescent="0.15"/>
  <cols>
    <col min="1" max="1" width="17" customWidth="1"/>
    <col min="2" max="2" width="70.33203125" customWidth="1"/>
    <col min="3" max="26" width="10.6640625" customWidth="1"/>
  </cols>
  <sheetData>
    <row r="1" spans="1:2" s="140" customFormat="1" ht="16" x14ac:dyDescent="0.2">
      <c r="A1" s="142" t="s">
        <v>122</v>
      </c>
      <c r="B1" s="142" t="s">
        <v>123</v>
      </c>
    </row>
    <row r="2" spans="1:2" ht="12.75" customHeight="1" x14ac:dyDescent="0.15">
      <c r="A2" s="137" t="s">
        <v>0</v>
      </c>
      <c r="B2" s="137" t="s">
        <v>1</v>
      </c>
    </row>
    <row r="3" spans="1:2" ht="12.75" customHeight="1" x14ac:dyDescent="0.15">
      <c r="A3" s="137" t="s">
        <v>2</v>
      </c>
      <c r="B3" s="137" t="s">
        <v>3</v>
      </c>
    </row>
    <row r="4" spans="1:2" ht="12.75" customHeight="1" x14ac:dyDescent="0.15">
      <c r="A4" s="137" t="s">
        <v>4</v>
      </c>
      <c r="B4" s="137" t="s">
        <v>5</v>
      </c>
    </row>
    <row r="5" spans="1:2" ht="12.75" customHeight="1" x14ac:dyDescent="0.15">
      <c r="A5" s="137" t="s">
        <v>6</v>
      </c>
      <c r="B5" s="137" t="s">
        <v>124</v>
      </c>
    </row>
    <row r="6" spans="1:2" ht="12.75" customHeight="1" x14ac:dyDescent="0.15">
      <c r="A6" s="137" t="s">
        <v>13</v>
      </c>
      <c r="B6" s="137" t="s">
        <v>125</v>
      </c>
    </row>
    <row r="7" spans="1:2" ht="12.75" customHeight="1" x14ac:dyDescent="0.15">
      <c r="A7" s="137" t="s">
        <v>14</v>
      </c>
      <c r="B7" s="137" t="s">
        <v>126</v>
      </c>
    </row>
    <row r="8" spans="1:2" ht="12.75" customHeight="1" x14ac:dyDescent="0.15">
      <c r="A8" s="137" t="s">
        <v>15</v>
      </c>
      <c r="B8" s="137" t="s">
        <v>127</v>
      </c>
    </row>
    <row r="9" spans="1:2" ht="12.75" customHeight="1" x14ac:dyDescent="0.15">
      <c r="A9" s="137" t="s">
        <v>16</v>
      </c>
      <c r="B9" s="138" t="s">
        <v>128</v>
      </c>
    </row>
    <row r="10" spans="1:2" ht="12.75" customHeight="1" x14ac:dyDescent="0.15">
      <c r="A10" s="137" t="s">
        <v>7</v>
      </c>
      <c r="B10" s="138" t="s">
        <v>8</v>
      </c>
    </row>
    <row r="11" spans="1:2" ht="12.75" customHeight="1" x14ac:dyDescent="0.15">
      <c r="A11" s="137" t="s">
        <v>9</v>
      </c>
      <c r="B11" s="137" t="s">
        <v>10</v>
      </c>
    </row>
    <row r="12" spans="1:2" ht="12.75" customHeight="1" x14ac:dyDescent="0.15">
      <c r="A12" s="137" t="s">
        <v>11</v>
      </c>
      <c r="B12" s="137" t="s">
        <v>12</v>
      </c>
    </row>
    <row r="13" spans="1:2" ht="12.75" customHeight="1" x14ac:dyDescent="0.15"/>
    <row r="14" spans="1:2" ht="12.75" customHeight="1" x14ac:dyDescent="0.15"/>
    <row r="15" spans="1:2" ht="12.75" customHeight="1" x14ac:dyDescent="0.15"/>
    <row r="16" spans="1:2"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K1000"/>
  <sheetViews>
    <sheetView zoomScale="150" workbookViewId="0">
      <selection activeCell="A6" sqref="A6"/>
    </sheetView>
  </sheetViews>
  <sheetFormatPr baseColWidth="10" defaultColWidth="12.6640625" defaultRowHeight="15" customHeight="1" x14ac:dyDescent="0.15"/>
  <cols>
    <col min="1" max="1" width="10.33203125" bestFit="1" customWidth="1"/>
    <col min="2" max="2" width="6.6640625" bestFit="1" customWidth="1"/>
    <col min="3" max="3" width="10.1640625" bestFit="1" customWidth="1"/>
    <col min="4" max="4" width="7" bestFit="1" customWidth="1"/>
    <col min="5" max="5" width="10.83203125" bestFit="1" customWidth="1"/>
    <col min="6" max="6" width="14.33203125" bestFit="1" customWidth="1"/>
    <col min="7" max="7" width="15" bestFit="1" customWidth="1"/>
    <col min="8" max="8" width="7.6640625" bestFit="1" customWidth="1"/>
    <col min="9" max="9" width="8.83203125" bestFit="1" customWidth="1"/>
    <col min="10" max="11" width="11" bestFit="1" customWidth="1"/>
    <col min="12" max="26" width="10.6640625" customWidth="1"/>
  </cols>
  <sheetData>
    <row r="1" spans="1:11" s="141" customFormat="1" ht="16" x14ac:dyDescent="0.2">
      <c r="A1" s="141" t="s">
        <v>0</v>
      </c>
      <c r="B1" s="141" t="s">
        <v>2</v>
      </c>
      <c r="C1" s="141" t="s">
        <v>4</v>
      </c>
      <c r="D1" s="141" t="s">
        <v>6</v>
      </c>
      <c r="E1" s="141" t="s">
        <v>13</v>
      </c>
      <c r="F1" s="141" t="s">
        <v>14</v>
      </c>
      <c r="G1" s="141" t="s">
        <v>15</v>
      </c>
      <c r="H1" s="141" t="s">
        <v>16</v>
      </c>
      <c r="I1" s="141" t="s">
        <v>7</v>
      </c>
      <c r="J1" s="141" t="s">
        <v>9</v>
      </c>
      <c r="K1" s="141" t="s">
        <v>11</v>
      </c>
    </row>
    <row r="2" spans="1:11" ht="12.75" customHeight="1" x14ac:dyDescent="0.15">
      <c r="A2" s="2" t="b">
        <v>0</v>
      </c>
      <c r="B2" s="2">
        <v>10000</v>
      </c>
      <c r="C2" s="1">
        <v>1</v>
      </c>
      <c r="D2" s="1" t="s">
        <v>17</v>
      </c>
      <c r="E2" s="1">
        <v>0.47</v>
      </c>
      <c r="F2" s="1">
        <v>1.2999999999999999E-2</v>
      </c>
      <c r="G2" s="1" t="s">
        <v>18</v>
      </c>
      <c r="H2" s="1" t="s">
        <v>19</v>
      </c>
      <c r="I2" s="1" t="s">
        <v>20</v>
      </c>
      <c r="J2" s="2" t="b">
        <v>0</v>
      </c>
      <c r="K2" s="2">
        <v>0.9</v>
      </c>
    </row>
    <row r="3" spans="1:11" ht="12.75" customHeight="1" x14ac:dyDescent="0.15"/>
    <row r="4" spans="1:11" ht="12.75" customHeight="1" x14ac:dyDescent="0.15"/>
    <row r="5" spans="1:11" ht="12.75" customHeight="1" x14ac:dyDescent="0.15"/>
    <row r="6" spans="1:11" ht="12.75" customHeight="1" x14ac:dyDescent="0.15"/>
    <row r="7" spans="1:11" ht="12.75" customHeight="1" x14ac:dyDescent="0.15"/>
    <row r="8" spans="1:11" ht="12.75" customHeight="1" x14ac:dyDescent="0.15"/>
    <row r="9" spans="1:11" ht="12.75" customHeight="1" x14ac:dyDescent="0.15"/>
    <row r="10" spans="1:11" ht="12.75" customHeight="1" x14ac:dyDescent="0.15"/>
    <row r="11" spans="1:11" ht="12.75" customHeight="1" x14ac:dyDescent="0.15"/>
    <row r="12" spans="1:11" ht="12.75" customHeight="1" x14ac:dyDescent="0.15"/>
    <row r="13" spans="1:11" ht="12.75" customHeight="1" x14ac:dyDescent="0.15"/>
    <row r="14" spans="1:11" ht="12.75" customHeight="1" x14ac:dyDescent="0.15"/>
    <row r="15" spans="1:11" ht="12.75" customHeight="1" x14ac:dyDescent="0.15"/>
    <row r="16" spans="1:11"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000"/>
  <sheetViews>
    <sheetView zoomScale="137" workbookViewId="0">
      <selection activeCell="C6" sqref="C6:C7"/>
    </sheetView>
  </sheetViews>
  <sheetFormatPr baseColWidth="10" defaultColWidth="12.6640625" defaultRowHeight="15" customHeight="1" x14ac:dyDescent="0.15"/>
  <cols>
    <col min="1" max="1" width="10.6640625" customWidth="1"/>
    <col min="2" max="2" width="11.1640625" bestFit="1" customWidth="1"/>
    <col min="3" max="3" width="10.1640625" bestFit="1" customWidth="1"/>
    <col min="4" max="4" width="12.5" bestFit="1" customWidth="1"/>
    <col min="5" max="26" width="10.6640625" customWidth="1"/>
  </cols>
  <sheetData>
    <row r="1" spans="1:4" s="141" customFormat="1" ht="16" x14ac:dyDescent="0.2">
      <c r="A1" s="141" t="s">
        <v>21</v>
      </c>
      <c r="B1" s="141" t="s">
        <v>22</v>
      </c>
      <c r="C1" s="141" t="s">
        <v>23</v>
      </c>
      <c r="D1" s="141" t="s">
        <v>24</v>
      </c>
    </row>
    <row r="2" spans="1:4" ht="12.75" customHeight="1" x14ac:dyDescent="0.15">
      <c r="A2" s="1" t="s">
        <v>25</v>
      </c>
      <c r="B2" s="1">
        <v>2016</v>
      </c>
      <c r="C2" s="1">
        <v>2020</v>
      </c>
      <c r="D2" s="1" t="s">
        <v>26</v>
      </c>
    </row>
    <row r="3" spans="1:4" ht="12.75" customHeight="1" x14ac:dyDescent="0.15">
      <c r="A3" s="1" t="s">
        <v>27</v>
      </c>
      <c r="B3" s="1">
        <v>2021</v>
      </c>
      <c r="C3" s="1">
        <v>2022</v>
      </c>
      <c r="D3" s="1" t="s">
        <v>28</v>
      </c>
    </row>
    <row r="4" spans="1:4" ht="12.75" customHeight="1" x14ac:dyDescent="0.15"/>
    <row r="5" spans="1:4" ht="12.75" customHeight="1" x14ac:dyDescent="0.15"/>
    <row r="6" spans="1:4" ht="12.75" customHeight="1" x14ac:dyDescent="0.15"/>
    <row r="7" spans="1:4" ht="12.75" customHeight="1" x14ac:dyDescent="0.15"/>
    <row r="8" spans="1:4" ht="12.75" customHeight="1" x14ac:dyDescent="0.15"/>
    <row r="9" spans="1:4" ht="12.75" customHeight="1" x14ac:dyDescent="0.15"/>
    <row r="10" spans="1:4" ht="12.75" customHeight="1" x14ac:dyDescent="0.15"/>
    <row r="11" spans="1:4" ht="12.75" customHeight="1" x14ac:dyDescent="0.15"/>
    <row r="12" spans="1:4" ht="12.75" customHeight="1" x14ac:dyDescent="0.15"/>
    <row r="13" spans="1:4" ht="12.75" customHeight="1" x14ac:dyDescent="0.15"/>
    <row r="14" spans="1:4" ht="12.75" customHeight="1" x14ac:dyDescent="0.15"/>
    <row r="15" spans="1:4" ht="12.75" customHeight="1" x14ac:dyDescent="0.15"/>
    <row r="16" spans="1:4" ht="12.75" customHeight="1" x14ac:dyDescent="0.15"/>
    <row r="17" ht="12.75" customHeight="1" x14ac:dyDescent="0.15"/>
    <row r="18" ht="12.75" customHeight="1" x14ac:dyDescent="0.15"/>
    <row r="19" ht="12.75" customHeight="1" x14ac:dyDescent="0.15"/>
    <row r="20" ht="12.75" customHeight="1" x14ac:dyDescent="0.15"/>
    <row r="21" ht="12.75" customHeight="1" x14ac:dyDescent="0.15"/>
    <row r="22" ht="12.75" customHeight="1" x14ac:dyDescent="0.15"/>
    <row r="23" ht="12.75" customHeight="1" x14ac:dyDescent="0.15"/>
    <row r="24" ht="12.75" customHeight="1" x14ac:dyDescent="0.15"/>
    <row r="25" ht="12.75" customHeight="1" x14ac:dyDescent="0.15"/>
    <row r="26" ht="12.75" customHeight="1" x14ac:dyDescent="0.15"/>
    <row r="27" ht="12.75" customHeight="1" x14ac:dyDescent="0.15"/>
    <row r="28" ht="12.75" customHeight="1" x14ac:dyDescent="0.15"/>
    <row r="29" ht="12.75" customHeight="1" x14ac:dyDescent="0.15"/>
    <row r="30" ht="12.75" customHeight="1" x14ac:dyDescent="0.15"/>
    <row r="31" ht="12.75" customHeight="1" x14ac:dyDescent="0.15"/>
    <row r="32" ht="12.75" customHeight="1" x14ac:dyDescent="0.15"/>
    <row r="33" ht="12.75" customHeight="1" x14ac:dyDescent="0.15"/>
    <row r="34" ht="12.75" customHeight="1" x14ac:dyDescent="0.15"/>
    <row r="35" ht="12.75" customHeight="1" x14ac:dyDescent="0.15"/>
    <row r="36" ht="12.75" customHeight="1" x14ac:dyDescent="0.15"/>
    <row r="37" ht="12.75" customHeight="1" x14ac:dyDescent="0.15"/>
    <row r="38" ht="12.75" customHeight="1" x14ac:dyDescent="0.15"/>
    <row r="39" ht="12.75" customHeight="1" x14ac:dyDescent="0.15"/>
    <row r="40" ht="12.75" customHeight="1" x14ac:dyDescent="0.15"/>
    <row r="41" ht="12.75" customHeight="1" x14ac:dyDescent="0.15"/>
    <row r="42" ht="12.75" customHeight="1" x14ac:dyDescent="0.15"/>
    <row r="43" ht="12.75" customHeight="1" x14ac:dyDescent="0.15"/>
    <row r="44" ht="12.75" customHeight="1" x14ac:dyDescent="0.15"/>
    <row r="45" ht="12.75" customHeight="1" x14ac:dyDescent="0.15"/>
    <row r="46" ht="12.75" customHeight="1" x14ac:dyDescent="0.15"/>
    <row r="47" ht="12.75" customHeight="1" x14ac:dyDescent="0.15"/>
    <row r="48" ht="12.75" customHeight="1" x14ac:dyDescent="0.15"/>
    <row r="49" ht="12.75" customHeight="1" x14ac:dyDescent="0.15"/>
    <row r="50" ht="12.75" customHeight="1" x14ac:dyDescent="0.15"/>
    <row r="51" ht="12.75" customHeight="1" x14ac:dyDescent="0.15"/>
    <row r="52" ht="12.75" customHeight="1" x14ac:dyDescent="0.15"/>
    <row r="53" ht="12.75" customHeight="1" x14ac:dyDescent="0.15"/>
    <row r="54" ht="12.75" customHeight="1" x14ac:dyDescent="0.15"/>
    <row r="55" ht="12.75" customHeight="1" x14ac:dyDescent="0.15"/>
    <row r="56" ht="12.75" customHeight="1" x14ac:dyDescent="0.15"/>
    <row r="57" ht="12.75" customHeight="1" x14ac:dyDescent="0.15"/>
    <row r="58" ht="12.75" customHeight="1" x14ac:dyDescent="0.15"/>
    <row r="59" ht="12.75" customHeight="1" x14ac:dyDescent="0.15"/>
    <row r="60" ht="12.75" customHeight="1" x14ac:dyDescent="0.15"/>
    <row r="61" ht="12.75" customHeight="1" x14ac:dyDescent="0.15"/>
    <row r="62" ht="12.75" customHeight="1" x14ac:dyDescent="0.15"/>
    <row r="63" ht="12.75" customHeight="1" x14ac:dyDescent="0.15"/>
    <row r="64" ht="12.75" customHeight="1" x14ac:dyDescent="0.15"/>
    <row r="65" ht="12.75" customHeight="1" x14ac:dyDescent="0.15"/>
    <row r="66" ht="12.75" customHeight="1" x14ac:dyDescent="0.15"/>
    <row r="67" ht="12.75" customHeight="1" x14ac:dyDescent="0.15"/>
    <row r="68" ht="12.75" customHeight="1" x14ac:dyDescent="0.15"/>
    <row r="69" ht="12.75" customHeight="1" x14ac:dyDescent="0.15"/>
    <row r="70" ht="12.75" customHeight="1" x14ac:dyDescent="0.15"/>
    <row r="71" ht="12.75" customHeight="1" x14ac:dyDescent="0.15"/>
    <row r="72" ht="12.75" customHeight="1" x14ac:dyDescent="0.15"/>
    <row r="73" ht="12.75" customHeight="1" x14ac:dyDescent="0.15"/>
    <row r="74" ht="12.75" customHeight="1" x14ac:dyDescent="0.15"/>
    <row r="75" ht="12.75" customHeight="1" x14ac:dyDescent="0.15"/>
    <row r="76" ht="12.75" customHeight="1" x14ac:dyDescent="0.15"/>
    <row r="77" ht="12.75" customHeight="1" x14ac:dyDescent="0.15"/>
    <row r="78" ht="12.75" customHeight="1" x14ac:dyDescent="0.15"/>
    <row r="79" ht="12.75" customHeight="1" x14ac:dyDescent="0.15"/>
    <row r="80" ht="12.75" customHeight="1" x14ac:dyDescent="0.15"/>
    <row r="81" ht="12.75" customHeight="1" x14ac:dyDescent="0.15"/>
    <row r="82" ht="12.75" customHeight="1" x14ac:dyDescent="0.15"/>
    <row r="83" ht="12.75" customHeight="1" x14ac:dyDescent="0.15"/>
    <row r="84" ht="12.75" customHeight="1" x14ac:dyDescent="0.15"/>
    <row r="85" ht="12.75" customHeight="1" x14ac:dyDescent="0.15"/>
    <row r="86" ht="12.75" customHeight="1" x14ac:dyDescent="0.15"/>
    <row r="87" ht="12.75" customHeight="1" x14ac:dyDescent="0.15"/>
    <row r="88" ht="12.75" customHeight="1" x14ac:dyDescent="0.15"/>
    <row r="89" ht="12.75" customHeight="1" x14ac:dyDescent="0.15"/>
    <row r="90" ht="12.75" customHeight="1" x14ac:dyDescent="0.15"/>
    <row r="91" ht="12.75" customHeight="1" x14ac:dyDescent="0.15"/>
    <row r="92" ht="12.75" customHeight="1" x14ac:dyDescent="0.15"/>
    <row r="93" ht="12.75" customHeight="1" x14ac:dyDescent="0.15"/>
    <row r="94" ht="12.75" customHeight="1" x14ac:dyDescent="0.15"/>
    <row r="95" ht="12.75" customHeight="1" x14ac:dyDescent="0.15"/>
    <row r="96" ht="12.75" customHeight="1" x14ac:dyDescent="0.15"/>
    <row r="97" ht="12.75" customHeight="1" x14ac:dyDescent="0.15"/>
    <row r="98" ht="12.75" customHeight="1" x14ac:dyDescent="0.15"/>
    <row r="99" ht="12.75" customHeight="1" x14ac:dyDescent="0.15"/>
    <row r="100" ht="12.75" customHeight="1" x14ac:dyDescent="0.15"/>
    <row r="101" ht="12.75" customHeight="1" x14ac:dyDescent="0.15"/>
    <row r="102" ht="12.75" customHeight="1" x14ac:dyDescent="0.15"/>
    <row r="103" ht="12.75" customHeight="1" x14ac:dyDescent="0.15"/>
    <row r="104" ht="12.75" customHeight="1" x14ac:dyDescent="0.15"/>
    <row r="105" ht="12.75" customHeight="1" x14ac:dyDescent="0.15"/>
    <row r="106" ht="12.75" customHeight="1" x14ac:dyDescent="0.15"/>
    <row r="107" ht="12.75" customHeight="1" x14ac:dyDescent="0.15"/>
    <row r="108" ht="12.75" customHeight="1" x14ac:dyDescent="0.15"/>
    <row r="109" ht="12.75" customHeight="1" x14ac:dyDescent="0.15"/>
    <row r="110" ht="12.75" customHeight="1" x14ac:dyDescent="0.15"/>
    <row r="111" ht="12.75" customHeight="1" x14ac:dyDescent="0.15"/>
    <row r="112" ht="12.75" customHeight="1" x14ac:dyDescent="0.15"/>
    <row r="113" ht="12.75" customHeight="1" x14ac:dyDescent="0.15"/>
    <row r="114" ht="12.75" customHeight="1" x14ac:dyDescent="0.15"/>
    <row r="115" ht="12.75" customHeight="1" x14ac:dyDescent="0.15"/>
    <row r="116" ht="12.75" customHeight="1" x14ac:dyDescent="0.15"/>
    <row r="117" ht="12.75" customHeight="1" x14ac:dyDescent="0.15"/>
    <row r="118" ht="12.75" customHeight="1" x14ac:dyDescent="0.15"/>
    <row r="119" ht="12.75" customHeight="1" x14ac:dyDescent="0.15"/>
    <row r="120" ht="12.75" customHeight="1" x14ac:dyDescent="0.15"/>
    <row r="121" ht="12.75" customHeight="1" x14ac:dyDescent="0.15"/>
    <row r="122" ht="12.75" customHeight="1" x14ac:dyDescent="0.15"/>
    <row r="123" ht="12.75" customHeight="1" x14ac:dyDescent="0.15"/>
    <row r="124" ht="12.75" customHeight="1" x14ac:dyDescent="0.15"/>
    <row r="125" ht="12.75" customHeight="1" x14ac:dyDescent="0.15"/>
    <row r="126" ht="12.75" customHeight="1" x14ac:dyDescent="0.15"/>
    <row r="127" ht="12.75" customHeight="1" x14ac:dyDescent="0.15"/>
    <row r="128" ht="12.75" customHeight="1" x14ac:dyDescent="0.15"/>
    <row r="129" ht="12.75" customHeight="1" x14ac:dyDescent="0.15"/>
    <row r="130" ht="12.75" customHeight="1" x14ac:dyDescent="0.15"/>
    <row r="131" ht="12.75" customHeight="1" x14ac:dyDescent="0.15"/>
    <row r="132" ht="12.75" customHeight="1" x14ac:dyDescent="0.15"/>
    <row r="133" ht="12.75" customHeight="1" x14ac:dyDescent="0.15"/>
    <row r="134" ht="12.75" customHeight="1" x14ac:dyDescent="0.15"/>
    <row r="135" ht="12.75" customHeight="1" x14ac:dyDescent="0.15"/>
    <row r="136" ht="12.75" customHeight="1" x14ac:dyDescent="0.15"/>
    <row r="137" ht="12.75" customHeight="1" x14ac:dyDescent="0.15"/>
    <row r="138" ht="12.75" customHeight="1" x14ac:dyDescent="0.15"/>
    <row r="139" ht="12.75" customHeight="1" x14ac:dyDescent="0.15"/>
    <row r="140" ht="12.75" customHeight="1" x14ac:dyDescent="0.15"/>
    <row r="141" ht="12.75" customHeight="1" x14ac:dyDescent="0.15"/>
    <row r="142" ht="12.75" customHeight="1" x14ac:dyDescent="0.15"/>
    <row r="143" ht="12.75" customHeight="1" x14ac:dyDescent="0.15"/>
    <row r="144" ht="12.75" customHeight="1" x14ac:dyDescent="0.15"/>
    <row r="145" ht="12.75" customHeight="1" x14ac:dyDescent="0.15"/>
    <row r="146" ht="12.75" customHeight="1" x14ac:dyDescent="0.15"/>
    <row r="147" ht="12.75" customHeight="1" x14ac:dyDescent="0.15"/>
    <row r="148" ht="12.75" customHeight="1" x14ac:dyDescent="0.15"/>
    <row r="149" ht="12.75" customHeight="1" x14ac:dyDescent="0.15"/>
    <row r="150" ht="12.75" customHeight="1" x14ac:dyDescent="0.15"/>
    <row r="151" ht="12.75" customHeight="1" x14ac:dyDescent="0.15"/>
    <row r="152" ht="12.75" customHeight="1" x14ac:dyDescent="0.15"/>
    <row r="153" ht="12.75" customHeight="1" x14ac:dyDescent="0.15"/>
    <row r="154" ht="12.75" customHeight="1" x14ac:dyDescent="0.15"/>
    <row r="155" ht="12.75" customHeight="1" x14ac:dyDescent="0.15"/>
    <row r="156" ht="12.75" customHeight="1" x14ac:dyDescent="0.15"/>
    <row r="157" ht="12.75" customHeight="1" x14ac:dyDescent="0.15"/>
    <row r="158" ht="12.75" customHeight="1" x14ac:dyDescent="0.15"/>
    <row r="159" ht="12.75" customHeight="1" x14ac:dyDescent="0.15"/>
    <row r="160" ht="12.75" customHeight="1" x14ac:dyDescent="0.15"/>
    <row r="161" ht="12.75" customHeight="1" x14ac:dyDescent="0.15"/>
    <row r="162" ht="12.75" customHeight="1" x14ac:dyDescent="0.15"/>
    <row r="163" ht="12.75" customHeight="1" x14ac:dyDescent="0.15"/>
    <row r="164" ht="12.75" customHeight="1" x14ac:dyDescent="0.15"/>
    <row r="165" ht="12.75" customHeight="1" x14ac:dyDescent="0.15"/>
    <row r="166" ht="12.75" customHeight="1" x14ac:dyDescent="0.15"/>
    <row r="167" ht="12.75" customHeight="1" x14ac:dyDescent="0.15"/>
    <row r="168" ht="12.75" customHeight="1" x14ac:dyDescent="0.15"/>
    <row r="169" ht="12.75" customHeight="1" x14ac:dyDescent="0.15"/>
    <row r="170" ht="12.75" customHeight="1" x14ac:dyDescent="0.15"/>
    <row r="171" ht="12.75" customHeight="1" x14ac:dyDescent="0.15"/>
    <row r="172" ht="12.75" customHeight="1" x14ac:dyDescent="0.15"/>
    <row r="173" ht="12.75" customHeight="1" x14ac:dyDescent="0.15"/>
    <row r="174" ht="12.75" customHeight="1" x14ac:dyDescent="0.15"/>
    <row r="175" ht="12.75" customHeight="1" x14ac:dyDescent="0.15"/>
    <row r="176" ht="12.75" customHeight="1" x14ac:dyDescent="0.15"/>
    <row r="177" ht="12.75" customHeight="1" x14ac:dyDescent="0.15"/>
    <row r="178" ht="12.75" customHeight="1" x14ac:dyDescent="0.15"/>
    <row r="179" ht="12.75" customHeight="1" x14ac:dyDescent="0.15"/>
    <row r="180" ht="12.75" customHeight="1" x14ac:dyDescent="0.15"/>
    <row r="181" ht="12.75" customHeight="1" x14ac:dyDescent="0.15"/>
    <row r="182" ht="12.75" customHeight="1" x14ac:dyDescent="0.15"/>
    <row r="183" ht="12.75" customHeight="1" x14ac:dyDescent="0.15"/>
    <row r="184" ht="12.75" customHeight="1" x14ac:dyDescent="0.15"/>
    <row r="185" ht="12.75" customHeight="1" x14ac:dyDescent="0.15"/>
    <row r="186" ht="12.75" customHeight="1" x14ac:dyDescent="0.15"/>
    <row r="187" ht="12.75" customHeight="1" x14ac:dyDescent="0.15"/>
    <row r="188" ht="12.75" customHeight="1" x14ac:dyDescent="0.15"/>
    <row r="189" ht="12.75" customHeight="1" x14ac:dyDescent="0.15"/>
    <row r="190" ht="12.75" customHeight="1" x14ac:dyDescent="0.15"/>
    <row r="191" ht="12.75" customHeight="1" x14ac:dyDescent="0.15"/>
    <row r="192" ht="12.75" customHeight="1" x14ac:dyDescent="0.15"/>
    <row r="193" ht="12.75" customHeight="1" x14ac:dyDescent="0.15"/>
    <row r="194" ht="12.75" customHeight="1" x14ac:dyDescent="0.15"/>
    <row r="195" ht="12.75" customHeight="1" x14ac:dyDescent="0.15"/>
    <row r="196" ht="12.75" customHeight="1" x14ac:dyDescent="0.15"/>
    <row r="197" ht="12.75" customHeight="1" x14ac:dyDescent="0.15"/>
    <row r="198" ht="12.75" customHeight="1" x14ac:dyDescent="0.15"/>
    <row r="199" ht="12.75" customHeight="1" x14ac:dyDescent="0.15"/>
    <row r="200" ht="12.75" customHeight="1" x14ac:dyDescent="0.15"/>
    <row r="201" ht="12.75" customHeight="1" x14ac:dyDescent="0.15"/>
    <row r="202" ht="12.75" customHeight="1" x14ac:dyDescent="0.15"/>
    <row r="203" ht="12.75" customHeight="1" x14ac:dyDescent="0.15"/>
    <row r="204" ht="12.75" customHeight="1" x14ac:dyDescent="0.15"/>
    <row r="205" ht="12.75" customHeight="1" x14ac:dyDescent="0.15"/>
    <row r="206" ht="12.75" customHeight="1" x14ac:dyDescent="0.15"/>
    <row r="207" ht="12.75" customHeight="1" x14ac:dyDescent="0.15"/>
    <row r="208" ht="12.75" customHeight="1" x14ac:dyDescent="0.15"/>
    <row r="209" ht="12.75" customHeight="1" x14ac:dyDescent="0.15"/>
    <row r="210" ht="12.75" customHeight="1" x14ac:dyDescent="0.15"/>
    <row r="211" ht="12.75" customHeight="1" x14ac:dyDescent="0.15"/>
    <row r="212" ht="12.75" customHeight="1" x14ac:dyDescent="0.15"/>
    <row r="213" ht="12.75" customHeight="1" x14ac:dyDescent="0.15"/>
    <row r="214" ht="12.75" customHeight="1" x14ac:dyDescent="0.15"/>
    <row r="215" ht="12.75" customHeight="1" x14ac:dyDescent="0.15"/>
    <row r="216" ht="12.75" customHeight="1" x14ac:dyDescent="0.15"/>
    <row r="217" ht="12.75" customHeight="1" x14ac:dyDescent="0.15"/>
    <row r="218" ht="12.75" customHeight="1" x14ac:dyDescent="0.15"/>
    <row r="219" ht="12.75" customHeight="1" x14ac:dyDescent="0.15"/>
    <row r="220" ht="12.75" customHeight="1" x14ac:dyDescent="0.15"/>
    <row r="221" ht="12.75" customHeight="1" x14ac:dyDescent="0.15"/>
    <row r="222" ht="12.75" customHeight="1" x14ac:dyDescent="0.15"/>
    <row r="223" ht="12.75" customHeight="1" x14ac:dyDescent="0.15"/>
    <row r="224" ht="12.75" customHeight="1" x14ac:dyDescent="0.15"/>
    <row r="225" ht="12.75" customHeight="1" x14ac:dyDescent="0.15"/>
    <row r="226" ht="12.75" customHeight="1" x14ac:dyDescent="0.15"/>
    <row r="227" ht="12.75" customHeight="1" x14ac:dyDescent="0.15"/>
    <row r="228" ht="12.75" customHeight="1" x14ac:dyDescent="0.15"/>
    <row r="229" ht="12.75" customHeight="1" x14ac:dyDescent="0.15"/>
    <row r="230" ht="12.75" customHeight="1" x14ac:dyDescent="0.15"/>
    <row r="231" ht="12.75" customHeight="1" x14ac:dyDescent="0.15"/>
    <row r="232" ht="12.75" customHeight="1" x14ac:dyDescent="0.15"/>
    <row r="233" ht="12.75" customHeight="1" x14ac:dyDescent="0.15"/>
    <row r="234" ht="12.75" customHeight="1" x14ac:dyDescent="0.15"/>
    <row r="235" ht="12.75" customHeight="1" x14ac:dyDescent="0.15"/>
    <row r="236" ht="12.75" customHeight="1" x14ac:dyDescent="0.15"/>
    <row r="237" ht="12.75" customHeight="1" x14ac:dyDescent="0.15"/>
    <row r="238" ht="12.75" customHeight="1" x14ac:dyDescent="0.15"/>
    <row r="239" ht="12.75" customHeight="1" x14ac:dyDescent="0.15"/>
    <row r="240" ht="12.75" customHeight="1" x14ac:dyDescent="0.15"/>
    <row r="241" ht="12.75" customHeight="1" x14ac:dyDescent="0.15"/>
    <row r="242" ht="12.75" customHeight="1" x14ac:dyDescent="0.15"/>
    <row r="243" ht="12.75" customHeight="1" x14ac:dyDescent="0.15"/>
    <row r="244" ht="12.75" customHeight="1" x14ac:dyDescent="0.15"/>
    <row r="245" ht="12.75" customHeight="1" x14ac:dyDescent="0.15"/>
    <row r="246" ht="12.75" customHeight="1" x14ac:dyDescent="0.15"/>
    <row r="247" ht="12.75" customHeight="1" x14ac:dyDescent="0.15"/>
    <row r="248" ht="12.75" customHeight="1" x14ac:dyDescent="0.15"/>
    <row r="249" ht="12.75" customHeight="1" x14ac:dyDescent="0.15"/>
    <row r="250" ht="12.75" customHeight="1" x14ac:dyDescent="0.15"/>
    <row r="251" ht="12.75" customHeight="1" x14ac:dyDescent="0.15"/>
    <row r="252" ht="12.75" customHeight="1" x14ac:dyDescent="0.15"/>
    <row r="253" ht="12.75" customHeight="1" x14ac:dyDescent="0.15"/>
    <row r="254" ht="12.75" customHeight="1" x14ac:dyDescent="0.15"/>
    <row r="255" ht="12.75" customHeight="1" x14ac:dyDescent="0.15"/>
    <row r="256" ht="12.75" customHeight="1" x14ac:dyDescent="0.15"/>
    <row r="257" ht="12.75" customHeight="1" x14ac:dyDescent="0.15"/>
    <row r="258" ht="12.75" customHeight="1" x14ac:dyDescent="0.15"/>
    <row r="259" ht="12.75" customHeight="1" x14ac:dyDescent="0.15"/>
    <row r="260" ht="12.75" customHeight="1" x14ac:dyDescent="0.15"/>
    <row r="261" ht="12.75" customHeight="1" x14ac:dyDescent="0.15"/>
    <row r="262" ht="12.75" customHeight="1" x14ac:dyDescent="0.15"/>
    <row r="263" ht="12.75" customHeight="1" x14ac:dyDescent="0.15"/>
    <row r="264" ht="12.75" customHeight="1" x14ac:dyDescent="0.15"/>
    <row r="265" ht="12.75" customHeight="1" x14ac:dyDescent="0.15"/>
    <row r="266" ht="12.75" customHeight="1" x14ac:dyDescent="0.15"/>
    <row r="267" ht="12.75" customHeight="1" x14ac:dyDescent="0.15"/>
    <row r="268" ht="12.75" customHeight="1" x14ac:dyDescent="0.15"/>
    <row r="269" ht="12.75" customHeight="1" x14ac:dyDescent="0.15"/>
    <row r="270" ht="12.75" customHeight="1" x14ac:dyDescent="0.15"/>
    <row r="271" ht="12.75" customHeight="1" x14ac:dyDescent="0.15"/>
    <row r="272" ht="12.75" customHeight="1" x14ac:dyDescent="0.15"/>
    <row r="273" ht="12.75" customHeight="1" x14ac:dyDescent="0.15"/>
    <row r="274" ht="12.75" customHeight="1" x14ac:dyDescent="0.15"/>
    <row r="275" ht="12.75" customHeight="1" x14ac:dyDescent="0.15"/>
    <row r="276" ht="12.75" customHeight="1" x14ac:dyDescent="0.15"/>
    <row r="277" ht="12.75" customHeight="1" x14ac:dyDescent="0.15"/>
    <row r="278" ht="12.75" customHeight="1" x14ac:dyDescent="0.15"/>
    <row r="279" ht="12.75" customHeight="1" x14ac:dyDescent="0.15"/>
    <row r="280" ht="12.75" customHeight="1" x14ac:dyDescent="0.15"/>
    <row r="281" ht="12.75" customHeight="1" x14ac:dyDescent="0.15"/>
    <row r="282" ht="12.75" customHeight="1" x14ac:dyDescent="0.15"/>
    <row r="283" ht="12.75" customHeight="1" x14ac:dyDescent="0.15"/>
    <row r="284" ht="12.75" customHeight="1" x14ac:dyDescent="0.15"/>
    <row r="285" ht="12.75" customHeight="1" x14ac:dyDescent="0.15"/>
    <row r="286" ht="12.75" customHeight="1" x14ac:dyDescent="0.15"/>
    <row r="287" ht="12.75" customHeight="1" x14ac:dyDescent="0.15"/>
    <row r="288" ht="12.75" customHeight="1" x14ac:dyDescent="0.15"/>
    <row r="289" ht="12.75" customHeight="1" x14ac:dyDescent="0.15"/>
    <row r="290" ht="12.75" customHeight="1" x14ac:dyDescent="0.15"/>
    <row r="291" ht="12.75" customHeight="1" x14ac:dyDescent="0.15"/>
    <row r="292" ht="12.75" customHeight="1" x14ac:dyDescent="0.15"/>
    <row r="293" ht="12.75" customHeight="1" x14ac:dyDescent="0.15"/>
    <row r="294" ht="12.75" customHeight="1" x14ac:dyDescent="0.15"/>
    <row r="295" ht="12.75" customHeight="1" x14ac:dyDescent="0.15"/>
    <row r="296" ht="12.75" customHeight="1" x14ac:dyDescent="0.15"/>
    <row r="297" ht="12.75" customHeight="1" x14ac:dyDescent="0.15"/>
    <row r="298" ht="12.75" customHeight="1" x14ac:dyDescent="0.15"/>
    <row r="299" ht="12.75" customHeight="1" x14ac:dyDescent="0.15"/>
    <row r="300" ht="12.75" customHeight="1" x14ac:dyDescent="0.15"/>
    <row r="301" ht="12.75" customHeight="1" x14ac:dyDescent="0.15"/>
    <row r="302" ht="12.75" customHeight="1" x14ac:dyDescent="0.15"/>
    <row r="303" ht="12.75" customHeight="1" x14ac:dyDescent="0.15"/>
    <row r="304" ht="12.75" customHeight="1" x14ac:dyDescent="0.15"/>
    <row r="305" ht="12.75" customHeight="1" x14ac:dyDescent="0.15"/>
    <row r="306" ht="12.75" customHeight="1" x14ac:dyDescent="0.15"/>
    <row r="307" ht="12.75" customHeight="1" x14ac:dyDescent="0.15"/>
    <row r="308" ht="12.75" customHeight="1" x14ac:dyDescent="0.15"/>
    <row r="309" ht="12.75" customHeight="1" x14ac:dyDescent="0.15"/>
    <row r="310" ht="12.75" customHeight="1" x14ac:dyDescent="0.15"/>
    <row r="311" ht="12.75" customHeight="1" x14ac:dyDescent="0.15"/>
    <row r="312" ht="12.75" customHeight="1" x14ac:dyDescent="0.15"/>
    <row r="313" ht="12.75" customHeight="1" x14ac:dyDescent="0.15"/>
    <row r="314" ht="12.75" customHeight="1" x14ac:dyDescent="0.15"/>
    <row r="315" ht="12.75" customHeight="1" x14ac:dyDescent="0.15"/>
    <row r="316" ht="12.75" customHeight="1" x14ac:dyDescent="0.15"/>
    <row r="317" ht="12.75" customHeight="1" x14ac:dyDescent="0.15"/>
    <row r="318" ht="12.75" customHeight="1" x14ac:dyDescent="0.15"/>
    <row r="319" ht="12.75" customHeight="1" x14ac:dyDescent="0.15"/>
    <row r="320" ht="12.75" customHeight="1" x14ac:dyDescent="0.15"/>
    <row r="321" ht="12.75" customHeight="1" x14ac:dyDescent="0.15"/>
    <row r="322" ht="12.75" customHeight="1" x14ac:dyDescent="0.15"/>
    <row r="323" ht="12.75" customHeight="1" x14ac:dyDescent="0.15"/>
    <row r="324" ht="12.75" customHeight="1" x14ac:dyDescent="0.15"/>
    <row r="325" ht="12.75" customHeight="1" x14ac:dyDescent="0.15"/>
    <row r="326" ht="12.75" customHeight="1" x14ac:dyDescent="0.15"/>
    <row r="327" ht="12.75" customHeight="1" x14ac:dyDescent="0.15"/>
    <row r="328" ht="12.75" customHeight="1" x14ac:dyDescent="0.15"/>
    <row r="329" ht="12.75" customHeight="1" x14ac:dyDescent="0.15"/>
    <row r="330" ht="12.75" customHeight="1" x14ac:dyDescent="0.15"/>
    <row r="331" ht="12.75" customHeight="1" x14ac:dyDescent="0.15"/>
    <row r="332" ht="12.75" customHeight="1" x14ac:dyDescent="0.15"/>
    <row r="333" ht="12.75" customHeight="1" x14ac:dyDescent="0.15"/>
    <row r="334" ht="12.75" customHeight="1" x14ac:dyDescent="0.15"/>
    <row r="335" ht="12.75" customHeight="1" x14ac:dyDescent="0.15"/>
    <row r="336" ht="12.75" customHeight="1" x14ac:dyDescent="0.15"/>
    <row r="337" ht="12.75" customHeight="1" x14ac:dyDescent="0.15"/>
    <row r="338" ht="12.75" customHeight="1" x14ac:dyDescent="0.15"/>
    <row r="339" ht="12.75" customHeight="1" x14ac:dyDescent="0.15"/>
    <row r="340" ht="12.75" customHeight="1" x14ac:dyDescent="0.15"/>
    <row r="341" ht="12.75" customHeight="1" x14ac:dyDescent="0.15"/>
    <row r="342" ht="12.75" customHeight="1" x14ac:dyDescent="0.15"/>
    <row r="343" ht="12.75" customHeight="1" x14ac:dyDescent="0.15"/>
    <row r="344" ht="12.75" customHeight="1" x14ac:dyDescent="0.15"/>
    <row r="345" ht="12.75" customHeight="1" x14ac:dyDescent="0.15"/>
    <row r="346" ht="12.75" customHeight="1" x14ac:dyDescent="0.15"/>
    <row r="347" ht="12.75" customHeight="1" x14ac:dyDescent="0.15"/>
    <row r="348" ht="12.75" customHeight="1" x14ac:dyDescent="0.15"/>
    <row r="349" ht="12.75" customHeight="1" x14ac:dyDescent="0.15"/>
    <row r="350" ht="12.75" customHeight="1" x14ac:dyDescent="0.15"/>
    <row r="351" ht="12.75" customHeight="1" x14ac:dyDescent="0.15"/>
    <row r="352" ht="12.75" customHeight="1" x14ac:dyDescent="0.15"/>
    <row r="353" ht="12.75" customHeight="1" x14ac:dyDescent="0.15"/>
    <row r="354" ht="12.75" customHeight="1" x14ac:dyDescent="0.15"/>
    <row r="355" ht="12.75" customHeight="1" x14ac:dyDescent="0.15"/>
    <row r="356" ht="12.75" customHeight="1" x14ac:dyDescent="0.15"/>
    <row r="357" ht="12.75" customHeight="1" x14ac:dyDescent="0.15"/>
    <row r="358" ht="12.75" customHeight="1" x14ac:dyDescent="0.15"/>
    <row r="359" ht="12.75" customHeight="1" x14ac:dyDescent="0.15"/>
    <row r="360" ht="12.75" customHeight="1" x14ac:dyDescent="0.15"/>
    <row r="361" ht="12.75" customHeight="1" x14ac:dyDescent="0.15"/>
    <row r="362" ht="12.75" customHeight="1" x14ac:dyDescent="0.15"/>
    <row r="363" ht="12.75" customHeight="1" x14ac:dyDescent="0.15"/>
    <row r="364" ht="12.75" customHeight="1" x14ac:dyDescent="0.15"/>
    <row r="365" ht="12.75" customHeight="1" x14ac:dyDescent="0.15"/>
    <row r="366" ht="12.75" customHeight="1" x14ac:dyDescent="0.15"/>
    <row r="367" ht="12.75" customHeight="1" x14ac:dyDescent="0.15"/>
    <row r="368" ht="12.75" customHeight="1" x14ac:dyDescent="0.15"/>
    <row r="369" ht="12.75" customHeight="1" x14ac:dyDescent="0.15"/>
    <row r="370" ht="12.75" customHeight="1" x14ac:dyDescent="0.15"/>
    <row r="371" ht="12.75" customHeight="1" x14ac:dyDescent="0.15"/>
    <row r="372" ht="12.75" customHeight="1" x14ac:dyDescent="0.15"/>
    <row r="373" ht="12.75" customHeight="1" x14ac:dyDescent="0.15"/>
    <row r="374" ht="12.75" customHeight="1" x14ac:dyDescent="0.15"/>
    <row r="375" ht="12.75" customHeight="1" x14ac:dyDescent="0.15"/>
    <row r="376" ht="12.75" customHeight="1" x14ac:dyDescent="0.15"/>
    <row r="377" ht="12.75" customHeight="1" x14ac:dyDescent="0.15"/>
    <row r="378" ht="12.75" customHeight="1" x14ac:dyDescent="0.15"/>
    <row r="379" ht="12.75" customHeight="1" x14ac:dyDescent="0.15"/>
    <row r="380" ht="12.75" customHeight="1" x14ac:dyDescent="0.15"/>
    <row r="381" ht="12.75" customHeight="1" x14ac:dyDescent="0.15"/>
    <row r="382" ht="12.75" customHeight="1" x14ac:dyDescent="0.15"/>
    <row r="383" ht="12.75" customHeight="1" x14ac:dyDescent="0.15"/>
    <row r="384" ht="12.75" customHeight="1" x14ac:dyDescent="0.15"/>
    <row r="385" ht="12.75" customHeight="1" x14ac:dyDescent="0.15"/>
    <row r="386" ht="12.75" customHeight="1" x14ac:dyDescent="0.15"/>
    <row r="387" ht="12.75" customHeight="1" x14ac:dyDescent="0.15"/>
    <row r="388" ht="12.75" customHeight="1" x14ac:dyDescent="0.15"/>
    <row r="389" ht="12.75" customHeight="1" x14ac:dyDescent="0.15"/>
    <row r="390" ht="12.75" customHeight="1" x14ac:dyDescent="0.15"/>
    <row r="391" ht="12.75" customHeight="1" x14ac:dyDescent="0.15"/>
    <row r="392" ht="12.75" customHeight="1" x14ac:dyDescent="0.15"/>
    <row r="393" ht="12.75" customHeight="1" x14ac:dyDescent="0.15"/>
    <row r="394" ht="12.75" customHeight="1" x14ac:dyDescent="0.15"/>
    <row r="395" ht="12.75" customHeight="1" x14ac:dyDescent="0.15"/>
    <row r="396" ht="12.75" customHeight="1" x14ac:dyDescent="0.15"/>
    <row r="397" ht="12.75" customHeight="1" x14ac:dyDescent="0.15"/>
    <row r="398" ht="12.75" customHeight="1" x14ac:dyDescent="0.15"/>
    <row r="399" ht="12.75" customHeight="1" x14ac:dyDescent="0.15"/>
    <row r="400" ht="12.75" customHeight="1" x14ac:dyDescent="0.15"/>
    <row r="401" ht="12.75" customHeight="1" x14ac:dyDescent="0.15"/>
    <row r="402" ht="12.75" customHeight="1" x14ac:dyDescent="0.15"/>
    <row r="403" ht="12.75" customHeight="1" x14ac:dyDescent="0.15"/>
    <row r="404" ht="12.75" customHeight="1" x14ac:dyDescent="0.15"/>
    <row r="405" ht="12.75" customHeight="1" x14ac:dyDescent="0.15"/>
    <row r="406" ht="12.75" customHeight="1" x14ac:dyDescent="0.15"/>
    <row r="407" ht="12.75" customHeight="1" x14ac:dyDescent="0.15"/>
    <row r="408" ht="12.75" customHeight="1" x14ac:dyDescent="0.15"/>
    <row r="409" ht="12.75" customHeight="1" x14ac:dyDescent="0.15"/>
    <row r="410" ht="12.75" customHeight="1" x14ac:dyDescent="0.15"/>
    <row r="411" ht="12.75" customHeight="1" x14ac:dyDescent="0.15"/>
    <row r="412" ht="12.75" customHeight="1" x14ac:dyDescent="0.15"/>
    <row r="413" ht="12.75" customHeight="1" x14ac:dyDescent="0.15"/>
    <row r="414" ht="12.75" customHeight="1" x14ac:dyDescent="0.15"/>
    <row r="415" ht="12.75" customHeight="1" x14ac:dyDescent="0.15"/>
    <row r="416" ht="12.75" customHeight="1" x14ac:dyDescent="0.15"/>
    <row r="417" ht="12.75" customHeight="1" x14ac:dyDescent="0.15"/>
    <row r="418" ht="12.75" customHeight="1" x14ac:dyDescent="0.15"/>
    <row r="419" ht="12.75" customHeight="1" x14ac:dyDescent="0.15"/>
    <row r="420" ht="12.75" customHeight="1" x14ac:dyDescent="0.15"/>
    <row r="421" ht="12.75" customHeight="1" x14ac:dyDescent="0.15"/>
    <row r="422" ht="12.75" customHeight="1" x14ac:dyDescent="0.15"/>
    <row r="423" ht="12.75" customHeight="1" x14ac:dyDescent="0.15"/>
    <row r="424" ht="12.75" customHeight="1" x14ac:dyDescent="0.15"/>
    <row r="425" ht="12.75" customHeight="1" x14ac:dyDescent="0.15"/>
    <row r="426" ht="12.75" customHeight="1" x14ac:dyDescent="0.15"/>
    <row r="427" ht="12.75" customHeight="1" x14ac:dyDescent="0.15"/>
    <row r="428" ht="12.75" customHeight="1" x14ac:dyDescent="0.15"/>
    <row r="429" ht="12.75" customHeight="1" x14ac:dyDescent="0.15"/>
    <row r="430" ht="12.75" customHeight="1" x14ac:dyDescent="0.15"/>
    <row r="431" ht="12.75" customHeight="1" x14ac:dyDescent="0.15"/>
    <row r="432" ht="12.75" customHeight="1" x14ac:dyDescent="0.15"/>
    <row r="433" ht="12.75" customHeight="1" x14ac:dyDescent="0.15"/>
    <row r="434" ht="12.75" customHeight="1" x14ac:dyDescent="0.15"/>
    <row r="435" ht="12.75" customHeight="1" x14ac:dyDescent="0.15"/>
    <row r="436" ht="12.75" customHeight="1" x14ac:dyDescent="0.15"/>
    <row r="437" ht="12.75" customHeight="1" x14ac:dyDescent="0.15"/>
    <row r="438" ht="12.75" customHeight="1" x14ac:dyDescent="0.15"/>
    <row r="439" ht="12.75" customHeight="1" x14ac:dyDescent="0.15"/>
    <row r="440" ht="12.75" customHeight="1" x14ac:dyDescent="0.15"/>
    <row r="441" ht="12.75" customHeight="1" x14ac:dyDescent="0.15"/>
    <row r="442" ht="12.75" customHeight="1" x14ac:dyDescent="0.15"/>
    <row r="443" ht="12.75" customHeight="1" x14ac:dyDescent="0.15"/>
    <row r="444" ht="12.75" customHeight="1" x14ac:dyDescent="0.15"/>
    <row r="445" ht="12.75" customHeight="1" x14ac:dyDescent="0.15"/>
    <row r="446" ht="12.75" customHeight="1" x14ac:dyDescent="0.15"/>
    <row r="447" ht="12.75" customHeight="1" x14ac:dyDescent="0.15"/>
    <row r="448" ht="12.75" customHeight="1" x14ac:dyDescent="0.15"/>
    <row r="449" ht="12.75" customHeight="1" x14ac:dyDescent="0.15"/>
    <row r="450" ht="12.75" customHeight="1" x14ac:dyDescent="0.15"/>
    <row r="451" ht="12.75" customHeight="1" x14ac:dyDescent="0.15"/>
    <row r="452" ht="12.75" customHeight="1" x14ac:dyDescent="0.15"/>
    <row r="453" ht="12.75" customHeight="1" x14ac:dyDescent="0.15"/>
    <row r="454" ht="12.75" customHeight="1" x14ac:dyDescent="0.15"/>
    <row r="455" ht="12.75" customHeight="1" x14ac:dyDescent="0.15"/>
    <row r="456" ht="12.75" customHeight="1" x14ac:dyDescent="0.15"/>
    <row r="457" ht="12.75" customHeight="1" x14ac:dyDescent="0.15"/>
    <row r="458" ht="12.75" customHeight="1" x14ac:dyDescent="0.15"/>
    <row r="459" ht="12.75" customHeight="1" x14ac:dyDescent="0.15"/>
    <row r="460" ht="12.75" customHeight="1" x14ac:dyDescent="0.15"/>
    <row r="461" ht="12.75" customHeight="1" x14ac:dyDescent="0.15"/>
    <row r="462" ht="12.75" customHeight="1" x14ac:dyDescent="0.15"/>
    <row r="463" ht="12.75" customHeight="1" x14ac:dyDescent="0.15"/>
    <row r="464" ht="12.75" customHeight="1" x14ac:dyDescent="0.15"/>
    <row r="465" ht="12.75" customHeight="1" x14ac:dyDescent="0.15"/>
    <row r="466" ht="12.75" customHeight="1" x14ac:dyDescent="0.15"/>
    <row r="467" ht="12.75" customHeight="1" x14ac:dyDescent="0.15"/>
    <row r="468" ht="12.75" customHeight="1" x14ac:dyDescent="0.15"/>
    <row r="469" ht="12.75" customHeight="1" x14ac:dyDescent="0.15"/>
    <row r="470" ht="12.75" customHeight="1" x14ac:dyDescent="0.15"/>
    <row r="471" ht="12.75" customHeight="1" x14ac:dyDescent="0.15"/>
    <row r="472" ht="12.75" customHeight="1" x14ac:dyDescent="0.15"/>
    <row r="473" ht="12.75" customHeight="1" x14ac:dyDescent="0.15"/>
    <row r="474" ht="12.75" customHeight="1" x14ac:dyDescent="0.15"/>
    <row r="475" ht="12.75" customHeight="1" x14ac:dyDescent="0.15"/>
    <row r="476" ht="12.75" customHeight="1" x14ac:dyDescent="0.15"/>
    <row r="477" ht="12.75" customHeight="1" x14ac:dyDescent="0.15"/>
    <row r="478" ht="12.75" customHeight="1" x14ac:dyDescent="0.15"/>
    <row r="479" ht="12.75" customHeight="1" x14ac:dyDescent="0.15"/>
    <row r="480" ht="12.75" customHeight="1" x14ac:dyDescent="0.15"/>
    <row r="481" ht="12.75" customHeight="1" x14ac:dyDescent="0.15"/>
    <row r="482" ht="12.75" customHeight="1" x14ac:dyDescent="0.15"/>
    <row r="483" ht="12.75" customHeight="1" x14ac:dyDescent="0.15"/>
    <row r="484" ht="12.75" customHeight="1" x14ac:dyDescent="0.15"/>
    <row r="485" ht="12.75" customHeight="1" x14ac:dyDescent="0.15"/>
    <row r="486" ht="12.75" customHeight="1" x14ac:dyDescent="0.15"/>
    <row r="487" ht="12.75" customHeight="1" x14ac:dyDescent="0.15"/>
    <row r="488" ht="12.75" customHeight="1" x14ac:dyDescent="0.15"/>
    <row r="489" ht="12.75" customHeight="1" x14ac:dyDescent="0.15"/>
    <row r="490" ht="12.75" customHeight="1" x14ac:dyDescent="0.15"/>
    <row r="491" ht="12.75" customHeight="1" x14ac:dyDescent="0.15"/>
    <row r="492" ht="12.75" customHeight="1" x14ac:dyDescent="0.15"/>
    <row r="493" ht="12.75" customHeight="1" x14ac:dyDescent="0.15"/>
    <row r="494" ht="12.75" customHeight="1" x14ac:dyDescent="0.15"/>
    <row r="495" ht="12.75" customHeight="1" x14ac:dyDescent="0.15"/>
    <row r="496" ht="12.75" customHeight="1" x14ac:dyDescent="0.15"/>
    <row r="497" ht="12.75" customHeight="1" x14ac:dyDescent="0.15"/>
    <row r="498" ht="12.75" customHeight="1" x14ac:dyDescent="0.15"/>
    <row r="499" ht="12.75" customHeight="1" x14ac:dyDescent="0.15"/>
    <row r="500" ht="12.75" customHeight="1" x14ac:dyDescent="0.15"/>
    <row r="501" ht="12.75" customHeight="1" x14ac:dyDescent="0.15"/>
    <row r="502" ht="12.75" customHeight="1" x14ac:dyDescent="0.15"/>
    <row r="503" ht="12.75" customHeight="1" x14ac:dyDescent="0.15"/>
    <row r="504" ht="12.75" customHeight="1" x14ac:dyDescent="0.15"/>
    <row r="505" ht="12.75" customHeight="1" x14ac:dyDescent="0.15"/>
    <row r="506" ht="12.75" customHeight="1" x14ac:dyDescent="0.15"/>
    <row r="507" ht="12.75" customHeight="1" x14ac:dyDescent="0.15"/>
    <row r="508" ht="12.75" customHeight="1" x14ac:dyDescent="0.15"/>
    <row r="509" ht="12.75" customHeight="1" x14ac:dyDescent="0.15"/>
    <row r="510" ht="12.75" customHeight="1" x14ac:dyDescent="0.15"/>
    <row r="511" ht="12.75" customHeight="1" x14ac:dyDescent="0.15"/>
    <row r="512" ht="12.75" customHeight="1" x14ac:dyDescent="0.15"/>
    <row r="513" ht="12.75" customHeight="1" x14ac:dyDescent="0.15"/>
    <row r="514" ht="12.75" customHeight="1" x14ac:dyDescent="0.15"/>
    <row r="515" ht="12.75" customHeight="1" x14ac:dyDescent="0.15"/>
    <row r="516" ht="12.75" customHeight="1" x14ac:dyDescent="0.15"/>
    <row r="517" ht="12.75" customHeight="1" x14ac:dyDescent="0.15"/>
    <row r="518" ht="12.75" customHeight="1" x14ac:dyDescent="0.15"/>
    <row r="519" ht="12.75" customHeight="1" x14ac:dyDescent="0.15"/>
    <row r="520" ht="12.75" customHeight="1" x14ac:dyDescent="0.15"/>
    <row r="521" ht="12.75" customHeight="1" x14ac:dyDescent="0.15"/>
    <row r="522" ht="12.75" customHeight="1" x14ac:dyDescent="0.15"/>
    <row r="523" ht="12.75" customHeight="1" x14ac:dyDescent="0.15"/>
    <row r="524" ht="12.75" customHeight="1" x14ac:dyDescent="0.15"/>
    <row r="525" ht="12.75" customHeight="1" x14ac:dyDescent="0.15"/>
    <row r="526" ht="12.75" customHeight="1" x14ac:dyDescent="0.15"/>
    <row r="527" ht="12.75" customHeight="1" x14ac:dyDescent="0.15"/>
    <row r="528" ht="12.75" customHeight="1" x14ac:dyDescent="0.15"/>
    <row r="529" ht="12.75" customHeight="1" x14ac:dyDescent="0.15"/>
    <row r="530" ht="12.75" customHeight="1" x14ac:dyDescent="0.15"/>
    <row r="531" ht="12.75" customHeight="1" x14ac:dyDescent="0.15"/>
    <row r="532" ht="12.75" customHeight="1" x14ac:dyDescent="0.15"/>
    <row r="533" ht="12.75" customHeight="1" x14ac:dyDescent="0.15"/>
    <row r="534" ht="12.75" customHeight="1" x14ac:dyDescent="0.15"/>
    <row r="535" ht="12.75" customHeight="1" x14ac:dyDescent="0.15"/>
    <row r="536" ht="12.75" customHeight="1" x14ac:dyDescent="0.15"/>
    <row r="537" ht="12.75" customHeight="1" x14ac:dyDescent="0.15"/>
    <row r="538" ht="12.75" customHeight="1" x14ac:dyDescent="0.15"/>
    <row r="539" ht="12.75" customHeight="1" x14ac:dyDescent="0.15"/>
    <row r="540" ht="12.75" customHeight="1" x14ac:dyDescent="0.15"/>
    <row r="541" ht="12.75" customHeight="1" x14ac:dyDescent="0.15"/>
    <row r="542" ht="12.75" customHeight="1" x14ac:dyDescent="0.15"/>
    <row r="543" ht="12.75" customHeight="1" x14ac:dyDescent="0.15"/>
    <row r="544" ht="12.75" customHeight="1" x14ac:dyDescent="0.15"/>
    <row r="545" ht="12.75" customHeight="1" x14ac:dyDescent="0.15"/>
    <row r="546" ht="12.75" customHeight="1" x14ac:dyDescent="0.15"/>
    <row r="547" ht="12.75" customHeight="1" x14ac:dyDescent="0.15"/>
    <row r="548" ht="12.75" customHeight="1" x14ac:dyDescent="0.15"/>
    <row r="549" ht="12.75" customHeight="1" x14ac:dyDescent="0.15"/>
    <row r="550" ht="12.75" customHeight="1" x14ac:dyDescent="0.15"/>
    <row r="551" ht="12.75" customHeight="1" x14ac:dyDescent="0.15"/>
    <row r="552" ht="12.75" customHeight="1" x14ac:dyDescent="0.15"/>
    <row r="553" ht="12.75" customHeight="1" x14ac:dyDescent="0.15"/>
    <row r="554" ht="12.75" customHeight="1" x14ac:dyDescent="0.15"/>
    <row r="555" ht="12.75" customHeight="1" x14ac:dyDescent="0.15"/>
    <row r="556" ht="12.75" customHeight="1" x14ac:dyDescent="0.15"/>
    <row r="557" ht="12.75" customHeight="1" x14ac:dyDescent="0.15"/>
    <row r="558" ht="12.75" customHeight="1" x14ac:dyDescent="0.15"/>
    <row r="559" ht="12.75" customHeight="1" x14ac:dyDescent="0.15"/>
    <row r="560" ht="12.75" customHeight="1" x14ac:dyDescent="0.15"/>
    <row r="561" ht="12.75" customHeight="1" x14ac:dyDescent="0.15"/>
    <row r="562" ht="12.75" customHeight="1" x14ac:dyDescent="0.15"/>
    <row r="563" ht="12.75" customHeight="1" x14ac:dyDescent="0.15"/>
    <row r="564" ht="12.75" customHeight="1" x14ac:dyDescent="0.15"/>
    <row r="565" ht="12.75" customHeight="1" x14ac:dyDescent="0.15"/>
    <row r="566" ht="12.75" customHeight="1" x14ac:dyDescent="0.15"/>
    <row r="567" ht="12.75" customHeight="1" x14ac:dyDescent="0.15"/>
    <row r="568" ht="12.75" customHeight="1" x14ac:dyDescent="0.15"/>
    <row r="569" ht="12.75" customHeight="1" x14ac:dyDescent="0.15"/>
    <row r="570" ht="12.75" customHeight="1" x14ac:dyDescent="0.15"/>
    <row r="571" ht="12.75" customHeight="1" x14ac:dyDescent="0.15"/>
    <row r="572" ht="12.75" customHeight="1" x14ac:dyDescent="0.15"/>
    <row r="573" ht="12.75" customHeight="1" x14ac:dyDescent="0.15"/>
    <row r="574" ht="12.75" customHeight="1" x14ac:dyDescent="0.15"/>
    <row r="575" ht="12.75" customHeight="1" x14ac:dyDescent="0.15"/>
    <row r="576" ht="12.75" customHeight="1" x14ac:dyDescent="0.15"/>
    <row r="577" ht="12.75" customHeight="1" x14ac:dyDescent="0.15"/>
    <row r="578" ht="12.75" customHeight="1" x14ac:dyDescent="0.15"/>
    <row r="579" ht="12.75" customHeight="1" x14ac:dyDescent="0.15"/>
    <row r="580" ht="12.75" customHeight="1" x14ac:dyDescent="0.15"/>
    <row r="581" ht="12.75" customHeight="1" x14ac:dyDescent="0.15"/>
    <row r="582" ht="12.75" customHeight="1" x14ac:dyDescent="0.15"/>
    <row r="583" ht="12.75" customHeight="1" x14ac:dyDescent="0.15"/>
    <row r="584" ht="12.75" customHeight="1" x14ac:dyDescent="0.15"/>
    <row r="585" ht="12.75" customHeight="1" x14ac:dyDescent="0.15"/>
    <row r="586" ht="12.75" customHeight="1" x14ac:dyDescent="0.15"/>
    <row r="587" ht="12.75" customHeight="1" x14ac:dyDescent="0.15"/>
    <row r="588" ht="12.75" customHeight="1" x14ac:dyDescent="0.15"/>
    <row r="589" ht="12.75" customHeight="1" x14ac:dyDescent="0.15"/>
    <row r="590" ht="12.75" customHeight="1" x14ac:dyDescent="0.15"/>
    <row r="591" ht="12.75" customHeight="1" x14ac:dyDescent="0.15"/>
    <row r="592" ht="12.75" customHeight="1" x14ac:dyDescent="0.15"/>
    <row r="593" ht="12.75" customHeight="1" x14ac:dyDescent="0.15"/>
    <row r="594" ht="12.75" customHeight="1" x14ac:dyDescent="0.15"/>
    <row r="595" ht="12.75" customHeight="1" x14ac:dyDescent="0.15"/>
    <row r="596" ht="12.75" customHeight="1" x14ac:dyDescent="0.15"/>
    <row r="597" ht="12.75" customHeight="1" x14ac:dyDescent="0.15"/>
    <row r="598" ht="12.75" customHeight="1" x14ac:dyDescent="0.15"/>
    <row r="599" ht="12.75" customHeight="1" x14ac:dyDescent="0.15"/>
    <row r="600" ht="12.75" customHeight="1" x14ac:dyDescent="0.15"/>
    <row r="601" ht="12.75" customHeight="1" x14ac:dyDescent="0.15"/>
    <row r="602" ht="12.75" customHeight="1" x14ac:dyDescent="0.15"/>
    <row r="603" ht="12.75" customHeight="1" x14ac:dyDescent="0.15"/>
    <row r="604" ht="12.75" customHeight="1" x14ac:dyDescent="0.15"/>
    <row r="605" ht="12.75" customHeight="1" x14ac:dyDescent="0.15"/>
    <row r="606" ht="12.75" customHeight="1" x14ac:dyDescent="0.15"/>
    <row r="607" ht="12.75" customHeight="1" x14ac:dyDescent="0.15"/>
    <row r="608" ht="12.75" customHeight="1" x14ac:dyDescent="0.15"/>
    <row r="609" ht="12.75" customHeight="1" x14ac:dyDescent="0.15"/>
    <row r="610" ht="12.75" customHeight="1" x14ac:dyDescent="0.15"/>
    <row r="611" ht="12.75" customHeight="1" x14ac:dyDescent="0.15"/>
    <row r="612" ht="12.75" customHeight="1" x14ac:dyDescent="0.15"/>
    <row r="613" ht="12.75" customHeight="1" x14ac:dyDescent="0.15"/>
    <row r="614" ht="12.75" customHeight="1" x14ac:dyDescent="0.15"/>
    <row r="615" ht="12.75" customHeight="1" x14ac:dyDescent="0.15"/>
    <row r="616" ht="12.75" customHeight="1" x14ac:dyDescent="0.15"/>
    <row r="617" ht="12.75" customHeight="1" x14ac:dyDescent="0.15"/>
    <row r="618" ht="12.75" customHeight="1" x14ac:dyDescent="0.15"/>
    <row r="619" ht="12.75" customHeight="1" x14ac:dyDescent="0.15"/>
    <row r="620" ht="12.75" customHeight="1" x14ac:dyDescent="0.15"/>
    <row r="621" ht="12.75" customHeight="1" x14ac:dyDescent="0.15"/>
    <row r="622" ht="12.75" customHeight="1" x14ac:dyDescent="0.15"/>
    <row r="623" ht="12.75" customHeight="1" x14ac:dyDescent="0.15"/>
    <row r="624" ht="12.75" customHeight="1" x14ac:dyDescent="0.15"/>
    <row r="625" ht="12.75" customHeight="1" x14ac:dyDescent="0.15"/>
    <row r="626" ht="12.75" customHeight="1" x14ac:dyDescent="0.15"/>
    <row r="627" ht="12.75" customHeight="1" x14ac:dyDescent="0.15"/>
    <row r="628" ht="12.75" customHeight="1" x14ac:dyDescent="0.15"/>
    <row r="629" ht="12.75" customHeight="1" x14ac:dyDescent="0.15"/>
    <row r="630" ht="12.75" customHeight="1" x14ac:dyDescent="0.15"/>
    <row r="631" ht="12.75" customHeight="1" x14ac:dyDescent="0.15"/>
    <row r="632" ht="12.75" customHeight="1" x14ac:dyDescent="0.15"/>
    <row r="633" ht="12.75" customHeight="1" x14ac:dyDescent="0.15"/>
    <row r="634" ht="12.75" customHeight="1" x14ac:dyDescent="0.15"/>
    <row r="635" ht="12.75" customHeight="1" x14ac:dyDescent="0.15"/>
    <row r="636" ht="12.75" customHeight="1" x14ac:dyDescent="0.15"/>
    <row r="637" ht="12.75" customHeight="1" x14ac:dyDescent="0.15"/>
    <row r="638" ht="12.75" customHeight="1" x14ac:dyDescent="0.15"/>
    <row r="639" ht="12.75" customHeight="1" x14ac:dyDescent="0.15"/>
    <row r="640" ht="12.75" customHeight="1" x14ac:dyDescent="0.15"/>
    <row r="641" ht="12.75" customHeight="1" x14ac:dyDescent="0.15"/>
    <row r="642" ht="12.75" customHeight="1" x14ac:dyDescent="0.15"/>
    <row r="643" ht="12.75" customHeight="1" x14ac:dyDescent="0.15"/>
    <row r="644" ht="12.75" customHeight="1" x14ac:dyDescent="0.15"/>
    <row r="645" ht="12.75" customHeight="1" x14ac:dyDescent="0.15"/>
    <row r="646" ht="12.75" customHeight="1" x14ac:dyDescent="0.15"/>
    <row r="647" ht="12.75" customHeight="1" x14ac:dyDescent="0.15"/>
    <row r="648" ht="12.75" customHeight="1" x14ac:dyDescent="0.15"/>
    <row r="649" ht="12.75" customHeight="1" x14ac:dyDescent="0.15"/>
    <row r="650" ht="12.75" customHeight="1" x14ac:dyDescent="0.15"/>
    <row r="651" ht="12.75" customHeight="1" x14ac:dyDescent="0.15"/>
    <row r="652" ht="12.75" customHeight="1" x14ac:dyDescent="0.15"/>
    <row r="653" ht="12.75" customHeight="1" x14ac:dyDescent="0.15"/>
    <row r="654" ht="12.75" customHeight="1" x14ac:dyDescent="0.15"/>
    <row r="655" ht="12.75" customHeight="1" x14ac:dyDescent="0.15"/>
    <row r="656" ht="12.75" customHeight="1" x14ac:dyDescent="0.15"/>
    <row r="657" ht="12.75" customHeight="1" x14ac:dyDescent="0.15"/>
    <row r="658" ht="12.75" customHeight="1" x14ac:dyDescent="0.15"/>
    <row r="659" ht="12.75" customHeight="1" x14ac:dyDescent="0.15"/>
    <row r="660" ht="12.75" customHeight="1" x14ac:dyDescent="0.15"/>
    <row r="661" ht="12.75" customHeight="1" x14ac:dyDescent="0.15"/>
    <row r="662" ht="12.75" customHeight="1" x14ac:dyDescent="0.15"/>
    <row r="663" ht="12.75" customHeight="1" x14ac:dyDescent="0.15"/>
    <row r="664" ht="12.75" customHeight="1" x14ac:dyDescent="0.15"/>
    <row r="665" ht="12.75" customHeight="1" x14ac:dyDescent="0.15"/>
    <row r="666" ht="12.75" customHeight="1" x14ac:dyDescent="0.15"/>
    <row r="667" ht="12.75" customHeight="1" x14ac:dyDescent="0.15"/>
    <row r="668" ht="12.75" customHeight="1" x14ac:dyDescent="0.15"/>
    <row r="669" ht="12.75" customHeight="1" x14ac:dyDescent="0.15"/>
    <row r="670" ht="12.75" customHeight="1" x14ac:dyDescent="0.15"/>
    <row r="671" ht="12.75" customHeight="1" x14ac:dyDescent="0.15"/>
    <row r="672" ht="12.75" customHeight="1" x14ac:dyDescent="0.15"/>
    <row r="673" ht="12.75" customHeight="1" x14ac:dyDescent="0.15"/>
    <row r="674" ht="12.75" customHeight="1" x14ac:dyDescent="0.15"/>
    <row r="675" ht="12.75" customHeight="1" x14ac:dyDescent="0.15"/>
    <row r="676" ht="12.75" customHeight="1" x14ac:dyDescent="0.15"/>
    <row r="677" ht="12.75" customHeight="1" x14ac:dyDescent="0.15"/>
    <row r="678" ht="12.75" customHeight="1" x14ac:dyDescent="0.15"/>
    <row r="679" ht="12.75" customHeight="1" x14ac:dyDescent="0.15"/>
    <row r="680" ht="12.75" customHeight="1" x14ac:dyDescent="0.15"/>
    <row r="681" ht="12.75" customHeight="1" x14ac:dyDescent="0.15"/>
    <row r="682" ht="12.75" customHeight="1" x14ac:dyDescent="0.15"/>
    <row r="683" ht="12.75" customHeight="1" x14ac:dyDescent="0.15"/>
    <row r="684" ht="12.75" customHeight="1" x14ac:dyDescent="0.15"/>
    <row r="685" ht="12.75" customHeight="1" x14ac:dyDescent="0.15"/>
    <row r="686" ht="12.75" customHeight="1" x14ac:dyDescent="0.15"/>
    <row r="687" ht="12.75" customHeight="1" x14ac:dyDescent="0.15"/>
    <row r="688" ht="12.75" customHeight="1" x14ac:dyDescent="0.15"/>
    <row r="689" ht="12.75" customHeight="1" x14ac:dyDescent="0.15"/>
    <row r="690" ht="12.75" customHeight="1" x14ac:dyDescent="0.15"/>
    <row r="691" ht="12.75" customHeight="1" x14ac:dyDescent="0.15"/>
    <row r="692" ht="12.75" customHeight="1" x14ac:dyDescent="0.15"/>
    <row r="693" ht="12.75" customHeight="1" x14ac:dyDescent="0.15"/>
    <row r="694" ht="12.75" customHeight="1" x14ac:dyDescent="0.15"/>
    <row r="695" ht="12.75" customHeight="1" x14ac:dyDescent="0.15"/>
    <row r="696" ht="12.75" customHeight="1" x14ac:dyDescent="0.15"/>
    <row r="697" ht="12.75" customHeight="1" x14ac:dyDescent="0.15"/>
    <row r="698" ht="12.75" customHeight="1" x14ac:dyDescent="0.15"/>
    <row r="699" ht="12.75" customHeight="1" x14ac:dyDescent="0.15"/>
    <row r="700" ht="12.75" customHeight="1" x14ac:dyDescent="0.15"/>
    <row r="701" ht="12.75" customHeight="1" x14ac:dyDescent="0.15"/>
    <row r="702" ht="12.75" customHeight="1" x14ac:dyDescent="0.15"/>
    <row r="703" ht="12.75" customHeight="1" x14ac:dyDescent="0.15"/>
    <row r="704" ht="12.75" customHeight="1" x14ac:dyDescent="0.15"/>
    <row r="705" ht="12.75" customHeight="1" x14ac:dyDescent="0.15"/>
    <row r="706" ht="12.75" customHeight="1" x14ac:dyDescent="0.15"/>
    <row r="707" ht="12.75" customHeight="1" x14ac:dyDescent="0.15"/>
    <row r="708" ht="12.75" customHeight="1" x14ac:dyDescent="0.15"/>
    <row r="709" ht="12.75" customHeight="1" x14ac:dyDescent="0.15"/>
    <row r="710" ht="12.75" customHeight="1" x14ac:dyDescent="0.15"/>
    <row r="711" ht="12.75" customHeight="1" x14ac:dyDescent="0.15"/>
    <row r="712" ht="12.75" customHeight="1" x14ac:dyDescent="0.15"/>
    <row r="713" ht="12.75" customHeight="1" x14ac:dyDescent="0.15"/>
    <row r="714" ht="12.75" customHeight="1" x14ac:dyDescent="0.15"/>
    <row r="715" ht="12.75" customHeight="1" x14ac:dyDescent="0.15"/>
    <row r="716" ht="12.75" customHeight="1" x14ac:dyDescent="0.15"/>
    <row r="717" ht="12.75" customHeight="1" x14ac:dyDescent="0.15"/>
    <row r="718" ht="12.75" customHeight="1" x14ac:dyDescent="0.15"/>
    <row r="719" ht="12.75" customHeight="1" x14ac:dyDescent="0.15"/>
    <row r="720" ht="12.75" customHeight="1" x14ac:dyDescent="0.15"/>
    <row r="721" ht="12.75" customHeight="1" x14ac:dyDescent="0.15"/>
    <row r="722" ht="12.75" customHeight="1" x14ac:dyDescent="0.15"/>
    <row r="723" ht="12.75" customHeight="1" x14ac:dyDescent="0.15"/>
    <row r="724" ht="12.75" customHeight="1" x14ac:dyDescent="0.15"/>
    <row r="725" ht="12.75" customHeight="1" x14ac:dyDescent="0.15"/>
    <row r="726" ht="12.75" customHeight="1" x14ac:dyDescent="0.15"/>
    <row r="727" ht="12.75" customHeight="1" x14ac:dyDescent="0.15"/>
    <row r="728" ht="12.75" customHeight="1" x14ac:dyDescent="0.15"/>
    <row r="729" ht="12.75" customHeight="1" x14ac:dyDescent="0.15"/>
    <row r="730" ht="12.75" customHeight="1" x14ac:dyDescent="0.15"/>
    <row r="731" ht="12.75" customHeight="1" x14ac:dyDescent="0.15"/>
    <row r="732" ht="12.75" customHeight="1" x14ac:dyDescent="0.15"/>
    <row r="733" ht="12.75" customHeight="1" x14ac:dyDescent="0.15"/>
    <row r="734" ht="12.75" customHeight="1" x14ac:dyDescent="0.15"/>
    <row r="735" ht="12.75" customHeight="1" x14ac:dyDescent="0.15"/>
    <row r="736" ht="12.75" customHeight="1" x14ac:dyDescent="0.15"/>
    <row r="737" ht="12.75" customHeight="1" x14ac:dyDescent="0.15"/>
    <row r="738" ht="12.75" customHeight="1" x14ac:dyDescent="0.15"/>
    <row r="739" ht="12.75" customHeight="1" x14ac:dyDescent="0.15"/>
    <row r="740" ht="12.75" customHeight="1" x14ac:dyDescent="0.15"/>
    <row r="741" ht="12.75" customHeight="1" x14ac:dyDescent="0.15"/>
    <row r="742" ht="12.75" customHeight="1" x14ac:dyDescent="0.15"/>
    <row r="743" ht="12.75" customHeight="1" x14ac:dyDescent="0.15"/>
    <row r="744" ht="12.75" customHeight="1" x14ac:dyDescent="0.15"/>
    <row r="745" ht="12.75" customHeight="1" x14ac:dyDescent="0.15"/>
    <row r="746" ht="12.75" customHeight="1" x14ac:dyDescent="0.15"/>
    <row r="747" ht="12.75" customHeight="1" x14ac:dyDescent="0.15"/>
    <row r="748" ht="12.75" customHeight="1" x14ac:dyDescent="0.15"/>
    <row r="749" ht="12.75" customHeight="1" x14ac:dyDescent="0.15"/>
    <row r="750" ht="12.75" customHeight="1" x14ac:dyDescent="0.15"/>
    <row r="751" ht="12.75" customHeight="1" x14ac:dyDescent="0.15"/>
    <row r="752" ht="12.75" customHeight="1" x14ac:dyDescent="0.15"/>
    <row r="753" ht="12.75" customHeight="1" x14ac:dyDescent="0.15"/>
    <row r="754" ht="12.75" customHeight="1" x14ac:dyDescent="0.15"/>
    <row r="755" ht="12.75" customHeight="1" x14ac:dyDescent="0.15"/>
    <row r="756" ht="12.75" customHeight="1" x14ac:dyDescent="0.15"/>
    <row r="757" ht="12.75" customHeight="1" x14ac:dyDescent="0.15"/>
    <row r="758" ht="12.75" customHeight="1" x14ac:dyDescent="0.15"/>
    <row r="759" ht="12.75" customHeight="1" x14ac:dyDescent="0.15"/>
    <row r="760" ht="12.75" customHeight="1" x14ac:dyDescent="0.15"/>
    <row r="761" ht="12.75" customHeight="1" x14ac:dyDescent="0.15"/>
    <row r="762" ht="12.75" customHeight="1" x14ac:dyDescent="0.15"/>
    <row r="763" ht="12.75" customHeight="1" x14ac:dyDescent="0.15"/>
    <row r="764" ht="12.75" customHeight="1" x14ac:dyDescent="0.15"/>
    <row r="765" ht="12.75" customHeight="1" x14ac:dyDescent="0.15"/>
    <row r="766" ht="12.75" customHeight="1" x14ac:dyDescent="0.15"/>
    <row r="767" ht="12.75" customHeight="1" x14ac:dyDescent="0.15"/>
    <row r="768" ht="12.75" customHeight="1" x14ac:dyDescent="0.15"/>
    <row r="769" ht="12.75" customHeight="1" x14ac:dyDescent="0.15"/>
    <row r="770" ht="12.75" customHeight="1" x14ac:dyDescent="0.15"/>
    <row r="771" ht="12.75" customHeight="1" x14ac:dyDescent="0.15"/>
    <row r="772" ht="12.75" customHeight="1" x14ac:dyDescent="0.15"/>
    <row r="773" ht="12.75" customHeight="1" x14ac:dyDescent="0.15"/>
    <row r="774" ht="12.75" customHeight="1" x14ac:dyDescent="0.15"/>
    <row r="775" ht="12.75" customHeight="1" x14ac:dyDescent="0.15"/>
    <row r="776" ht="12.75" customHeight="1" x14ac:dyDescent="0.15"/>
    <row r="777" ht="12.75" customHeight="1" x14ac:dyDescent="0.15"/>
    <row r="778" ht="12.75" customHeight="1" x14ac:dyDescent="0.15"/>
    <row r="779" ht="12.75" customHeight="1" x14ac:dyDescent="0.15"/>
    <row r="780" ht="12.75" customHeight="1" x14ac:dyDescent="0.15"/>
    <row r="781" ht="12.75" customHeight="1" x14ac:dyDescent="0.15"/>
    <row r="782" ht="12.75" customHeight="1" x14ac:dyDescent="0.15"/>
    <row r="783" ht="12.75" customHeight="1" x14ac:dyDescent="0.15"/>
    <row r="784" ht="12.75" customHeight="1" x14ac:dyDescent="0.15"/>
    <row r="785" ht="12.75" customHeight="1" x14ac:dyDescent="0.15"/>
    <row r="786" ht="12.75" customHeight="1" x14ac:dyDescent="0.15"/>
    <row r="787" ht="12.75" customHeight="1" x14ac:dyDescent="0.15"/>
    <row r="788" ht="12.75" customHeight="1" x14ac:dyDescent="0.15"/>
    <row r="789" ht="12.75" customHeight="1" x14ac:dyDescent="0.15"/>
    <row r="790" ht="12.75" customHeight="1" x14ac:dyDescent="0.15"/>
    <row r="791" ht="12.75" customHeight="1" x14ac:dyDescent="0.15"/>
    <row r="792" ht="12.75" customHeight="1" x14ac:dyDescent="0.15"/>
    <row r="793" ht="12.75" customHeight="1" x14ac:dyDescent="0.15"/>
    <row r="794" ht="12.75" customHeight="1" x14ac:dyDescent="0.15"/>
    <row r="795" ht="12.75" customHeight="1" x14ac:dyDescent="0.15"/>
    <row r="796" ht="12.75" customHeight="1" x14ac:dyDescent="0.15"/>
    <row r="797" ht="12.75" customHeight="1" x14ac:dyDescent="0.15"/>
    <row r="798" ht="12.75" customHeight="1" x14ac:dyDescent="0.15"/>
    <row r="799" ht="12.75" customHeight="1" x14ac:dyDescent="0.15"/>
    <row r="800" ht="12.75" customHeight="1" x14ac:dyDescent="0.15"/>
    <row r="801" ht="12.75" customHeight="1" x14ac:dyDescent="0.15"/>
    <row r="802" ht="12.75" customHeight="1" x14ac:dyDescent="0.15"/>
    <row r="803" ht="12.75" customHeight="1" x14ac:dyDescent="0.15"/>
    <row r="804" ht="12.75" customHeight="1" x14ac:dyDescent="0.15"/>
    <row r="805" ht="12.75" customHeight="1" x14ac:dyDescent="0.15"/>
    <row r="806" ht="12.75" customHeight="1" x14ac:dyDescent="0.15"/>
    <row r="807" ht="12.75" customHeight="1" x14ac:dyDescent="0.15"/>
    <row r="808" ht="12.75" customHeight="1" x14ac:dyDescent="0.15"/>
    <row r="809" ht="12.75" customHeight="1" x14ac:dyDescent="0.15"/>
    <row r="810" ht="12.75" customHeight="1" x14ac:dyDescent="0.15"/>
    <row r="811" ht="12.75" customHeight="1" x14ac:dyDescent="0.15"/>
    <row r="812" ht="12.75" customHeight="1" x14ac:dyDescent="0.15"/>
    <row r="813" ht="12.75" customHeight="1" x14ac:dyDescent="0.15"/>
    <row r="814" ht="12.75" customHeight="1" x14ac:dyDescent="0.15"/>
    <row r="815" ht="12.75" customHeight="1" x14ac:dyDescent="0.15"/>
    <row r="816" ht="12.75" customHeight="1" x14ac:dyDescent="0.15"/>
    <row r="817" ht="12.75" customHeight="1" x14ac:dyDescent="0.15"/>
    <row r="818" ht="12.75" customHeight="1" x14ac:dyDescent="0.15"/>
    <row r="819" ht="12.75" customHeight="1" x14ac:dyDescent="0.15"/>
    <row r="820" ht="12.75" customHeight="1" x14ac:dyDescent="0.15"/>
    <row r="821" ht="12.75" customHeight="1" x14ac:dyDescent="0.15"/>
    <row r="822" ht="12.75" customHeight="1" x14ac:dyDescent="0.15"/>
    <row r="823" ht="12.75" customHeight="1" x14ac:dyDescent="0.15"/>
    <row r="824" ht="12.75" customHeight="1" x14ac:dyDescent="0.15"/>
    <row r="825" ht="12.75" customHeight="1" x14ac:dyDescent="0.15"/>
    <row r="826" ht="12.75" customHeight="1" x14ac:dyDescent="0.15"/>
    <row r="827" ht="12.75" customHeight="1" x14ac:dyDescent="0.15"/>
    <row r="828" ht="12.75" customHeight="1" x14ac:dyDescent="0.15"/>
    <row r="829" ht="12.75" customHeight="1" x14ac:dyDescent="0.15"/>
    <row r="830" ht="12.75" customHeight="1" x14ac:dyDescent="0.15"/>
    <row r="831" ht="12.75" customHeight="1" x14ac:dyDescent="0.15"/>
    <row r="832" ht="12.75" customHeight="1" x14ac:dyDescent="0.15"/>
    <row r="833" ht="12.75" customHeight="1" x14ac:dyDescent="0.15"/>
    <row r="834" ht="12.75" customHeight="1" x14ac:dyDescent="0.15"/>
    <row r="835" ht="12.75" customHeight="1" x14ac:dyDescent="0.15"/>
    <row r="836" ht="12.75" customHeight="1" x14ac:dyDescent="0.15"/>
    <row r="837" ht="12.75" customHeight="1" x14ac:dyDescent="0.15"/>
    <row r="838" ht="12.75" customHeight="1" x14ac:dyDescent="0.15"/>
    <row r="839" ht="12.75" customHeight="1" x14ac:dyDescent="0.15"/>
    <row r="840" ht="12.75" customHeight="1" x14ac:dyDescent="0.15"/>
    <row r="841" ht="12.75" customHeight="1" x14ac:dyDescent="0.15"/>
    <row r="842" ht="12.75" customHeight="1" x14ac:dyDescent="0.15"/>
    <row r="843" ht="12.75" customHeight="1" x14ac:dyDescent="0.15"/>
    <row r="844" ht="12.75" customHeight="1" x14ac:dyDescent="0.15"/>
    <row r="845" ht="12.75" customHeight="1" x14ac:dyDescent="0.15"/>
    <row r="846" ht="12.75" customHeight="1" x14ac:dyDescent="0.15"/>
    <row r="847" ht="12.75" customHeight="1" x14ac:dyDescent="0.15"/>
    <row r="848" ht="12.75" customHeight="1" x14ac:dyDescent="0.15"/>
    <row r="849" ht="12.75" customHeight="1" x14ac:dyDescent="0.15"/>
    <row r="850" ht="12.75" customHeight="1" x14ac:dyDescent="0.15"/>
    <row r="851" ht="12.75" customHeight="1" x14ac:dyDescent="0.15"/>
    <row r="852" ht="12.75" customHeight="1" x14ac:dyDescent="0.15"/>
    <row r="853" ht="12.75" customHeight="1" x14ac:dyDescent="0.15"/>
    <row r="854" ht="12.75" customHeight="1" x14ac:dyDescent="0.15"/>
    <row r="855" ht="12.75" customHeight="1" x14ac:dyDescent="0.15"/>
    <row r="856" ht="12.75" customHeight="1" x14ac:dyDescent="0.15"/>
    <row r="857" ht="12.75" customHeight="1" x14ac:dyDescent="0.15"/>
    <row r="858" ht="12.75" customHeight="1" x14ac:dyDescent="0.15"/>
    <row r="859" ht="12.75" customHeight="1" x14ac:dyDescent="0.15"/>
    <row r="860" ht="12.75" customHeight="1" x14ac:dyDescent="0.15"/>
    <row r="861" ht="12.75" customHeight="1" x14ac:dyDescent="0.15"/>
    <row r="862" ht="12.75" customHeight="1" x14ac:dyDescent="0.15"/>
    <row r="863" ht="12.75" customHeight="1" x14ac:dyDescent="0.15"/>
    <row r="864" ht="12.75" customHeight="1" x14ac:dyDescent="0.15"/>
    <row r="865" ht="12.75" customHeight="1" x14ac:dyDescent="0.15"/>
    <row r="866" ht="12.75" customHeight="1" x14ac:dyDescent="0.15"/>
    <row r="867" ht="12.75" customHeight="1" x14ac:dyDescent="0.15"/>
    <row r="868" ht="12.75" customHeight="1" x14ac:dyDescent="0.15"/>
    <row r="869" ht="12.75" customHeight="1" x14ac:dyDescent="0.15"/>
    <row r="870" ht="12.75" customHeight="1" x14ac:dyDescent="0.15"/>
    <row r="871" ht="12.75" customHeight="1" x14ac:dyDescent="0.15"/>
    <row r="872" ht="12.75" customHeight="1" x14ac:dyDescent="0.15"/>
    <row r="873" ht="12.75" customHeight="1" x14ac:dyDescent="0.15"/>
    <row r="874" ht="12.75" customHeight="1" x14ac:dyDescent="0.15"/>
    <row r="875" ht="12.75" customHeight="1" x14ac:dyDescent="0.15"/>
    <row r="876" ht="12.75" customHeight="1" x14ac:dyDescent="0.15"/>
    <row r="877" ht="12.75" customHeight="1" x14ac:dyDescent="0.15"/>
    <row r="878" ht="12.75" customHeight="1" x14ac:dyDescent="0.15"/>
    <row r="879" ht="12.75" customHeight="1" x14ac:dyDescent="0.15"/>
    <row r="880" ht="12.75" customHeight="1" x14ac:dyDescent="0.15"/>
    <row r="881" ht="12.75" customHeight="1" x14ac:dyDescent="0.15"/>
    <row r="882" ht="12.75" customHeight="1" x14ac:dyDescent="0.15"/>
    <row r="883" ht="12.75" customHeight="1" x14ac:dyDescent="0.15"/>
    <row r="884" ht="12.75" customHeight="1" x14ac:dyDescent="0.15"/>
    <row r="885" ht="12.75" customHeight="1" x14ac:dyDescent="0.15"/>
    <row r="886" ht="12.75" customHeight="1" x14ac:dyDescent="0.15"/>
    <row r="887" ht="12.75" customHeight="1" x14ac:dyDescent="0.15"/>
    <row r="888" ht="12.75" customHeight="1" x14ac:dyDescent="0.15"/>
    <row r="889" ht="12.75" customHeight="1" x14ac:dyDescent="0.15"/>
    <row r="890" ht="12.75" customHeight="1" x14ac:dyDescent="0.15"/>
    <row r="891" ht="12.75" customHeight="1" x14ac:dyDescent="0.15"/>
    <row r="892" ht="12.75" customHeight="1" x14ac:dyDescent="0.15"/>
    <row r="893" ht="12.75" customHeight="1" x14ac:dyDescent="0.15"/>
    <row r="894" ht="12.75" customHeight="1" x14ac:dyDescent="0.15"/>
    <row r="895" ht="12.75" customHeight="1" x14ac:dyDescent="0.15"/>
    <row r="896" ht="12.75" customHeight="1" x14ac:dyDescent="0.15"/>
    <row r="897" ht="12.75" customHeight="1" x14ac:dyDescent="0.15"/>
    <row r="898" ht="12.75" customHeight="1" x14ac:dyDescent="0.15"/>
    <row r="899" ht="12.75" customHeight="1" x14ac:dyDescent="0.15"/>
    <row r="900" ht="12.75" customHeight="1" x14ac:dyDescent="0.15"/>
    <row r="901" ht="12.75" customHeight="1" x14ac:dyDescent="0.15"/>
    <row r="902" ht="12.75" customHeight="1" x14ac:dyDescent="0.15"/>
    <row r="903" ht="12.75" customHeight="1" x14ac:dyDescent="0.15"/>
    <row r="904" ht="12.75" customHeight="1" x14ac:dyDescent="0.15"/>
    <row r="905" ht="12.75" customHeight="1" x14ac:dyDescent="0.15"/>
    <row r="906" ht="12.75" customHeight="1" x14ac:dyDescent="0.15"/>
    <row r="907" ht="12.75" customHeight="1" x14ac:dyDescent="0.15"/>
    <row r="908" ht="12.75" customHeight="1" x14ac:dyDescent="0.15"/>
    <row r="909" ht="12.75" customHeight="1" x14ac:dyDescent="0.15"/>
    <row r="910" ht="12.75" customHeight="1" x14ac:dyDescent="0.15"/>
    <row r="911" ht="12.75" customHeight="1" x14ac:dyDescent="0.15"/>
    <row r="912" ht="12.75" customHeight="1" x14ac:dyDescent="0.15"/>
    <row r="913" ht="12.75" customHeight="1" x14ac:dyDescent="0.15"/>
    <row r="914" ht="12.75" customHeight="1" x14ac:dyDescent="0.15"/>
    <row r="915" ht="12.75" customHeight="1" x14ac:dyDescent="0.15"/>
    <row r="916" ht="12.75" customHeight="1" x14ac:dyDescent="0.15"/>
    <row r="917" ht="12.75" customHeight="1" x14ac:dyDescent="0.15"/>
    <row r="918" ht="12.75" customHeight="1" x14ac:dyDescent="0.15"/>
    <row r="919" ht="12.75" customHeight="1" x14ac:dyDescent="0.15"/>
    <row r="920" ht="12.75" customHeight="1" x14ac:dyDescent="0.15"/>
    <row r="921" ht="12.75" customHeight="1" x14ac:dyDescent="0.15"/>
    <row r="922" ht="12.75" customHeight="1" x14ac:dyDescent="0.15"/>
    <row r="923" ht="12.75" customHeight="1" x14ac:dyDescent="0.15"/>
    <row r="924" ht="12.75" customHeight="1" x14ac:dyDescent="0.15"/>
    <row r="925" ht="12.75" customHeight="1" x14ac:dyDescent="0.15"/>
    <row r="926" ht="12.75" customHeight="1" x14ac:dyDescent="0.15"/>
    <row r="927" ht="12.75" customHeight="1" x14ac:dyDescent="0.15"/>
    <row r="928" ht="12.75" customHeight="1" x14ac:dyDescent="0.15"/>
    <row r="929" ht="12.75" customHeight="1" x14ac:dyDescent="0.15"/>
    <row r="930" ht="12.75" customHeight="1" x14ac:dyDescent="0.15"/>
    <row r="931" ht="12.75" customHeight="1" x14ac:dyDescent="0.15"/>
    <row r="932" ht="12.75" customHeight="1" x14ac:dyDescent="0.15"/>
    <row r="933" ht="12.75" customHeight="1" x14ac:dyDescent="0.15"/>
    <row r="934" ht="12.75" customHeight="1" x14ac:dyDescent="0.15"/>
    <row r="935" ht="12.75" customHeight="1" x14ac:dyDescent="0.15"/>
    <row r="936" ht="12.75" customHeight="1" x14ac:dyDescent="0.15"/>
    <row r="937" ht="12.75" customHeight="1" x14ac:dyDescent="0.15"/>
    <row r="938" ht="12.75" customHeight="1" x14ac:dyDescent="0.15"/>
    <row r="939" ht="12.75" customHeight="1" x14ac:dyDescent="0.15"/>
    <row r="940" ht="12.75" customHeight="1" x14ac:dyDescent="0.15"/>
    <row r="941" ht="12.75" customHeight="1" x14ac:dyDescent="0.15"/>
    <row r="942" ht="12.75" customHeight="1" x14ac:dyDescent="0.15"/>
    <row r="943" ht="12.75" customHeight="1" x14ac:dyDescent="0.15"/>
    <row r="944" ht="12.75" customHeight="1" x14ac:dyDescent="0.15"/>
    <row r="945" ht="12.75" customHeight="1" x14ac:dyDescent="0.15"/>
    <row r="946" ht="12.75" customHeight="1" x14ac:dyDescent="0.15"/>
    <row r="947" ht="12.75" customHeight="1" x14ac:dyDescent="0.15"/>
    <row r="948" ht="12.75" customHeight="1" x14ac:dyDescent="0.15"/>
    <row r="949" ht="12.75" customHeight="1" x14ac:dyDescent="0.15"/>
    <row r="950" ht="12.75" customHeight="1" x14ac:dyDescent="0.15"/>
    <row r="951" ht="12.75" customHeight="1" x14ac:dyDescent="0.15"/>
    <row r="952" ht="12.75" customHeight="1" x14ac:dyDescent="0.15"/>
    <row r="953" ht="12.75" customHeight="1" x14ac:dyDescent="0.15"/>
    <row r="954" ht="12.75" customHeight="1" x14ac:dyDescent="0.15"/>
    <row r="955" ht="12.75" customHeight="1" x14ac:dyDescent="0.15"/>
    <row r="956" ht="12.75" customHeight="1" x14ac:dyDescent="0.15"/>
    <row r="957" ht="12.75" customHeight="1" x14ac:dyDescent="0.15"/>
    <row r="958" ht="12.75" customHeight="1" x14ac:dyDescent="0.15"/>
    <row r="959" ht="12.75" customHeight="1" x14ac:dyDescent="0.15"/>
    <row r="960" ht="12.75" customHeight="1" x14ac:dyDescent="0.15"/>
    <row r="961" ht="12.75" customHeight="1" x14ac:dyDescent="0.15"/>
    <row r="962" ht="12.75" customHeight="1" x14ac:dyDescent="0.15"/>
    <row r="963" ht="12.75" customHeight="1" x14ac:dyDescent="0.15"/>
    <row r="964" ht="12.75" customHeight="1" x14ac:dyDescent="0.15"/>
    <row r="965" ht="12.75" customHeight="1" x14ac:dyDescent="0.15"/>
    <row r="966" ht="12.75" customHeight="1" x14ac:dyDescent="0.15"/>
    <row r="967" ht="12.75" customHeight="1" x14ac:dyDescent="0.15"/>
    <row r="968" ht="12.75" customHeight="1" x14ac:dyDescent="0.15"/>
    <row r="969" ht="12.75" customHeight="1" x14ac:dyDescent="0.15"/>
    <row r="970" ht="12.75" customHeight="1" x14ac:dyDescent="0.15"/>
    <row r="971" ht="12.75" customHeight="1" x14ac:dyDescent="0.15"/>
    <row r="972" ht="12.75" customHeight="1" x14ac:dyDescent="0.15"/>
    <row r="973" ht="12.75" customHeight="1" x14ac:dyDescent="0.15"/>
    <row r="974" ht="12.75" customHeight="1" x14ac:dyDescent="0.15"/>
    <row r="975" ht="12.75" customHeight="1" x14ac:dyDescent="0.15"/>
    <row r="976" ht="12.75" customHeight="1" x14ac:dyDescent="0.15"/>
    <row r="977" ht="12.75" customHeight="1" x14ac:dyDescent="0.15"/>
    <row r="978" ht="12.75" customHeight="1" x14ac:dyDescent="0.15"/>
    <row r="979" ht="12.75" customHeight="1" x14ac:dyDescent="0.15"/>
    <row r="980" ht="12.75" customHeight="1" x14ac:dyDescent="0.15"/>
    <row r="981" ht="12.75" customHeight="1" x14ac:dyDescent="0.15"/>
    <row r="982" ht="12.75" customHeight="1" x14ac:dyDescent="0.15"/>
    <row r="983" ht="12.75" customHeight="1" x14ac:dyDescent="0.15"/>
    <row r="984" ht="12.75" customHeight="1" x14ac:dyDescent="0.15"/>
    <row r="985" ht="12.75" customHeight="1" x14ac:dyDescent="0.15"/>
    <row r="986" ht="12.75" customHeight="1" x14ac:dyDescent="0.15"/>
    <row r="987" ht="12.75" customHeight="1" x14ac:dyDescent="0.15"/>
    <row r="988" ht="12.75" customHeight="1" x14ac:dyDescent="0.15"/>
    <row r="989" ht="12.75" customHeight="1" x14ac:dyDescent="0.15"/>
    <row r="990" ht="12.75" customHeight="1" x14ac:dyDescent="0.15"/>
    <row r="991" ht="12.75" customHeight="1" x14ac:dyDescent="0.15"/>
    <row r="992" ht="12.75" customHeight="1" x14ac:dyDescent="0.15"/>
    <row r="993" ht="12.75" customHeight="1" x14ac:dyDescent="0.15"/>
    <row r="994" ht="12.75" customHeight="1" x14ac:dyDescent="0.15"/>
    <row r="995" ht="12.75" customHeight="1" x14ac:dyDescent="0.15"/>
    <row r="996" ht="12.75" customHeight="1" x14ac:dyDescent="0.15"/>
    <row r="997" ht="12.75" customHeight="1" x14ac:dyDescent="0.15"/>
    <row r="998" ht="12.75" customHeight="1" x14ac:dyDescent="0.15"/>
    <row r="999" ht="12.75" customHeight="1" x14ac:dyDescent="0.15"/>
    <row r="1000" ht="12.75" customHeight="1" x14ac:dyDescent="0.15"/>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O1000"/>
  <sheetViews>
    <sheetView topLeftCell="F1" zoomScale="126" workbookViewId="0">
      <selection activeCell="O1" sqref="O1"/>
    </sheetView>
  </sheetViews>
  <sheetFormatPr baseColWidth="10" defaultColWidth="12.6640625" defaultRowHeight="15" customHeight="1" x14ac:dyDescent="0.15"/>
  <cols>
    <col min="1" max="1" width="9.6640625" bestFit="1" customWidth="1"/>
    <col min="2" max="2" width="15.1640625" bestFit="1" customWidth="1"/>
    <col min="3" max="3" width="13.33203125" bestFit="1" customWidth="1"/>
    <col min="4" max="4" width="18.6640625" bestFit="1" customWidth="1"/>
    <col min="5" max="5" width="18.1640625" bestFit="1" customWidth="1"/>
    <col min="6" max="6" width="17.1640625" bestFit="1" customWidth="1"/>
    <col min="7" max="7" width="11.6640625" bestFit="1" customWidth="1"/>
    <col min="8" max="8" width="9.6640625" bestFit="1" customWidth="1"/>
    <col min="9" max="9" width="10.33203125" bestFit="1" customWidth="1"/>
    <col min="13" max="14" width="23" bestFit="1" customWidth="1"/>
    <col min="15" max="15" width="13.6640625" bestFit="1" customWidth="1"/>
  </cols>
  <sheetData>
    <row r="1" spans="1:15" s="140" customFormat="1" ht="16" x14ac:dyDescent="0.2">
      <c r="A1" s="139" t="s">
        <v>29</v>
      </c>
      <c r="B1" s="139" t="s">
        <v>30</v>
      </c>
      <c r="C1" s="139" t="s">
        <v>31</v>
      </c>
      <c r="D1" s="139" t="s">
        <v>130</v>
      </c>
      <c r="E1" s="139" t="s">
        <v>134</v>
      </c>
      <c r="F1" s="139" t="s">
        <v>135</v>
      </c>
      <c r="G1" s="139" t="s">
        <v>33</v>
      </c>
      <c r="H1" s="139" t="s">
        <v>34</v>
      </c>
      <c r="I1" s="139" t="s">
        <v>35</v>
      </c>
      <c r="J1" s="139" t="s">
        <v>36</v>
      </c>
      <c r="K1" s="139" t="s">
        <v>37</v>
      </c>
      <c r="L1" s="139" t="s">
        <v>38</v>
      </c>
      <c r="M1" s="139" t="s">
        <v>136</v>
      </c>
      <c r="N1" s="139" t="s">
        <v>137</v>
      </c>
      <c r="O1" s="139" t="s">
        <v>138</v>
      </c>
    </row>
    <row r="2" spans="1:15" ht="15.75" customHeight="1" x14ac:dyDescent="0.15">
      <c r="A2" s="3">
        <v>1</v>
      </c>
      <c r="B2" s="3" t="str">
        <f t="shared" ref="B2:B13" si="0">C2&amp;"_"&amp;E2&amp;"_"&amp;F2</f>
        <v>T1_EV_Crop</v>
      </c>
      <c r="C2" s="3" t="s">
        <v>25</v>
      </c>
      <c r="D2" s="3"/>
      <c r="E2" s="3" t="s">
        <v>39</v>
      </c>
      <c r="F2" s="3" t="s">
        <v>40</v>
      </c>
      <c r="G2" s="3">
        <v>22455</v>
      </c>
      <c r="H2" s="3">
        <v>7513</v>
      </c>
      <c r="I2" s="3" t="s">
        <v>18</v>
      </c>
      <c r="J2" s="3"/>
      <c r="K2" s="3"/>
      <c r="L2" s="3"/>
      <c r="M2" s="3" t="s">
        <v>41</v>
      </c>
      <c r="N2" s="3" t="s">
        <v>42</v>
      </c>
      <c r="O2" s="3" t="s">
        <v>43</v>
      </c>
    </row>
    <row r="3" spans="1:15" ht="15.75" customHeight="1" x14ac:dyDescent="0.15">
      <c r="A3" s="3">
        <v>3</v>
      </c>
      <c r="B3" s="3" t="str">
        <f t="shared" si="0"/>
        <v>T1_M_Crop</v>
      </c>
      <c r="C3" s="3" t="s">
        <v>25</v>
      </c>
      <c r="D3" s="3"/>
      <c r="E3" s="3" t="s">
        <v>44</v>
      </c>
      <c r="F3" s="3" t="s">
        <v>40</v>
      </c>
      <c r="G3" s="3">
        <v>11327</v>
      </c>
      <c r="H3" s="3">
        <v>3429</v>
      </c>
      <c r="I3" s="3" t="s">
        <v>18</v>
      </c>
      <c r="J3" s="3"/>
      <c r="K3" s="3"/>
      <c r="L3" s="3"/>
      <c r="M3" s="3" t="s">
        <v>45</v>
      </c>
      <c r="N3" s="3" t="s">
        <v>42</v>
      </c>
      <c r="O3" s="3" t="s">
        <v>43</v>
      </c>
    </row>
    <row r="4" spans="1:15" ht="15.75" customHeight="1" x14ac:dyDescent="0.15">
      <c r="A4" s="4">
        <v>16</v>
      </c>
      <c r="B4" s="4" t="str">
        <f t="shared" si="0"/>
        <v>T1_EV_deg_Crop</v>
      </c>
      <c r="C4" s="4" t="s">
        <v>25</v>
      </c>
      <c r="D4" s="4"/>
      <c r="E4" s="4" t="s">
        <v>46</v>
      </c>
      <c r="F4" s="4" t="s">
        <v>40</v>
      </c>
      <c r="G4" s="4">
        <v>55074</v>
      </c>
      <c r="H4" s="4">
        <v>16234</v>
      </c>
      <c r="I4" s="4" t="s">
        <v>18</v>
      </c>
      <c r="J4" s="4"/>
      <c r="K4" s="4"/>
      <c r="L4" s="4"/>
      <c r="M4" s="4" t="s">
        <v>47</v>
      </c>
      <c r="N4" s="4" t="s">
        <v>42</v>
      </c>
      <c r="O4" s="4" t="s">
        <v>43</v>
      </c>
    </row>
    <row r="5" spans="1:15" ht="15.75" customHeight="1" x14ac:dyDescent="0.15">
      <c r="A5" s="4">
        <v>18</v>
      </c>
      <c r="B5" s="4" t="str">
        <f t="shared" si="0"/>
        <v>T1_M_deg_Crop</v>
      </c>
      <c r="C5" s="4" t="s">
        <v>25</v>
      </c>
      <c r="D5" s="4"/>
      <c r="E5" s="4" t="s">
        <v>48</v>
      </c>
      <c r="F5" s="4" t="s">
        <v>40</v>
      </c>
      <c r="G5" s="4">
        <v>16734</v>
      </c>
      <c r="H5" s="4">
        <v>4038</v>
      </c>
      <c r="I5" s="4" t="s">
        <v>18</v>
      </c>
      <c r="J5" s="4"/>
      <c r="K5" s="4"/>
      <c r="L5" s="4"/>
      <c r="M5" s="4" t="s">
        <v>49</v>
      </c>
      <c r="N5" s="4" t="s">
        <v>42</v>
      </c>
      <c r="O5" s="4" t="s">
        <v>43</v>
      </c>
    </row>
    <row r="6" spans="1:15" ht="15.75" customHeight="1" x14ac:dyDescent="0.15">
      <c r="A6" s="5">
        <v>25</v>
      </c>
      <c r="B6" s="5" t="str">
        <f t="shared" si="0"/>
        <v>T1_EV_EV_deg</v>
      </c>
      <c r="C6" s="5" t="s">
        <v>25</v>
      </c>
      <c r="D6" s="5"/>
      <c r="E6" s="5" t="s">
        <v>39</v>
      </c>
      <c r="F6" s="5" t="s">
        <v>46</v>
      </c>
      <c r="G6" s="5">
        <v>316681</v>
      </c>
      <c r="H6" s="5">
        <v>27632</v>
      </c>
      <c r="I6" s="5" t="s">
        <v>18</v>
      </c>
      <c r="J6" s="5"/>
      <c r="K6" s="5"/>
      <c r="L6" s="5"/>
      <c r="M6" s="5" t="s">
        <v>41</v>
      </c>
      <c r="N6" s="5" t="s">
        <v>47</v>
      </c>
      <c r="O6" s="5" t="s">
        <v>50</v>
      </c>
    </row>
    <row r="7" spans="1:15" ht="15.75" customHeight="1" x14ac:dyDescent="0.15">
      <c r="A7" s="5">
        <v>27</v>
      </c>
      <c r="B7" s="5" t="str">
        <f t="shared" si="0"/>
        <v>T1_M_M_deg</v>
      </c>
      <c r="C7" s="5" t="s">
        <v>25</v>
      </c>
      <c r="D7" s="5"/>
      <c r="E7" s="5" t="s">
        <v>44</v>
      </c>
      <c r="F7" s="5" t="s">
        <v>48</v>
      </c>
      <c r="G7" s="5">
        <v>22954</v>
      </c>
      <c r="H7" s="5">
        <v>2213</v>
      </c>
      <c r="I7" s="5" t="s">
        <v>18</v>
      </c>
      <c r="J7" s="5"/>
      <c r="K7" s="5"/>
      <c r="L7" s="5"/>
      <c r="M7" s="5" t="s">
        <v>45</v>
      </c>
      <c r="N7" s="5" t="s">
        <v>49</v>
      </c>
      <c r="O7" s="5" t="s">
        <v>50</v>
      </c>
    </row>
    <row r="8" spans="1:15" ht="15.75" customHeight="1" x14ac:dyDescent="0.15">
      <c r="A8" s="3">
        <v>35</v>
      </c>
      <c r="B8" s="3" t="str">
        <f t="shared" si="0"/>
        <v>T2_EV_Crop</v>
      </c>
      <c r="C8" s="3" t="s">
        <v>27</v>
      </c>
      <c r="D8" s="3"/>
      <c r="E8" s="3" t="s">
        <v>39</v>
      </c>
      <c r="F8" s="3" t="s">
        <v>40</v>
      </c>
      <c r="G8" s="3">
        <v>2055</v>
      </c>
      <c r="H8" s="3">
        <v>512</v>
      </c>
      <c r="I8" s="3" t="s">
        <v>18</v>
      </c>
      <c r="J8" s="3"/>
      <c r="K8" s="3"/>
      <c r="L8" s="3"/>
      <c r="M8" s="3" t="s">
        <v>41</v>
      </c>
      <c r="N8" s="3" t="s">
        <v>42</v>
      </c>
      <c r="O8" s="3" t="s">
        <v>43</v>
      </c>
    </row>
    <row r="9" spans="1:15" ht="15.75" customHeight="1" x14ac:dyDescent="0.15">
      <c r="A9" s="3">
        <v>37</v>
      </c>
      <c r="B9" s="3" t="str">
        <f t="shared" si="0"/>
        <v>T2_M_Crop</v>
      </c>
      <c r="C9" s="3" t="s">
        <v>27</v>
      </c>
      <c r="D9" s="3"/>
      <c r="E9" s="3" t="s">
        <v>44</v>
      </c>
      <c r="F9" s="3" t="s">
        <v>40</v>
      </c>
      <c r="G9" s="3">
        <v>2107</v>
      </c>
      <c r="H9" s="3">
        <v>525</v>
      </c>
      <c r="I9" s="3" t="s">
        <v>18</v>
      </c>
      <c r="J9" s="3"/>
      <c r="K9" s="3"/>
      <c r="L9" s="3"/>
      <c r="M9" s="3" t="s">
        <v>45</v>
      </c>
      <c r="N9" s="3" t="s">
        <v>42</v>
      </c>
      <c r="O9" s="3" t="s">
        <v>43</v>
      </c>
    </row>
    <row r="10" spans="1:15" ht="15.75" customHeight="1" x14ac:dyDescent="0.15">
      <c r="A10" s="4">
        <v>39</v>
      </c>
      <c r="B10" s="4" t="str">
        <f t="shared" si="0"/>
        <v>T2_EV_deg_Crop</v>
      </c>
      <c r="C10" s="4" t="s">
        <v>27</v>
      </c>
      <c r="D10" s="4"/>
      <c r="E10" s="4" t="s">
        <v>46</v>
      </c>
      <c r="F10" s="4" t="s">
        <v>40</v>
      </c>
      <c r="G10" s="4">
        <v>6029</v>
      </c>
      <c r="H10" s="4">
        <v>1578</v>
      </c>
      <c r="I10" s="4" t="s">
        <v>18</v>
      </c>
      <c r="J10" s="4"/>
      <c r="K10" s="4"/>
      <c r="L10" s="4"/>
      <c r="M10" s="4" t="s">
        <v>47</v>
      </c>
      <c r="N10" s="4" t="s">
        <v>42</v>
      </c>
      <c r="O10" s="4" t="s">
        <v>43</v>
      </c>
    </row>
    <row r="11" spans="1:15" ht="15.75" customHeight="1" x14ac:dyDescent="0.15">
      <c r="A11" s="4">
        <v>40</v>
      </c>
      <c r="B11" s="4" t="str">
        <f t="shared" si="0"/>
        <v>T2_M_deg_Crop</v>
      </c>
      <c r="C11" s="4" t="s">
        <v>27</v>
      </c>
      <c r="D11" s="4"/>
      <c r="E11" s="4" t="s">
        <v>48</v>
      </c>
      <c r="F11" s="4" t="s">
        <v>40</v>
      </c>
      <c r="G11" s="4">
        <v>6195</v>
      </c>
      <c r="H11" s="4">
        <v>1467</v>
      </c>
      <c r="I11" s="4" t="s">
        <v>18</v>
      </c>
      <c r="J11" s="4"/>
      <c r="K11" s="4"/>
      <c r="L11" s="4"/>
      <c r="M11" s="4" t="s">
        <v>49</v>
      </c>
      <c r="N11" s="4" t="s">
        <v>42</v>
      </c>
      <c r="O11" s="4" t="s">
        <v>43</v>
      </c>
    </row>
    <row r="12" spans="1:15" ht="15.75" customHeight="1" x14ac:dyDescent="0.15">
      <c r="A12" s="5">
        <v>43</v>
      </c>
      <c r="B12" s="5" t="str">
        <f t="shared" si="0"/>
        <v>T2_EV_EV_deg</v>
      </c>
      <c r="C12" s="5" t="s">
        <v>27</v>
      </c>
      <c r="D12" s="5"/>
      <c r="E12" s="5" t="s">
        <v>39</v>
      </c>
      <c r="F12" s="5" t="s">
        <v>46</v>
      </c>
      <c r="G12" s="5">
        <v>44939</v>
      </c>
      <c r="H12" s="5">
        <v>3690</v>
      </c>
      <c r="I12" s="5" t="s">
        <v>18</v>
      </c>
      <c r="J12" s="5"/>
      <c r="K12" s="5"/>
      <c r="L12" s="5"/>
      <c r="M12" s="5" t="s">
        <v>41</v>
      </c>
      <c r="N12" s="5" t="s">
        <v>47</v>
      </c>
      <c r="O12" s="5" t="s">
        <v>50</v>
      </c>
    </row>
    <row r="13" spans="1:15" ht="15.75" customHeight="1" x14ac:dyDescent="0.15">
      <c r="A13" s="5">
        <v>45</v>
      </c>
      <c r="B13" s="5" t="str">
        <f t="shared" si="0"/>
        <v>T2_M_M_deg</v>
      </c>
      <c r="C13" s="5" t="s">
        <v>27</v>
      </c>
      <c r="D13" s="5"/>
      <c r="E13" s="5" t="s">
        <v>44</v>
      </c>
      <c r="F13" s="5" t="s">
        <v>48</v>
      </c>
      <c r="G13" s="5">
        <v>5633</v>
      </c>
      <c r="H13" s="5">
        <v>511</v>
      </c>
      <c r="I13" s="5" t="s">
        <v>18</v>
      </c>
      <c r="J13" s="5"/>
      <c r="K13" s="5"/>
      <c r="L13" s="5"/>
      <c r="M13" s="5" t="s">
        <v>45</v>
      </c>
      <c r="N13" s="5" t="s">
        <v>49</v>
      </c>
      <c r="O13" s="5" t="s">
        <v>50</v>
      </c>
    </row>
    <row r="14" spans="1:15" ht="15.75" customHeight="1" x14ac:dyDescent="0.15"/>
    <row r="15" spans="1:15" ht="15.75" customHeight="1" x14ac:dyDescent="0.15"/>
    <row r="16" spans="1:15" ht="15.75" customHeight="1" x14ac:dyDescent="0.15"/>
    <row r="17" ht="15.75" customHeight="1" x14ac:dyDescent="0.15"/>
    <row r="18" ht="15.75" customHeight="1" x14ac:dyDescent="0.15"/>
    <row r="19" ht="15.75" customHeight="1" x14ac:dyDescent="0.15"/>
    <row r="20" ht="15.75" customHeight="1" x14ac:dyDescent="0.15"/>
    <row r="21" ht="15.75" customHeight="1" x14ac:dyDescent="0.15"/>
    <row r="22" ht="15.75" customHeight="1" x14ac:dyDescent="0.15"/>
    <row r="23" ht="15.75" customHeight="1" x14ac:dyDescent="0.15"/>
    <row r="24" ht="15.75" customHeight="1" x14ac:dyDescent="0.15"/>
    <row r="25" ht="15.75" customHeight="1" x14ac:dyDescent="0.15"/>
    <row r="26" ht="15.75" customHeight="1" x14ac:dyDescent="0.15"/>
    <row r="27" ht="15.75" customHeight="1" x14ac:dyDescent="0.15"/>
    <row r="28" ht="15.75" customHeight="1" x14ac:dyDescent="0.15"/>
    <row r="29" ht="15.75" customHeight="1" x14ac:dyDescent="0.15"/>
    <row r="30" ht="15.75" customHeight="1" x14ac:dyDescent="0.15"/>
    <row r="31" ht="15.75" customHeight="1" x14ac:dyDescent="0.15"/>
    <row r="32"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row r="977" ht="15.75" customHeight="1" x14ac:dyDescent="0.15"/>
    <row r="978" ht="15.75" customHeight="1" x14ac:dyDescent="0.15"/>
    <row r="979" ht="15.75" customHeight="1" x14ac:dyDescent="0.15"/>
    <row r="980" ht="15.75" customHeight="1" x14ac:dyDescent="0.15"/>
    <row r="981" ht="15.75" customHeight="1" x14ac:dyDescent="0.15"/>
    <row r="982" ht="15.75" customHeight="1" x14ac:dyDescent="0.15"/>
    <row r="983" ht="15.75" customHeight="1" x14ac:dyDescent="0.15"/>
    <row r="984" ht="15.75" customHeight="1" x14ac:dyDescent="0.15"/>
    <row r="985" ht="15.75" customHeight="1" x14ac:dyDescent="0.15"/>
    <row r="986" ht="15.75" customHeight="1" x14ac:dyDescent="0.15"/>
    <row r="987" ht="15.75" customHeight="1" x14ac:dyDescent="0.15"/>
    <row r="988" ht="15.75" customHeight="1" x14ac:dyDescent="0.15"/>
    <row r="989" ht="15.75" customHeight="1" x14ac:dyDescent="0.15"/>
    <row r="990" ht="15.75" customHeight="1" x14ac:dyDescent="0.15"/>
    <row r="991" ht="15.75" customHeight="1" x14ac:dyDescent="0.15"/>
    <row r="992" ht="15.75" customHeight="1" x14ac:dyDescent="0.15"/>
    <row r="993" ht="15.75" customHeight="1" x14ac:dyDescent="0.15"/>
    <row r="994" ht="15.75" customHeight="1" x14ac:dyDescent="0.15"/>
    <row r="995" ht="15.75" customHeight="1" x14ac:dyDescent="0.15"/>
    <row r="996" ht="15.75" customHeight="1" x14ac:dyDescent="0.15"/>
    <row r="997" ht="15.75" customHeight="1" x14ac:dyDescent="0.15"/>
    <row r="998" ht="15.75" customHeight="1" x14ac:dyDescent="0.15"/>
    <row r="999" ht="15.75" customHeight="1" x14ac:dyDescent="0.15"/>
    <row r="1000" ht="15.75" customHeight="1" x14ac:dyDescent="0.15"/>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M8"/>
  <sheetViews>
    <sheetView tabSelected="1" zoomScale="140" workbookViewId="0">
      <selection activeCell="G18" sqref="G18"/>
    </sheetView>
  </sheetViews>
  <sheetFormatPr baseColWidth="10" defaultColWidth="12.6640625" defaultRowHeight="13" x14ac:dyDescent="0.15"/>
  <cols>
    <col min="1" max="1" width="5.83203125" customWidth="1"/>
    <col min="2" max="2" width="19.6640625" bestFit="1" customWidth="1"/>
    <col min="3" max="3" width="9.5" bestFit="1" customWidth="1"/>
    <col min="4" max="4" width="11.1640625" bestFit="1" customWidth="1"/>
    <col min="5" max="5" width="9.33203125" bestFit="1" customWidth="1"/>
    <col min="6" max="6" width="12.33203125" bestFit="1" customWidth="1"/>
    <col min="7" max="7" width="8.6640625" customWidth="1"/>
    <col min="8" max="8" width="7.1640625" bestFit="1" customWidth="1"/>
    <col min="9" max="9" width="6.5" customWidth="1"/>
    <col min="10" max="12" width="8.83203125" customWidth="1"/>
    <col min="13" max="13" width="23" bestFit="1" customWidth="1"/>
  </cols>
  <sheetData>
    <row r="1" spans="1:13" ht="16" x14ac:dyDescent="0.2">
      <c r="A1" s="6" t="s">
        <v>51</v>
      </c>
      <c r="B1" s="6" t="s">
        <v>52</v>
      </c>
      <c r="C1" s="6" t="s">
        <v>53</v>
      </c>
      <c r="D1" s="6" t="s">
        <v>32</v>
      </c>
      <c r="E1" s="6" t="s">
        <v>131</v>
      </c>
      <c r="F1" s="6" t="s">
        <v>132</v>
      </c>
      <c r="G1" s="6" t="s">
        <v>54</v>
      </c>
      <c r="H1" s="6" t="s">
        <v>55</v>
      </c>
      <c r="I1" s="6" t="s">
        <v>56</v>
      </c>
      <c r="J1" s="6" t="s">
        <v>57</v>
      </c>
      <c r="K1" s="6" t="s">
        <v>58</v>
      </c>
      <c r="L1" s="6" t="s">
        <v>59</v>
      </c>
      <c r="M1" s="6" t="s">
        <v>133</v>
      </c>
    </row>
    <row r="2" spans="1:13" x14ac:dyDescent="0.15">
      <c r="A2" s="7">
        <v>1</v>
      </c>
      <c r="B2" s="7" t="str">
        <f t="shared" ref="B2:B8" si="0">C2&amp;"_"&amp;D2&amp;"_"&amp;E2</f>
        <v>ALL_AGB_EV</v>
      </c>
      <c r="C2" s="7" t="s">
        <v>20</v>
      </c>
      <c r="D2" s="7" t="s">
        <v>60</v>
      </c>
      <c r="E2" s="7" t="s">
        <v>39</v>
      </c>
      <c r="F2" s="7"/>
      <c r="G2" s="7">
        <v>274.959</v>
      </c>
      <c r="H2" s="7">
        <v>71.765000000000001</v>
      </c>
      <c r="I2" s="7" t="s">
        <v>18</v>
      </c>
      <c r="J2" s="7"/>
      <c r="K2" s="7"/>
      <c r="L2" s="7"/>
      <c r="M2" s="7" t="s">
        <v>41</v>
      </c>
    </row>
    <row r="3" spans="1:13" x14ac:dyDescent="0.15">
      <c r="A3" s="7">
        <v>2</v>
      </c>
      <c r="B3" s="7" t="str">
        <f t="shared" si="0"/>
        <v>ALL_AGB_M</v>
      </c>
      <c r="C3" s="7" t="s">
        <v>20</v>
      </c>
      <c r="D3" s="7" t="s">
        <v>60</v>
      </c>
      <c r="E3" s="7" t="s">
        <v>44</v>
      </c>
      <c r="F3" s="7"/>
      <c r="G3" s="7">
        <v>195.58000000000004</v>
      </c>
      <c r="H3" s="7">
        <v>48.006000000000007</v>
      </c>
      <c r="I3" s="7" t="s">
        <v>18</v>
      </c>
      <c r="J3" s="7"/>
      <c r="K3" s="7"/>
      <c r="L3" s="7"/>
      <c r="M3" s="7" t="s">
        <v>45</v>
      </c>
    </row>
    <row r="4" spans="1:13" x14ac:dyDescent="0.15">
      <c r="A4" s="8">
        <v>3</v>
      </c>
      <c r="B4" s="8" t="str">
        <f t="shared" si="0"/>
        <v>ALL_RS_EV</v>
      </c>
      <c r="C4" s="8" t="s">
        <v>20</v>
      </c>
      <c r="D4" s="8" t="s">
        <v>61</v>
      </c>
      <c r="E4" s="8" t="s">
        <v>39</v>
      </c>
      <c r="F4" s="8"/>
      <c r="G4" s="8">
        <v>0.33300000000000002</v>
      </c>
      <c r="H4" s="8">
        <v>3.0800000000000004E-2</v>
      </c>
      <c r="I4" s="8" t="s">
        <v>18</v>
      </c>
      <c r="J4" s="8"/>
      <c r="K4" s="8"/>
      <c r="L4" s="8"/>
      <c r="M4" s="8" t="s">
        <v>41</v>
      </c>
    </row>
    <row r="5" spans="1:13" x14ac:dyDescent="0.15">
      <c r="A5" s="8">
        <v>4</v>
      </c>
      <c r="B5" s="8" t="str">
        <f t="shared" si="0"/>
        <v>ALL_RS_M</v>
      </c>
      <c r="C5" s="8" t="s">
        <v>20</v>
      </c>
      <c r="D5" s="8" t="s">
        <v>61</v>
      </c>
      <c r="E5" s="8" t="s">
        <v>44</v>
      </c>
      <c r="F5" s="8"/>
      <c r="G5" s="8">
        <v>0.40700000000000003</v>
      </c>
      <c r="H5" s="8">
        <v>3.0800000000000004E-2</v>
      </c>
      <c r="I5" s="8" t="s">
        <v>18</v>
      </c>
      <c r="J5" s="8"/>
      <c r="K5" s="8"/>
      <c r="L5" s="8"/>
      <c r="M5" s="8" t="s">
        <v>45</v>
      </c>
    </row>
    <row r="6" spans="1:13" x14ac:dyDescent="0.15">
      <c r="A6" s="7">
        <v>5</v>
      </c>
      <c r="B6" s="7" t="str">
        <f t="shared" si="0"/>
        <v>ALL_DG_ratio_EV_deg</v>
      </c>
      <c r="C6" s="7" t="s">
        <v>20</v>
      </c>
      <c r="D6" s="7" t="s">
        <v>62</v>
      </c>
      <c r="E6" s="7" t="s">
        <v>46</v>
      </c>
      <c r="F6" s="7"/>
      <c r="G6" s="7">
        <v>0.72</v>
      </c>
      <c r="H6" s="7">
        <v>0.16200000000000001</v>
      </c>
      <c r="I6" s="7" t="s">
        <v>63</v>
      </c>
      <c r="J6" s="7">
        <f t="shared" ref="J6:J7" si="1">ROUND((G6*(1-G6)/(H6*H6)-1)*G6,3)</f>
        <v>4.8109999999999999</v>
      </c>
      <c r="K6" s="7">
        <f t="shared" ref="K6:K7" si="2">ROUND((G6*(1-G6)/(H6*H6)-1)*(1-G6),3)</f>
        <v>1.871</v>
      </c>
      <c r="L6" s="7"/>
      <c r="M6" s="7" t="s">
        <v>47</v>
      </c>
    </row>
    <row r="7" spans="1:13" x14ac:dyDescent="0.15">
      <c r="A7" s="7">
        <v>6</v>
      </c>
      <c r="B7" s="7" t="str">
        <f t="shared" si="0"/>
        <v>ALL_DG_ratio_M_deg</v>
      </c>
      <c r="C7" s="7" t="s">
        <v>20</v>
      </c>
      <c r="D7" s="7" t="s">
        <v>62</v>
      </c>
      <c r="E7" s="7" t="s">
        <v>48</v>
      </c>
      <c r="F7" s="7"/>
      <c r="G7" s="7">
        <v>0.72</v>
      </c>
      <c r="H7" s="7">
        <v>0.20699999999999999</v>
      </c>
      <c r="I7" s="7" t="s">
        <v>63</v>
      </c>
      <c r="J7" s="7">
        <f t="shared" si="1"/>
        <v>2.6680000000000001</v>
      </c>
      <c r="K7" s="7">
        <f t="shared" si="2"/>
        <v>1.0369999999999999</v>
      </c>
      <c r="L7" s="7"/>
      <c r="M7" s="7" t="s">
        <v>49</v>
      </c>
    </row>
    <row r="8" spans="1:13" x14ac:dyDescent="0.15">
      <c r="A8" s="9">
        <v>7</v>
      </c>
      <c r="B8" s="9" t="str">
        <f t="shared" si="0"/>
        <v>ALL_ALL_Crop</v>
      </c>
      <c r="C8" s="9" t="s">
        <v>20</v>
      </c>
      <c r="D8" s="9" t="s">
        <v>20</v>
      </c>
      <c r="E8" s="9" t="s">
        <v>40</v>
      </c>
      <c r="F8" s="9"/>
      <c r="G8" s="9">
        <v>0</v>
      </c>
      <c r="H8" s="9">
        <v>0</v>
      </c>
      <c r="I8" s="9" t="s">
        <v>18</v>
      </c>
      <c r="J8" s="9"/>
      <c r="K8" s="9"/>
      <c r="L8" s="10"/>
      <c r="M8" s="9" t="s">
        <v>42</v>
      </c>
    </row>
  </sheetData>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rgb="FF00FFFF"/>
    <outlinePr summaryBelow="0" summaryRight="0"/>
  </sheetPr>
  <dimension ref="B1:J15"/>
  <sheetViews>
    <sheetView zoomScale="138" workbookViewId="0">
      <selection activeCell="G11" sqref="G11"/>
    </sheetView>
  </sheetViews>
  <sheetFormatPr baseColWidth="10" defaultColWidth="12.6640625" defaultRowHeight="15" customHeight="1" x14ac:dyDescent="0.15"/>
  <cols>
    <col min="1" max="1" width="8.33203125" customWidth="1"/>
    <col min="2" max="2" width="5.5" bestFit="1" customWidth="1"/>
    <col min="3" max="3" width="9.33203125" bestFit="1" customWidth="1"/>
    <col min="4" max="5" width="11.1640625" customWidth="1"/>
    <col min="6" max="6" width="8.83203125" customWidth="1"/>
    <col min="8" max="8" width="13.33203125" customWidth="1"/>
    <col min="9" max="9" width="14.5" customWidth="1"/>
    <col min="10" max="10" width="17.83203125" customWidth="1"/>
  </cols>
  <sheetData>
    <row r="1" spans="2:10" ht="16" x14ac:dyDescent="0.2">
      <c r="B1" s="11"/>
      <c r="C1" s="11"/>
      <c r="D1" s="11"/>
      <c r="E1" s="11"/>
      <c r="F1" s="11"/>
      <c r="H1" s="12"/>
      <c r="I1" s="12"/>
      <c r="J1" s="12"/>
    </row>
    <row r="2" spans="2:10" ht="16" x14ac:dyDescent="0.2">
      <c r="B2" s="11"/>
      <c r="C2" s="11"/>
      <c r="D2" s="11"/>
      <c r="E2" s="11"/>
      <c r="F2" s="11"/>
      <c r="H2" s="144" t="s">
        <v>64</v>
      </c>
      <c r="I2" s="145"/>
      <c r="J2" s="145"/>
    </row>
    <row r="3" spans="2:10" ht="16" x14ac:dyDescent="0.2">
      <c r="B3" s="146" t="s">
        <v>65</v>
      </c>
      <c r="C3" s="145"/>
      <c r="D3" s="145"/>
      <c r="E3" s="145"/>
      <c r="F3" s="145"/>
      <c r="H3" s="147" t="s">
        <v>66</v>
      </c>
      <c r="I3" s="148"/>
      <c r="J3" s="149"/>
    </row>
    <row r="4" spans="2:10" ht="15" customHeight="1" x14ac:dyDescent="0.15">
      <c r="B4" s="13" t="s">
        <v>67</v>
      </c>
      <c r="C4" s="13" t="s">
        <v>68</v>
      </c>
      <c r="D4" s="13" t="s">
        <v>69</v>
      </c>
      <c r="E4" s="13" t="s">
        <v>70</v>
      </c>
      <c r="F4" s="129" t="s">
        <v>71</v>
      </c>
      <c r="H4" s="14" t="s">
        <v>72</v>
      </c>
      <c r="I4" s="14" t="s">
        <v>73</v>
      </c>
      <c r="J4" s="14" t="s">
        <v>74</v>
      </c>
    </row>
    <row r="5" spans="2:10" ht="15" customHeight="1" x14ac:dyDescent="0.15">
      <c r="B5" s="13">
        <v>10</v>
      </c>
      <c r="C5" s="15">
        <v>0.9</v>
      </c>
      <c r="D5" s="13">
        <v>5</v>
      </c>
      <c r="E5" s="13">
        <v>2</v>
      </c>
      <c r="F5" s="128">
        <f>1-C5</f>
        <v>9.9999999999999978E-2</v>
      </c>
      <c r="H5" s="16">
        <f>SIMS_E!W6</f>
        <v>13949096</v>
      </c>
      <c r="I5" s="16">
        <f ca="1">SIMS_E!W14</f>
        <v>12413375.5</v>
      </c>
      <c r="J5" s="17">
        <f ca="1">SIMS_E!W15</f>
        <v>0.43</v>
      </c>
    </row>
    <row r="6" spans="2:10" ht="16" x14ac:dyDescent="0.2">
      <c r="B6" s="11"/>
      <c r="C6" s="11"/>
      <c r="D6" s="11"/>
      <c r="E6" s="11"/>
      <c r="F6" s="11"/>
    </row>
    <row r="7" spans="2:10" ht="16" x14ac:dyDescent="0.2">
      <c r="B7" s="11"/>
      <c r="C7" s="11"/>
      <c r="D7" s="11"/>
      <c r="E7" s="11"/>
      <c r="F7" s="11"/>
      <c r="H7" s="150" t="s">
        <v>75</v>
      </c>
      <c r="I7" s="145"/>
      <c r="J7" s="145"/>
    </row>
    <row r="8" spans="2:10" ht="16" x14ac:dyDescent="0.2">
      <c r="B8" s="11"/>
      <c r="C8" s="11"/>
      <c r="D8" s="11"/>
      <c r="E8" s="11"/>
      <c r="F8" s="11"/>
      <c r="H8" s="1" t="s">
        <v>76</v>
      </c>
      <c r="I8" s="1" t="s">
        <v>77</v>
      </c>
      <c r="J8" s="1" t="s">
        <v>78</v>
      </c>
    </row>
    <row r="9" spans="2:10" ht="16" x14ac:dyDescent="0.2">
      <c r="B9" s="11"/>
      <c r="C9" s="11"/>
      <c r="D9" s="11"/>
      <c r="E9" s="11"/>
      <c r="F9" s="11"/>
      <c r="H9" s="18">
        <f ca="1">I5* (1 - 0.524417 * J5 / 1.645006)</f>
        <v>10711735.743050236</v>
      </c>
      <c r="I9" s="18">
        <f ca="1">I5 * (1-I12)</f>
        <v>11420305.460000001</v>
      </c>
      <c r="J9" s="18">
        <f ca="1">I5* ( 1 - 2/44)</f>
        <v>11849131.15909091</v>
      </c>
    </row>
    <row r="10" spans="2:10" ht="16" x14ac:dyDescent="0.2">
      <c r="B10" s="11"/>
      <c r="C10" s="11"/>
      <c r="D10" s="11"/>
      <c r="E10" s="11"/>
      <c r="F10" s="11"/>
    </row>
    <row r="11" spans="2:10" ht="16" x14ac:dyDescent="0.2">
      <c r="B11" s="11"/>
      <c r="C11" s="11"/>
      <c r="D11" s="11"/>
      <c r="E11" s="11"/>
      <c r="F11" s="11"/>
      <c r="I11" s="1" t="s">
        <v>79</v>
      </c>
    </row>
    <row r="12" spans="2:10" ht="16" x14ac:dyDescent="0.2">
      <c r="B12" s="11"/>
      <c r="C12" s="11"/>
      <c r="D12" s="11"/>
      <c r="E12" s="11"/>
      <c r="F12" s="11"/>
      <c r="I12" s="2">
        <f ca="1">IF(J5&lt;= 0.15, 0, IF(J5&lt;=0.3, 0.04, IF(J5&lt;=0.6, 0.08, IF(J5&lt;=1, 0.12, 0.15))))</f>
        <v>0.08</v>
      </c>
    </row>
    <row r="13" spans="2:10" ht="16" x14ac:dyDescent="0.2">
      <c r="B13" s="11"/>
      <c r="C13" s="11"/>
      <c r="D13" s="11"/>
      <c r="E13" s="11"/>
      <c r="F13" s="11"/>
    </row>
    <row r="14" spans="2:10" ht="16" x14ac:dyDescent="0.2">
      <c r="B14" s="11"/>
      <c r="C14" s="11"/>
      <c r="D14" s="11"/>
      <c r="E14" s="11"/>
      <c r="F14" s="11"/>
    </row>
    <row r="15" spans="2:10" ht="16" x14ac:dyDescent="0.2">
      <c r="B15" s="11"/>
      <c r="C15" s="11"/>
      <c r="D15" s="11"/>
      <c r="E15" s="11"/>
      <c r="F15" s="11"/>
    </row>
  </sheetData>
  <mergeCells count="4">
    <mergeCell ref="H2:J2"/>
    <mergeCell ref="B3:F3"/>
    <mergeCell ref="H3:J3"/>
    <mergeCell ref="H7:J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00FF00"/>
    <outlinePr summaryBelow="0" summaryRight="0"/>
  </sheetPr>
  <dimension ref="A2:S29"/>
  <sheetViews>
    <sheetView workbookViewId="0">
      <selection activeCell="D37" sqref="D37"/>
    </sheetView>
  </sheetViews>
  <sheetFormatPr baseColWidth="10" defaultColWidth="12.6640625" defaultRowHeight="15" customHeight="1" x14ac:dyDescent="0.15"/>
  <cols>
    <col min="2" max="2" width="38.83203125" customWidth="1"/>
  </cols>
  <sheetData>
    <row r="2" spans="1:19" ht="15" customHeight="1" x14ac:dyDescent="0.15">
      <c r="A2" s="19" t="s">
        <v>80</v>
      </c>
      <c r="B2" s="20" t="s">
        <v>20</v>
      </c>
      <c r="C2" s="21" t="str">
        <f t="array" ref="C2:I11">TRANSPOSE(c_stocks!C2:L8)</f>
        <v>ALL</v>
      </c>
      <c r="D2" s="22" t="str">
        <v>ALL</v>
      </c>
      <c r="E2" s="22" t="str">
        <v>ALL</v>
      </c>
      <c r="F2" s="22" t="str">
        <v>ALL</v>
      </c>
      <c r="G2" s="22" t="str">
        <v>ALL</v>
      </c>
      <c r="H2" s="22" t="str">
        <v>ALL</v>
      </c>
      <c r="I2" s="22" t="str">
        <v>ALL</v>
      </c>
      <c r="J2" s="19" t="s">
        <v>20</v>
      </c>
      <c r="K2" s="23" t="s">
        <v>20</v>
      </c>
      <c r="L2" s="23" t="s">
        <v>20</v>
      </c>
      <c r="M2" s="23" t="s">
        <v>20</v>
      </c>
      <c r="N2" s="23" t="s">
        <v>20</v>
      </c>
      <c r="O2" s="23" t="s">
        <v>20</v>
      </c>
      <c r="P2" s="24" t="s">
        <v>20</v>
      </c>
      <c r="Q2" s="2"/>
    </row>
    <row r="3" spans="1:19" ht="15" customHeight="1" x14ac:dyDescent="0.15">
      <c r="A3" s="25" t="s">
        <v>81</v>
      </c>
      <c r="B3" s="26" t="s">
        <v>82</v>
      </c>
      <c r="C3" s="27" t="str">
        <v>AGB</v>
      </c>
      <c r="D3" s="27" t="str">
        <v>AGB</v>
      </c>
      <c r="E3" s="27" t="str">
        <v>RS</v>
      </c>
      <c r="F3" s="27" t="str">
        <v>RS</v>
      </c>
      <c r="G3" s="27" t="str">
        <v>DG_ratio</v>
      </c>
      <c r="H3" s="27" t="str">
        <v>DG_ratio</v>
      </c>
      <c r="I3" s="27" t="str">
        <v>ALL</v>
      </c>
      <c r="J3" s="151" t="s">
        <v>83</v>
      </c>
      <c r="K3" s="145"/>
      <c r="L3" s="152" t="s">
        <v>129</v>
      </c>
      <c r="M3" s="145"/>
      <c r="N3" s="152" t="s">
        <v>84</v>
      </c>
      <c r="O3" s="145"/>
      <c r="P3" s="30" t="s">
        <v>85</v>
      </c>
      <c r="Q3" s="31"/>
    </row>
    <row r="4" spans="1:19" ht="15" customHeight="1" x14ac:dyDescent="0.15">
      <c r="A4" s="32" t="s">
        <v>86</v>
      </c>
      <c r="B4" s="33"/>
      <c r="C4" s="34" t="str">
        <v>EV</v>
      </c>
      <c r="D4" s="34" t="str">
        <v>M</v>
      </c>
      <c r="E4" s="34" t="str">
        <v>EV</v>
      </c>
      <c r="F4" s="34" t="str">
        <v>M</v>
      </c>
      <c r="G4" s="34" t="str">
        <v>EV_deg</v>
      </c>
      <c r="H4" s="34" t="str">
        <v>M_deg</v>
      </c>
      <c r="I4" s="34" t="str">
        <v>Crop</v>
      </c>
      <c r="J4" s="35" t="s">
        <v>39</v>
      </c>
      <c r="K4" s="36" t="s">
        <v>44</v>
      </c>
      <c r="L4" s="36" t="s">
        <v>39</v>
      </c>
      <c r="M4" s="36" t="s">
        <v>44</v>
      </c>
      <c r="N4" s="36" t="s">
        <v>46</v>
      </c>
      <c r="O4" s="36" t="s">
        <v>48</v>
      </c>
      <c r="P4" s="37" t="s">
        <v>40</v>
      </c>
      <c r="Q4" s="38"/>
    </row>
    <row r="5" spans="1:19" ht="15" customHeight="1" x14ac:dyDescent="0.15">
      <c r="A5" s="32" t="s">
        <v>87</v>
      </c>
      <c r="B5" s="33"/>
      <c r="C5" s="34">
        <v>0</v>
      </c>
      <c r="D5" s="34">
        <v>0</v>
      </c>
      <c r="E5" s="34">
        <v>0</v>
      </c>
      <c r="F5" s="34">
        <v>0</v>
      </c>
      <c r="G5" s="34">
        <v>0</v>
      </c>
      <c r="H5" s="34">
        <v>0</v>
      </c>
      <c r="I5" s="34">
        <v>0</v>
      </c>
      <c r="J5" s="39"/>
      <c r="K5" s="38"/>
      <c r="L5" s="38"/>
      <c r="M5" s="38"/>
      <c r="N5" s="38"/>
      <c r="O5" s="38"/>
      <c r="P5" s="40"/>
      <c r="Q5" s="38"/>
    </row>
    <row r="6" spans="1:19" ht="15" customHeight="1" x14ac:dyDescent="0.15">
      <c r="A6" s="41" t="s">
        <v>88</v>
      </c>
      <c r="B6" s="42">
        <f t="array" ref="B6:B8">TRANSPOSE(user_inputs!E2:G2)</f>
        <v>0.47</v>
      </c>
      <c r="C6" s="34">
        <v>274.959</v>
      </c>
      <c r="D6" s="34">
        <v>195.58000000000004</v>
      </c>
      <c r="E6" s="34">
        <v>0.33300000000000002</v>
      </c>
      <c r="F6" s="34">
        <v>0.40700000000000003</v>
      </c>
      <c r="G6" s="34">
        <v>0.72</v>
      </c>
      <c r="H6" s="34">
        <v>0.72</v>
      </c>
      <c r="I6" s="34">
        <v>0</v>
      </c>
      <c r="J6" s="43">
        <f t="shared" ref="J6:K6" si="0">ROUND(C6 *E6, 3)</f>
        <v>91.561000000000007</v>
      </c>
      <c r="K6" s="44">
        <f t="shared" si="0"/>
        <v>79.600999999999999</v>
      </c>
      <c r="L6" s="44">
        <f>ROUND(C6 * (1 +E6) * $B$6, 3)</f>
        <v>172.26499999999999</v>
      </c>
      <c r="M6" s="44">
        <f>ROUND(D6 * (1 +F6) * $B$6, 3)</f>
        <v>129.33500000000001</v>
      </c>
      <c r="N6" s="44">
        <f t="shared" ref="N6:O6" si="1">ROUND(L6*G6, 3)</f>
        <v>124.03100000000001</v>
      </c>
      <c r="O6" s="44">
        <f t="shared" si="1"/>
        <v>93.120999999999995</v>
      </c>
      <c r="P6" s="45">
        <f>I6</f>
        <v>0</v>
      </c>
      <c r="Q6" s="44"/>
    </row>
    <row r="7" spans="1:19" ht="15" customHeight="1" x14ac:dyDescent="0.15">
      <c r="A7" s="41" t="s">
        <v>89</v>
      </c>
      <c r="B7" s="46">
        <v>1.2999999999999999E-2</v>
      </c>
      <c r="C7" s="34">
        <v>71.765000000000001</v>
      </c>
      <c r="D7" s="34">
        <v>48.006000000000007</v>
      </c>
      <c r="E7" s="34">
        <v>3.0800000000000004E-2</v>
      </c>
      <c r="F7" s="34">
        <v>3.0800000000000004E-2</v>
      </c>
      <c r="G7" s="34">
        <v>0.16200000000000001</v>
      </c>
      <c r="H7" s="34">
        <v>0.20699999999999999</v>
      </c>
      <c r="I7" s="34">
        <v>0</v>
      </c>
      <c r="J7" s="47"/>
      <c r="P7" s="48"/>
    </row>
    <row r="8" spans="1:19" ht="15" customHeight="1" x14ac:dyDescent="0.15">
      <c r="A8" s="41" t="s">
        <v>90</v>
      </c>
      <c r="B8" s="46" t="str">
        <v>normal</v>
      </c>
      <c r="C8" s="34" t="str">
        <v>normal</v>
      </c>
      <c r="D8" s="34" t="str">
        <v>normal</v>
      </c>
      <c r="E8" s="34" t="str">
        <v>normal</v>
      </c>
      <c r="F8" s="34" t="str">
        <v>normal</v>
      </c>
      <c r="G8" s="34" t="str">
        <v>beta</v>
      </c>
      <c r="H8" s="34" t="str">
        <v>beta</v>
      </c>
      <c r="I8" s="34" t="str">
        <v>normal</v>
      </c>
      <c r="J8" s="49" t="s">
        <v>91</v>
      </c>
      <c r="K8" s="1" t="s">
        <v>91</v>
      </c>
      <c r="L8" s="1" t="s">
        <v>91</v>
      </c>
      <c r="M8" s="1" t="s">
        <v>91</v>
      </c>
      <c r="N8" s="1" t="s">
        <v>91</v>
      </c>
      <c r="O8" s="1" t="s">
        <v>91</v>
      </c>
      <c r="P8" s="50" t="s">
        <v>91</v>
      </c>
      <c r="Q8" s="1"/>
    </row>
    <row r="9" spans="1:19" ht="15" customHeight="1" x14ac:dyDescent="0.15">
      <c r="A9" s="41" t="s">
        <v>92</v>
      </c>
      <c r="B9" s="33"/>
      <c r="C9" s="34">
        <v>0</v>
      </c>
      <c r="D9" s="34">
        <v>0</v>
      </c>
      <c r="E9" s="34">
        <v>0</v>
      </c>
      <c r="F9" s="34">
        <v>0</v>
      </c>
      <c r="G9" s="34">
        <v>4.8109999999999999</v>
      </c>
      <c r="H9" s="34">
        <v>2.6680000000000001</v>
      </c>
      <c r="I9" s="34">
        <v>0</v>
      </c>
      <c r="J9" s="47"/>
      <c r="P9" s="48"/>
    </row>
    <row r="10" spans="1:19" ht="15" customHeight="1" x14ac:dyDescent="0.15">
      <c r="A10" s="51" t="s">
        <v>93</v>
      </c>
      <c r="B10" s="33"/>
      <c r="C10" s="34">
        <v>0</v>
      </c>
      <c r="D10" s="34">
        <v>0</v>
      </c>
      <c r="E10" s="34">
        <v>0</v>
      </c>
      <c r="F10" s="34">
        <v>0</v>
      </c>
      <c r="G10" s="34">
        <v>1.871</v>
      </c>
      <c r="H10" s="34">
        <v>1.0369999999999999</v>
      </c>
      <c r="I10" s="34">
        <v>0</v>
      </c>
      <c r="J10" s="47"/>
      <c r="P10" s="48"/>
    </row>
    <row r="11" spans="1:19" ht="15" customHeight="1" x14ac:dyDescent="0.15">
      <c r="A11" s="51" t="s">
        <v>94</v>
      </c>
      <c r="B11" s="33"/>
      <c r="C11" s="34">
        <v>0</v>
      </c>
      <c r="D11" s="34">
        <v>0</v>
      </c>
      <c r="E11" s="34">
        <v>0</v>
      </c>
      <c r="F11" s="34">
        <v>0</v>
      </c>
      <c r="G11" s="34">
        <v>0</v>
      </c>
      <c r="H11" s="34">
        <v>0</v>
      </c>
      <c r="I11" s="34">
        <v>0</v>
      </c>
      <c r="J11" s="47"/>
      <c r="P11" s="48"/>
    </row>
    <row r="12" spans="1:19" ht="15" customHeight="1" x14ac:dyDescent="0.15">
      <c r="A12" s="52" t="s">
        <v>95</v>
      </c>
      <c r="B12" s="53">
        <v>1</v>
      </c>
      <c r="C12" s="54">
        <v>1</v>
      </c>
      <c r="D12" s="54">
        <v>1</v>
      </c>
      <c r="E12" s="54">
        <v>1</v>
      </c>
      <c r="F12" s="54">
        <v>1</v>
      </c>
      <c r="G12" s="54">
        <v>1</v>
      </c>
      <c r="H12" s="54">
        <v>1</v>
      </c>
      <c r="I12" s="54">
        <v>0</v>
      </c>
      <c r="J12" s="55"/>
      <c r="K12" s="54"/>
      <c r="L12" s="54"/>
      <c r="M12" s="54"/>
      <c r="N12" s="54"/>
      <c r="O12" s="54"/>
      <c r="P12" s="56"/>
    </row>
    <row r="13" spans="1:19" ht="15" customHeight="1" x14ac:dyDescent="0.15">
      <c r="A13" s="19"/>
      <c r="B13" s="20"/>
      <c r="C13" s="23"/>
      <c r="D13" s="23"/>
      <c r="E13" s="23"/>
      <c r="F13" s="23"/>
      <c r="G13" s="23"/>
      <c r="H13" s="23"/>
      <c r="I13" s="24"/>
      <c r="J13" s="47"/>
      <c r="P13" s="48"/>
    </row>
    <row r="14" spans="1:19" ht="15" customHeight="1" x14ac:dyDescent="0.15">
      <c r="A14" s="57" t="s">
        <v>96</v>
      </c>
      <c r="B14" s="119">
        <f ca="1">MEDIAN(_xlfn.ANCHORARRAY(B20))</f>
        <v>0.46650000000000003</v>
      </c>
      <c r="C14" s="58">
        <f t="shared" ref="C14:P14" ca="1" si="2">MEDIAN(_xlfn.ANCHORARRAY(C20))</f>
        <v>273.37700000000001</v>
      </c>
      <c r="D14" s="59">
        <f t="shared" ca="1" si="2"/>
        <v>171.80500000000001</v>
      </c>
      <c r="E14" s="59">
        <f t="shared" ca="1" si="2"/>
        <v>0.32700000000000001</v>
      </c>
      <c r="F14" s="59">
        <f t="shared" ca="1" si="2"/>
        <v>0.39150000000000001</v>
      </c>
      <c r="G14" s="59">
        <f t="shared" ca="1" si="2"/>
        <v>0.74649999999999994</v>
      </c>
      <c r="H14" s="59">
        <f t="shared" ca="1" si="2"/>
        <v>0.78200000000000003</v>
      </c>
      <c r="I14" s="60">
        <f t="shared" ca="1" si="2"/>
        <v>0</v>
      </c>
      <c r="J14" s="58">
        <f t="shared" ca="1" si="2"/>
        <v>90.774000000000001</v>
      </c>
      <c r="K14" s="59">
        <f t="shared" ca="1" si="2"/>
        <v>72.254999999999995</v>
      </c>
      <c r="L14" s="59">
        <f t="shared" ca="1" si="2"/>
        <v>173.57549999999998</v>
      </c>
      <c r="M14" s="59">
        <f t="shared" ca="1" si="2"/>
        <v>114.66200000000001</v>
      </c>
      <c r="N14" s="59">
        <f t="shared" ca="1" si="2"/>
        <v>139.429</v>
      </c>
      <c r="O14" s="59">
        <f t="shared" ca="1" si="2"/>
        <v>98.753999999999991</v>
      </c>
      <c r="P14" s="60">
        <f t="shared" ca="1" si="2"/>
        <v>0</v>
      </c>
      <c r="Q14" s="123"/>
      <c r="R14" s="124"/>
      <c r="S14" s="124"/>
    </row>
    <row r="15" spans="1:19" ht="15" customHeight="1" x14ac:dyDescent="0.15">
      <c r="A15" s="57" t="s">
        <v>97</v>
      </c>
      <c r="B15" s="61">
        <f t="shared" ref="B15" ca="1" si="3">ROUND(B16/B14,2)</f>
        <v>0.04</v>
      </c>
      <c r="C15" s="62">
        <f t="shared" ref="C15:P15" ca="1" si="4">ROUND(C16/C14,2)</f>
        <v>0.23</v>
      </c>
      <c r="D15" s="63">
        <f t="shared" ca="1" si="4"/>
        <v>0.37</v>
      </c>
      <c r="E15" s="63">
        <f t="shared" ca="1" si="4"/>
        <v>0.14000000000000001</v>
      </c>
      <c r="F15" s="63">
        <f t="shared" ca="1" si="4"/>
        <v>0.11</v>
      </c>
      <c r="G15" s="63">
        <f t="shared" ca="1" si="4"/>
        <v>0.31</v>
      </c>
      <c r="H15" s="63">
        <f t="shared" ca="1" si="4"/>
        <v>0.2</v>
      </c>
      <c r="I15" s="64" t="e">
        <f t="shared" ca="1" si="4"/>
        <v>#DIV/0!</v>
      </c>
      <c r="J15" s="62">
        <f t="shared" ca="1" si="4"/>
        <v>0.32</v>
      </c>
      <c r="K15" s="63">
        <f t="shared" ca="1" si="4"/>
        <v>0.34</v>
      </c>
      <c r="L15" s="63">
        <f t="shared" ca="1" si="4"/>
        <v>0.27</v>
      </c>
      <c r="M15" s="63">
        <f t="shared" ca="1" si="4"/>
        <v>0.33</v>
      </c>
      <c r="N15" s="63">
        <f t="shared" ca="1" si="4"/>
        <v>0.26</v>
      </c>
      <c r="O15" s="63">
        <f t="shared" ca="1" si="4"/>
        <v>0.42</v>
      </c>
      <c r="P15" s="64" t="e">
        <f t="shared" ca="1" si="4"/>
        <v>#DIV/0!</v>
      </c>
      <c r="Q15" s="125"/>
      <c r="R15" s="124"/>
    </row>
    <row r="16" spans="1:19" ht="15" customHeight="1" x14ac:dyDescent="0.15">
      <c r="A16" s="57" t="s">
        <v>98</v>
      </c>
      <c r="B16" s="65">
        <f t="shared" ref="B16" ca="1" si="5">(B18-B17)/2</f>
        <v>1.999999999999999E-2</v>
      </c>
      <c r="C16" s="66">
        <f t="shared" ref="C16:P16" ca="1" si="6">(C18-C17)/2</f>
        <v>63.24499999999999</v>
      </c>
      <c r="D16" s="67">
        <f t="shared" ca="1" si="6"/>
        <v>64.314999999999984</v>
      </c>
      <c r="E16" s="67">
        <f t="shared" ca="1" si="6"/>
        <v>4.5000000000000012E-2</v>
      </c>
      <c r="F16" s="67">
        <f t="shared" ca="1" si="6"/>
        <v>4.5000000000000012E-2</v>
      </c>
      <c r="G16" s="67">
        <f t="shared" ca="1" si="6"/>
        <v>0.23000000000000004</v>
      </c>
      <c r="H16" s="67">
        <f t="shared" ca="1" si="6"/>
        <v>0.15999999999999998</v>
      </c>
      <c r="I16" s="68">
        <f t="shared" ca="1" si="6"/>
        <v>0</v>
      </c>
      <c r="J16" s="66">
        <f t="shared" ca="1" si="6"/>
        <v>28.93</v>
      </c>
      <c r="K16" s="67">
        <f t="shared" ca="1" si="6"/>
        <v>24.715</v>
      </c>
      <c r="L16" s="67">
        <f t="shared" ca="1" si="6"/>
        <v>46.834999999999994</v>
      </c>
      <c r="M16" s="67">
        <f t="shared" ca="1" si="6"/>
        <v>37.645000000000003</v>
      </c>
      <c r="N16" s="67">
        <f t="shared" ca="1" si="6"/>
        <v>36.82</v>
      </c>
      <c r="O16" s="67">
        <f t="shared" ca="1" si="6"/>
        <v>41.755000000000003</v>
      </c>
      <c r="P16" s="68">
        <f t="shared" ca="1" si="6"/>
        <v>0</v>
      </c>
      <c r="Q16" s="123"/>
      <c r="R16" s="124"/>
    </row>
    <row r="17" spans="1:18" ht="15" customHeight="1" x14ac:dyDescent="0.15">
      <c r="A17" s="57" t="s">
        <v>99</v>
      </c>
      <c r="B17" s="120">
        <f t="shared" ref="B17:P17" ca="1" si="7">ROUND(PERCENTILE(_xlfn.ANCHORARRAY(B20),ci_alpha/2),2)</f>
        <v>0.45</v>
      </c>
      <c r="C17" s="66">
        <f t="shared" ca="1" si="7"/>
        <v>233.71</v>
      </c>
      <c r="D17" s="67">
        <f t="shared" ca="1" si="7"/>
        <v>152.71</v>
      </c>
      <c r="E17" s="67">
        <f t="shared" ca="1" si="7"/>
        <v>0.28999999999999998</v>
      </c>
      <c r="F17" s="67">
        <f t="shared" ca="1" si="7"/>
        <v>0.35</v>
      </c>
      <c r="G17" s="67">
        <f t="shared" ca="1" si="7"/>
        <v>0.6</v>
      </c>
      <c r="H17" s="67">
        <f t="shared" ca="1" si="7"/>
        <v>0.62</v>
      </c>
      <c r="I17" s="68">
        <f t="shared" ca="1" si="7"/>
        <v>0</v>
      </c>
      <c r="J17" s="66">
        <f t="shared" ca="1" si="7"/>
        <v>71.17</v>
      </c>
      <c r="K17" s="67">
        <f t="shared" ca="1" si="7"/>
        <v>59.12</v>
      </c>
      <c r="L17" s="67">
        <f t="shared" ca="1" si="7"/>
        <v>137.21</v>
      </c>
      <c r="M17" s="67">
        <f t="shared" ca="1" si="7"/>
        <v>101.89</v>
      </c>
      <c r="N17" s="67">
        <f t="shared" ca="1" si="7"/>
        <v>94.21</v>
      </c>
      <c r="O17" s="67">
        <f t="shared" ca="1" si="7"/>
        <v>69.7</v>
      </c>
      <c r="P17" s="68">
        <f t="shared" ca="1" si="7"/>
        <v>0</v>
      </c>
      <c r="Q17" s="123"/>
      <c r="R17" s="124"/>
    </row>
    <row r="18" spans="1:18" ht="15" customHeight="1" x14ac:dyDescent="0.15">
      <c r="A18" s="57" t="s">
        <v>100</v>
      </c>
      <c r="B18" s="120">
        <f t="shared" ref="B18:P18" ca="1" si="8">ROUND(PERCENTILE(_xlfn.ANCHORARRAY(B20), 1 - ci_alpha / 2), 2)</f>
        <v>0.49</v>
      </c>
      <c r="C18" s="66">
        <f t="shared" ca="1" si="8"/>
        <v>360.2</v>
      </c>
      <c r="D18" s="67">
        <f t="shared" ca="1" si="8"/>
        <v>281.33999999999997</v>
      </c>
      <c r="E18" s="67">
        <f t="shared" ca="1" si="8"/>
        <v>0.38</v>
      </c>
      <c r="F18" s="67">
        <f t="shared" ca="1" si="8"/>
        <v>0.44</v>
      </c>
      <c r="G18" s="67">
        <f t="shared" ca="1" si="8"/>
        <v>1.06</v>
      </c>
      <c r="H18" s="67">
        <f t="shared" ca="1" si="8"/>
        <v>0.94</v>
      </c>
      <c r="I18" s="68">
        <f t="shared" ca="1" si="8"/>
        <v>0</v>
      </c>
      <c r="J18" s="66">
        <f t="shared" ca="1" si="8"/>
        <v>129.03</v>
      </c>
      <c r="K18" s="67">
        <f t="shared" ca="1" si="8"/>
        <v>108.55</v>
      </c>
      <c r="L18" s="67">
        <f t="shared" ca="1" si="8"/>
        <v>230.88</v>
      </c>
      <c r="M18" s="67">
        <f t="shared" ca="1" si="8"/>
        <v>177.18</v>
      </c>
      <c r="N18" s="67">
        <f t="shared" ca="1" si="8"/>
        <v>167.85</v>
      </c>
      <c r="O18" s="67">
        <f t="shared" ca="1" si="8"/>
        <v>153.21</v>
      </c>
      <c r="P18" s="68">
        <f t="shared" ca="1" si="8"/>
        <v>0</v>
      </c>
      <c r="Q18" s="123"/>
      <c r="R18" s="124"/>
    </row>
    <row r="19" spans="1:18" ht="15" customHeight="1" x14ac:dyDescent="0.15">
      <c r="A19" s="52"/>
      <c r="B19" s="53"/>
      <c r="C19" s="55"/>
      <c r="D19" s="54"/>
      <c r="E19" s="54"/>
      <c r="F19" s="54"/>
      <c r="G19" s="54"/>
      <c r="H19" s="54"/>
      <c r="I19" s="56"/>
      <c r="J19" s="69">
        <f ca="1">ROUND(C20*E20, 3)</f>
        <v>108.465</v>
      </c>
      <c r="K19" s="54"/>
      <c r="L19" s="70">
        <f ca="1">ROUND(C20 * (1  + E20) * $B20,3)</f>
        <v>179.774</v>
      </c>
      <c r="M19" s="70"/>
      <c r="N19" s="70">
        <f ca="1">ROUND(L20*G20, 3)</f>
        <v>132.31399999999999</v>
      </c>
      <c r="O19" s="54"/>
      <c r="P19" s="56"/>
    </row>
    <row r="20" spans="1:18" ht="15" customHeight="1" x14ac:dyDescent="0.15">
      <c r="A20" s="71" cm="1">
        <f t="array" ref="A20:A29">_xlfn.SEQUENCE(n_iter, 1, 1, 1)</f>
        <v>1</v>
      </c>
      <c r="B20" s="72" cm="1">
        <f t="array" aca="1" ref="B20:B29" ca="1">IF(B12=1, ROUND(NORMINV(_xlfn.RANDARRAY(n_iter, 1),B6,B7),3),_xlfn.SEQUENCE(n_iter, 1, B6, 0))</f>
        <v>0.45900000000000002</v>
      </c>
      <c r="C20" s="72" cm="1">
        <f t="array" aca="1" ref="C20:C29" ca="1">IF(C12=1, ROUND(NORMINV(_xlfn.RANDARRAY(n_iter, 1),C6,C7),3),_xlfn.SEQUENCE(n_iter, 1, C6, 0))</f>
        <v>283.19900000000001</v>
      </c>
      <c r="D20" s="72" cm="1">
        <f t="array" aca="1" ref="D20:D29" ca="1">IF(D12=1, ROUND(NORMINV(_xlfn.RANDARRAY(n_iter, 1),D6,D7),3),_xlfn.SEQUENCE(n_iter, 1, D6, 0))</f>
        <v>172.78800000000001</v>
      </c>
      <c r="E20" s="72" cm="1">
        <f t="array" aca="1" ref="E20:E29" ca="1">IF(E12=1, ROUND(NORMINV(_xlfn.RANDARRAY(n_iter, 1),E6,E7),3),_xlfn.SEQUENCE(n_iter, 1, E6, 0))</f>
        <v>0.38300000000000001</v>
      </c>
      <c r="F20" s="72" cm="1">
        <f t="array" aca="1" ref="F20:F29" ca="1">IF(F12=1, ROUND(NORMINV(_xlfn.RANDARRAY(n_iter, 1),F6,F7),3),_xlfn.SEQUENCE(n_iter, 1, F6, 0))</f>
        <v>0.42299999999999999</v>
      </c>
      <c r="G20" s="72" cm="1">
        <f t="array" aca="1" ref="G20:G29" ca="1">IF(G12=1, ROUND(NORMINV(_xlfn.RANDARRAY(n_iter, 1),G6,G7),3),_xlfn.SEQUENCE(n_iter, 1, G6, 0))</f>
        <v>0.73599999999999999</v>
      </c>
      <c r="H20" s="72" cm="1">
        <f t="array" aca="1" ref="H20:H29" ca="1">IF(H12=1, ROUND(BETAINV(_xlfn.RANDARRAY(n_iter, 1),H9,H10),3),_xlfn.SEQUENCE(n_iter, 1, H6, 0))</f>
        <v>0.69699999999999995</v>
      </c>
      <c r="I20" s="72" cm="1">
        <f t="array" aca="1" ref="I20:I29" ca="1">IF(I12=1, ROUND(NORMINV(_xlfn.RANDARRAY(n_iter, 1),I6,I7),3),_xlfn.SEQUENCE(n_iter, 1, I6, 0))</f>
        <v>0</v>
      </c>
      <c r="J20" s="121" cm="1">
        <f t="array" aca="1" ref="J20:J29" ca="1">ROUND(_xlfn.ANCHORARRAY(C20) *_xlfn.ANCHORARRAY( E20), 3)</f>
        <v>108.465</v>
      </c>
      <c r="K20" s="121" cm="1">
        <f t="array" aca="1" ref="K20:K29" ca="1">ROUND(_xlfn.ANCHORARRAY(D20) *_xlfn.ANCHORARRAY( F20), 3)</f>
        <v>73.088999999999999</v>
      </c>
      <c r="L20" s="121" cm="1">
        <f t="array" aca="1" ref="L20:L29" ca="1">ROUND(_xlfn.ANCHORARRAY(C20) * (1 +_xlfn.ANCHORARRAY( E20)) *_xlfn.ANCHORARRAY( $B20), 3)</f>
        <v>179.774</v>
      </c>
      <c r="M20" s="121" cm="1">
        <f t="array" aca="1" ref="M20:M29" ca="1">ROUND(_xlfn.ANCHORARRAY(D20) * (1 +_xlfn.ANCHORARRAY( F20)) *_xlfn.ANCHORARRAY( $B20), 3)</f>
        <v>112.858</v>
      </c>
      <c r="N20" s="121" cm="1">
        <f t="array" aca="1" ref="N20:N29" ca="1">ROUND(_xlfn.ANCHORARRAY(L20) *_xlfn.ANCHORARRAY( G20), 3)</f>
        <v>132.31399999999999</v>
      </c>
      <c r="O20" s="121" cm="1">
        <f t="array" aca="1" ref="O20:O29" ca="1">ROUND(_xlfn.ANCHORARRAY(M20) *_xlfn.ANCHORARRAY( H20), 3)</f>
        <v>78.662000000000006</v>
      </c>
      <c r="P20" s="122" cm="1">
        <f t="array" aca="1" ref="P20:P29" ca="1">_xlfn.ANCHORARRAY(I20)</f>
        <v>0</v>
      </c>
      <c r="Q20" s="44"/>
    </row>
    <row r="21" spans="1:18" ht="15" customHeight="1" x14ac:dyDescent="0.15">
      <c r="A21">
        <v>2</v>
      </c>
      <c r="B21">
        <f ca="1"/>
        <v>0.46700000000000003</v>
      </c>
      <c r="C21">
        <f ca="1"/>
        <v>381.45299999999997</v>
      </c>
      <c r="D21">
        <f ca="1"/>
        <v>259.91699999999997</v>
      </c>
      <c r="E21">
        <f ca="1"/>
        <v>0.377</v>
      </c>
      <c r="F21">
        <f ca="1"/>
        <v>0.36799999999999999</v>
      </c>
      <c r="G21">
        <f ca="1"/>
        <v>0.61599999999999999</v>
      </c>
      <c r="H21">
        <f ca="1"/>
        <v>0.81499999999999995</v>
      </c>
      <c r="I21">
        <f ca="1"/>
        <v>0</v>
      </c>
      <c r="J21">
        <f ca="1"/>
        <v>143.80799999999999</v>
      </c>
      <c r="K21">
        <f ca="1"/>
        <v>95.649000000000001</v>
      </c>
      <c r="L21">
        <f ca="1"/>
        <v>245.297</v>
      </c>
      <c r="M21">
        <f ca="1"/>
        <v>166.05</v>
      </c>
      <c r="N21">
        <f ca="1"/>
        <v>151.10300000000001</v>
      </c>
      <c r="O21">
        <f ca="1"/>
        <v>135.33099999999999</v>
      </c>
      <c r="P21">
        <f ca="1"/>
        <v>0</v>
      </c>
    </row>
    <row r="22" spans="1:18" ht="15" customHeight="1" x14ac:dyDescent="0.15">
      <c r="A22">
        <v>3</v>
      </c>
      <c r="B22">
        <f ca="1"/>
        <v>0.44500000000000001</v>
      </c>
      <c r="C22">
        <f ca="1"/>
        <v>253.39500000000001</v>
      </c>
      <c r="D22">
        <f ca="1"/>
        <v>170.822</v>
      </c>
      <c r="E22">
        <f ca="1"/>
        <v>0.29699999999999999</v>
      </c>
      <c r="F22">
        <f ca="1"/>
        <v>0.38100000000000001</v>
      </c>
      <c r="G22">
        <f ca="1"/>
        <v>1.002</v>
      </c>
      <c r="H22">
        <f ca="1"/>
        <v>0.93600000000000005</v>
      </c>
      <c r="I22">
        <f ca="1"/>
        <v>0</v>
      </c>
      <c r="J22">
        <f ca="1"/>
        <v>75.257999999999996</v>
      </c>
      <c r="K22">
        <f ca="1"/>
        <v>65.082999999999998</v>
      </c>
      <c r="L22">
        <f ca="1"/>
        <v>146.251</v>
      </c>
      <c r="M22">
        <f ca="1"/>
        <v>104.97799999999999</v>
      </c>
      <c r="N22">
        <f ca="1"/>
        <v>146.54400000000001</v>
      </c>
      <c r="O22">
        <f ca="1"/>
        <v>98.259</v>
      </c>
      <c r="P22">
        <f ca="1"/>
        <v>0</v>
      </c>
    </row>
    <row r="23" spans="1:18" ht="15" customHeight="1" x14ac:dyDescent="0.15">
      <c r="A23">
        <v>4</v>
      </c>
      <c r="B23">
        <f ca="1"/>
        <v>0.46800000000000003</v>
      </c>
      <c r="C23">
        <f ca="1"/>
        <v>290.33999999999997</v>
      </c>
      <c r="D23">
        <f ca="1"/>
        <v>251.63300000000001</v>
      </c>
      <c r="E23">
        <f ca="1"/>
        <v>0.33300000000000002</v>
      </c>
      <c r="F23">
        <f ca="1"/>
        <v>0.34200000000000003</v>
      </c>
      <c r="G23">
        <f ca="1"/>
        <v>0.873</v>
      </c>
      <c r="H23">
        <f ca="1"/>
        <v>0.628</v>
      </c>
      <c r="I23">
        <f ca="1"/>
        <v>0</v>
      </c>
      <c r="J23">
        <f ca="1"/>
        <v>96.683000000000007</v>
      </c>
      <c r="K23">
        <f ca="1"/>
        <v>86.058000000000007</v>
      </c>
      <c r="L23">
        <f ca="1"/>
        <v>181.12700000000001</v>
      </c>
      <c r="M23">
        <f ca="1"/>
        <v>158.04</v>
      </c>
      <c r="N23">
        <f ca="1"/>
        <v>158.124</v>
      </c>
      <c r="O23">
        <f ca="1"/>
        <v>99.248999999999995</v>
      </c>
      <c r="P23">
        <f ca="1"/>
        <v>0</v>
      </c>
    </row>
    <row r="24" spans="1:18" ht="15" customHeight="1" x14ac:dyDescent="0.15">
      <c r="A24">
        <v>5</v>
      </c>
      <c r="B24">
        <f ca="1"/>
        <v>0.47899999999999998</v>
      </c>
      <c r="C24">
        <f ca="1"/>
        <v>334.23200000000003</v>
      </c>
      <c r="D24">
        <f ca="1"/>
        <v>149.221</v>
      </c>
      <c r="E24">
        <f ca="1"/>
        <v>0.33200000000000002</v>
      </c>
      <c r="F24">
        <f ca="1"/>
        <v>0.40500000000000003</v>
      </c>
      <c r="G24">
        <f ca="1"/>
        <v>0.75700000000000001</v>
      </c>
      <c r="H24">
        <f ca="1"/>
        <v>0.621</v>
      </c>
      <c r="I24">
        <f ca="1"/>
        <v>0</v>
      </c>
      <c r="J24">
        <f ca="1"/>
        <v>110.965</v>
      </c>
      <c r="K24">
        <f ca="1"/>
        <v>60.435000000000002</v>
      </c>
      <c r="L24">
        <f ca="1"/>
        <v>213.249</v>
      </c>
      <c r="M24">
        <f ca="1"/>
        <v>100.425</v>
      </c>
      <c r="N24">
        <f ca="1"/>
        <v>161.429</v>
      </c>
      <c r="O24">
        <f ca="1"/>
        <v>62.363999999999997</v>
      </c>
      <c r="P24">
        <f ca="1"/>
        <v>0</v>
      </c>
    </row>
    <row r="25" spans="1:18" ht="15" customHeight="1" x14ac:dyDescent="0.15">
      <c r="A25">
        <v>6</v>
      </c>
      <c r="B25">
        <f ca="1"/>
        <v>0.48399999999999999</v>
      </c>
      <c r="C25">
        <f ca="1"/>
        <v>263.55500000000001</v>
      </c>
      <c r="D25">
        <f ca="1"/>
        <v>170.29900000000001</v>
      </c>
      <c r="E25">
        <f ca="1"/>
        <v>0.32200000000000001</v>
      </c>
      <c r="F25">
        <f ca="1"/>
        <v>0.41299999999999998</v>
      </c>
      <c r="G25">
        <f ca="1"/>
        <v>0.58099999999999996</v>
      </c>
      <c r="H25">
        <f ca="1"/>
        <v>0.94</v>
      </c>
      <c r="I25">
        <f ca="1"/>
        <v>0</v>
      </c>
      <c r="J25">
        <f ca="1"/>
        <v>84.864999999999995</v>
      </c>
      <c r="K25">
        <f ca="1"/>
        <v>70.332999999999998</v>
      </c>
      <c r="L25">
        <f ca="1"/>
        <v>168.63499999999999</v>
      </c>
      <c r="M25">
        <f ca="1"/>
        <v>116.46599999999999</v>
      </c>
      <c r="N25">
        <f ca="1"/>
        <v>97.977000000000004</v>
      </c>
      <c r="O25">
        <f ca="1"/>
        <v>109.47799999999999</v>
      </c>
      <c r="P25">
        <f ca="1"/>
        <v>0</v>
      </c>
    </row>
    <row r="26" spans="1:18" ht="15" customHeight="1" x14ac:dyDescent="0.15">
      <c r="A26">
        <v>7</v>
      </c>
      <c r="B26">
        <f ca="1"/>
        <v>0.45100000000000001</v>
      </c>
      <c r="C26">
        <f ca="1"/>
        <v>263.13600000000002</v>
      </c>
      <c r="D26">
        <f ca="1"/>
        <v>298.875</v>
      </c>
      <c r="E26">
        <f ca="1"/>
        <v>0.32</v>
      </c>
      <c r="F26">
        <f ca="1"/>
        <v>0.38200000000000001</v>
      </c>
      <c r="G26">
        <f ca="1"/>
        <v>1.105</v>
      </c>
      <c r="H26">
        <f ca="1"/>
        <v>0.90100000000000002</v>
      </c>
      <c r="I26">
        <f ca="1"/>
        <v>0</v>
      </c>
      <c r="J26">
        <f ca="1"/>
        <v>84.203999999999994</v>
      </c>
      <c r="K26">
        <f ca="1"/>
        <v>114.17</v>
      </c>
      <c r="L26">
        <f ca="1"/>
        <v>156.65</v>
      </c>
      <c r="M26">
        <f ca="1"/>
        <v>186.28299999999999</v>
      </c>
      <c r="N26">
        <f ca="1"/>
        <v>173.09800000000001</v>
      </c>
      <c r="O26">
        <f ca="1"/>
        <v>167.84100000000001</v>
      </c>
      <c r="P26">
        <f ca="1"/>
        <v>0</v>
      </c>
    </row>
    <row r="27" spans="1:18" ht="15" customHeight="1" x14ac:dyDescent="0.15">
      <c r="A27">
        <v>8</v>
      </c>
      <c r="B27">
        <f ca="1"/>
        <v>0.46600000000000003</v>
      </c>
      <c r="C27">
        <f ca="1"/>
        <v>286.09500000000003</v>
      </c>
      <c r="D27">
        <f ca="1"/>
        <v>253.572</v>
      </c>
      <c r="E27">
        <f ca="1"/>
        <v>0.33900000000000002</v>
      </c>
      <c r="F27">
        <f ca="1"/>
        <v>0.40100000000000002</v>
      </c>
      <c r="G27">
        <f ca="1"/>
        <v>0.64</v>
      </c>
      <c r="H27">
        <f ca="1"/>
        <v>0.749</v>
      </c>
      <c r="I27">
        <f ca="1"/>
        <v>0</v>
      </c>
      <c r="J27">
        <f ca="1"/>
        <v>96.986000000000004</v>
      </c>
      <c r="K27">
        <f ca="1"/>
        <v>101.682</v>
      </c>
      <c r="L27">
        <f ca="1"/>
        <v>178.51599999999999</v>
      </c>
      <c r="M27">
        <f ca="1"/>
        <v>165.54900000000001</v>
      </c>
      <c r="N27">
        <f ca="1"/>
        <v>114.25</v>
      </c>
      <c r="O27">
        <f ca="1"/>
        <v>123.996</v>
      </c>
      <c r="P27">
        <f ca="1"/>
        <v>0</v>
      </c>
    </row>
    <row r="28" spans="1:18" ht="15" customHeight="1" x14ac:dyDescent="0.15">
      <c r="A28">
        <v>9</v>
      </c>
      <c r="B28">
        <f ca="1"/>
        <v>0.45400000000000001</v>
      </c>
      <c r="C28">
        <f ca="1"/>
        <v>217.6</v>
      </c>
      <c r="D28">
        <f ca="1"/>
        <v>156.96899999999999</v>
      </c>
      <c r="E28">
        <f ca="1"/>
        <v>0.314</v>
      </c>
      <c r="F28">
        <f ca="1"/>
        <v>0.45500000000000002</v>
      </c>
      <c r="G28">
        <f ca="1"/>
        <v>0.70199999999999996</v>
      </c>
      <c r="H28">
        <f ca="1"/>
        <v>0.93</v>
      </c>
      <c r="I28">
        <f ca="1"/>
        <v>0</v>
      </c>
      <c r="J28">
        <f ca="1"/>
        <v>68.325999999999993</v>
      </c>
      <c r="K28">
        <f ca="1"/>
        <v>71.421000000000006</v>
      </c>
      <c r="L28">
        <f ca="1"/>
        <v>129.81100000000001</v>
      </c>
      <c r="M28">
        <f ca="1"/>
        <v>103.68899999999999</v>
      </c>
      <c r="N28">
        <f ca="1"/>
        <v>91.126999999999995</v>
      </c>
      <c r="O28">
        <f ca="1"/>
        <v>96.430999999999997</v>
      </c>
      <c r="P28">
        <f ca="1"/>
        <v>0</v>
      </c>
    </row>
    <row r="29" spans="1:18" ht="15" customHeight="1" x14ac:dyDescent="0.15">
      <c r="A29">
        <v>10</v>
      </c>
      <c r="B29">
        <f ca="1"/>
        <v>0.49099999999999999</v>
      </c>
      <c r="C29">
        <f ca="1"/>
        <v>259.18</v>
      </c>
      <c r="D29">
        <f ca="1"/>
        <v>163.95099999999999</v>
      </c>
      <c r="E29">
        <f ca="1"/>
        <v>0.28799999999999998</v>
      </c>
      <c r="F29">
        <f ca="1"/>
        <v>0.35399999999999998</v>
      </c>
      <c r="G29">
        <f ca="1"/>
        <v>0.79400000000000004</v>
      </c>
      <c r="H29">
        <f ca="1"/>
        <v>0.73699999999999999</v>
      </c>
      <c r="I29">
        <f ca="1"/>
        <v>0</v>
      </c>
      <c r="J29">
        <f ca="1"/>
        <v>74.644000000000005</v>
      </c>
      <c r="K29">
        <f ca="1"/>
        <v>58.039000000000001</v>
      </c>
      <c r="L29">
        <f ca="1"/>
        <v>163.90799999999999</v>
      </c>
      <c r="M29">
        <f ca="1"/>
        <v>108.997</v>
      </c>
      <c r="N29">
        <f ca="1"/>
        <v>130.143</v>
      </c>
      <c r="O29">
        <f ca="1"/>
        <v>80.331000000000003</v>
      </c>
      <c r="P29">
        <f ca="1"/>
        <v>0</v>
      </c>
    </row>
  </sheetData>
  <mergeCells count="3">
    <mergeCell ref="J3:K3"/>
    <mergeCell ref="L3:M3"/>
    <mergeCell ref="N3:O3"/>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00FF00"/>
    <outlinePr summaryBelow="0" summaryRight="0"/>
  </sheetPr>
  <dimension ref="A2:M29"/>
  <sheetViews>
    <sheetView workbookViewId="0">
      <selection activeCell="D25" sqref="D25"/>
    </sheetView>
  </sheetViews>
  <sheetFormatPr baseColWidth="10" defaultColWidth="12.6640625" defaultRowHeight="15" customHeight="1" x14ac:dyDescent="0.15"/>
  <sheetData>
    <row r="2" spans="1:1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4" t="s">
        <v>27</v>
      </c>
    </row>
    <row r="3" spans="1:13" ht="15" customHeight="1" x14ac:dyDescent="0.15">
      <c r="A3" s="25" t="s">
        <v>81</v>
      </c>
      <c r="B3" s="28" t="s">
        <v>101</v>
      </c>
      <c r="C3" s="29" t="s">
        <v>101</v>
      </c>
      <c r="D3" s="29" t="s">
        <v>101</v>
      </c>
      <c r="E3" s="29" t="s">
        <v>101</v>
      </c>
      <c r="F3" s="29" t="s">
        <v>101</v>
      </c>
      <c r="G3" s="29" t="s">
        <v>101</v>
      </c>
      <c r="H3" s="29" t="s">
        <v>102</v>
      </c>
      <c r="I3" s="29" t="s">
        <v>102</v>
      </c>
      <c r="J3" s="29" t="s">
        <v>102</v>
      </c>
      <c r="K3" s="29" t="s">
        <v>102</v>
      </c>
      <c r="L3" s="29" t="s">
        <v>102</v>
      </c>
      <c r="M3" s="30" t="s">
        <v>102</v>
      </c>
    </row>
    <row r="4" spans="1:1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40" t="s">
        <v>44</v>
      </c>
    </row>
    <row r="5" spans="1:1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40" t="s">
        <v>48</v>
      </c>
    </row>
    <row r="6" spans="1:13" ht="15" customHeight="1" x14ac:dyDescent="0.15">
      <c r="A6" s="41" t="s">
        <v>88</v>
      </c>
      <c r="B6" s="43" cm="1">
        <f t="array" ref="B6">ROUND((_xlfn.XLOOKUP(B$4, SIMS_EF_preparation!$L$4:$P$4, SIMS_EF_preparation!$L6:'SIMS_EF_preparation'!$P6,0) - _xlfn.XLOOKUP(B$5, SIMS_EF_preparation!$L$4:$P$4, SIMS_EF_preparation!$L6:'SIMS_EF_preparation'!$P6,0)) * 44/12, 3)</f>
        <v>631.63800000000003</v>
      </c>
      <c r="C6" s="44" cm="1">
        <f t="array" ref="C6">ROUND((_xlfn.XLOOKUP(C$4, SIMS_EF_preparation!$L$4:$P$4, SIMS_EF_preparation!$L6:'SIMS_EF_preparation'!$P6,0) - _xlfn.XLOOKUP(C$5, SIMS_EF_preparation!$L$4:$P$4, SIMS_EF_preparation!$L6:'SIMS_EF_preparation'!$P6,0)) * 44/12, 3)</f>
        <v>474.22800000000001</v>
      </c>
      <c r="D6" s="44" cm="1">
        <f t="array" ref="D6">ROUND((_xlfn.XLOOKUP(D$4, SIMS_EF_preparation!$L$4:$P$4, SIMS_EF_preparation!$L6:'SIMS_EF_preparation'!$P6,0) - _xlfn.XLOOKUP(D$5, SIMS_EF_preparation!$L$4:$P$4, SIMS_EF_preparation!$L6:'SIMS_EF_preparation'!$P6,0)) * 44/12, 3)</f>
        <v>454.78</v>
      </c>
      <c r="E6" s="44" cm="1">
        <f t="array" ref="E6">ROUND((_xlfn.XLOOKUP(E$4, SIMS_EF_preparation!$L$4:$P$4, SIMS_EF_preparation!$L6:'SIMS_EF_preparation'!$P6,0) - _xlfn.XLOOKUP(E$5, SIMS_EF_preparation!$L$4:$P$4, SIMS_EF_preparation!$L6:'SIMS_EF_preparation'!$P6,0)) * 44/12, 3)</f>
        <v>341.44400000000002</v>
      </c>
      <c r="F6" s="44" cm="1">
        <f t="array" ref="F6">ROUND((_xlfn.XLOOKUP(F$4, SIMS_EF_preparation!$L$4:$P$4, SIMS_EF_preparation!$L6:'SIMS_EF_preparation'!$P6,0) - _xlfn.XLOOKUP(F$5, SIMS_EF_preparation!$L$4:$P$4, SIMS_EF_preparation!$L6:'SIMS_EF_preparation'!$P6,0)) * 44/12, 3)</f>
        <v>176.858</v>
      </c>
      <c r="G6" s="44" cm="1">
        <f t="array" ref="G6">ROUND((_xlfn.XLOOKUP(G$4, SIMS_EF_preparation!$L$4:$P$4, SIMS_EF_preparation!$L6:'SIMS_EF_preparation'!$P6,0) - _xlfn.XLOOKUP(G$5, SIMS_EF_preparation!$L$4:$P$4, SIMS_EF_preparation!$L6:'SIMS_EF_preparation'!$P6,0)) * 44/12, 3)</f>
        <v>132.785</v>
      </c>
      <c r="H6" s="44" cm="1">
        <f t="array" ref="H6">ROUND((_xlfn.XLOOKUP(H$4, SIMS_EF_preparation!$L$4:$P$4, SIMS_EF_preparation!$L6:'SIMS_EF_preparation'!$P6,0) - _xlfn.XLOOKUP(H$5, SIMS_EF_preparation!$L$4:$P$4, SIMS_EF_preparation!$L6:'SIMS_EF_preparation'!$P6,0)) * 44/12, 3)</f>
        <v>631.63800000000003</v>
      </c>
      <c r="I6" s="44" cm="1">
        <f t="array" ref="I6">ROUND((_xlfn.XLOOKUP(I$4, SIMS_EF_preparation!$L$4:$P$4, SIMS_EF_preparation!$L6:'SIMS_EF_preparation'!$P6,0) - _xlfn.XLOOKUP(I$5, SIMS_EF_preparation!$L$4:$P$4, SIMS_EF_preparation!$L6:'SIMS_EF_preparation'!$P6,0)) * 44/12, 3)</f>
        <v>474.22800000000001</v>
      </c>
      <c r="J6" s="44" cm="1">
        <f t="array" ref="J6">ROUND((_xlfn.XLOOKUP(J$4, SIMS_EF_preparation!$L$4:$P$4, SIMS_EF_preparation!$L6:'SIMS_EF_preparation'!$P6,0) - _xlfn.XLOOKUP(J$5, SIMS_EF_preparation!$L$4:$P$4, SIMS_EF_preparation!$L6:'SIMS_EF_preparation'!$P6,0)) * 44/12, 3)</f>
        <v>454.78</v>
      </c>
      <c r="K6" s="44" cm="1">
        <f t="array" ref="K6">ROUND((_xlfn.XLOOKUP(K$4, SIMS_EF_preparation!$L$4:$P$4, SIMS_EF_preparation!$L6:'SIMS_EF_preparation'!$P6,0) - _xlfn.XLOOKUP(K$5, SIMS_EF_preparation!$L$4:$P$4, SIMS_EF_preparation!$L6:'SIMS_EF_preparation'!$P6,0)) * 44/12, 3)</f>
        <v>341.44400000000002</v>
      </c>
      <c r="L6" s="44" cm="1">
        <f t="array" ref="L6">ROUND((_xlfn.XLOOKUP(L$4, SIMS_EF_preparation!$L$4:$P$4, SIMS_EF_preparation!$L6:'SIMS_EF_preparation'!$P6,0) - _xlfn.XLOOKUP(L$5, SIMS_EF_preparation!$L$4:$P$4, SIMS_EF_preparation!$L6:'SIMS_EF_preparation'!$P6,0)) * 44/12, 3)</f>
        <v>176.858</v>
      </c>
      <c r="M6" s="45" cm="1">
        <f t="array" ref="M6">ROUND((_xlfn.XLOOKUP(M$4, SIMS_EF_preparation!$L$4:$P$4, SIMS_EF_preparation!$L6:'SIMS_EF_preparation'!$P6,0) - _xlfn.XLOOKUP(M$5, SIMS_EF_preparation!$L$4:$P$4, SIMS_EF_preparation!$L6:'SIMS_EF_preparation'!$P6,0)) * 44/12, 3)</f>
        <v>132.785</v>
      </c>
    </row>
    <row r="7" spans="1:13" ht="15" customHeight="1" x14ac:dyDescent="0.15">
      <c r="A7" s="41" t="s">
        <v>89</v>
      </c>
      <c r="B7" s="47"/>
      <c r="M7" s="48"/>
    </row>
    <row r="8" spans="1:13" ht="15" customHeight="1" x14ac:dyDescent="0.15">
      <c r="A8" s="41" t="s">
        <v>90</v>
      </c>
      <c r="B8" s="49" t="s">
        <v>91</v>
      </c>
      <c r="C8" s="1" t="s">
        <v>91</v>
      </c>
      <c r="D8" s="1" t="s">
        <v>91</v>
      </c>
      <c r="E8" s="1" t="s">
        <v>91</v>
      </c>
      <c r="F8" s="1" t="s">
        <v>91</v>
      </c>
      <c r="G8" s="1" t="s">
        <v>91</v>
      </c>
      <c r="H8" s="1" t="s">
        <v>91</v>
      </c>
      <c r="I8" s="1" t="s">
        <v>91</v>
      </c>
      <c r="J8" s="1" t="s">
        <v>91</v>
      </c>
      <c r="K8" s="1" t="s">
        <v>91</v>
      </c>
      <c r="L8" s="1" t="s">
        <v>91</v>
      </c>
      <c r="M8" s="50" t="s">
        <v>91</v>
      </c>
    </row>
    <row r="9" spans="1:13" ht="15" customHeight="1" x14ac:dyDescent="0.15">
      <c r="A9" s="41" t="s">
        <v>92</v>
      </c>
      <c r="B9" s="47"/>
      <c r="M9" s="48"/>
    </row>
    <row r="10" spans="1:13" ht="15" customHeight="1" x14ac:dyDescent="0.15">
      <c r="A10" s="51" t="s">
        <v>93</v>
      </c>
      <c r="B10" s="47"/>
      <c r="M10" s="48"/>
    </row>
    <row r="11" spans="1:13" ht="15" customHeight="1" x14ac:dyDescent="0.15">
      <c r="A11" s="51" t="s">
        <v>94</v>
      </c>
      <c r="B11" s="47"/>
      <c r="M11" s="48"/>
    </row>
    <row r="12" spans="1:13" ht="15" customHeight="1" x14ac:dyDescent="0.15">
      <c r="A12" s="52" t="s">
        <v>95</v>
      </c>
      <c r="B12" s="55"/>
      <c r="C12" s="54"/>
      <c r="D12" s="54"/>
      <c r="E12" s="54"/>
      <c r="F12" s="54"/>
      <c r="G12" s="54"/>
      <c r="H12" s="54"/>
      <c r="I12" s="54"/>
      <c r="J12" s="54"/>
      <c r="K12" s="54"/>
      <c r="L12" s="54"/>
      <c r="M12" s="56"/>
    </row>
    <row r="13" spans="1:13" ht="15" customHeight="1" x14ac:dyDescent="0.15">
      <c r="A13" s="19"/>
      <c r="B13" s="47"/>
      <c r="M13" s="48"/>
    </row>
    <row r="14" spans="1:13" ht="15" customHeight="1" x14ac:dyDescent="0.15">
      <c r="A14" s="57" t="s">
        <v>96</v>
      </c>
      <c r="B14" s="58">
        <f t="shared" ref="B14:M14" ca="1" si="0">MEDIAN(_xlfn.ANCHORARRAY(B20))</f>
        <v>636.44349999999997</v>
      </c>
      <c r="C14" s="73">
        <f t="shared" ca="1" si="0"/>
        <v>420.42750000000001</v>
      </c>
      <c r="D14" s="73">
        <f t="shared" ca="1" si="0"/>
        <v>511.23950000000002</v>
      </c>
      <c r="E14" s="73">
        <f t="shared" ca="1" si="0"/>
        <v>362.09800000000001</v>
      </c>
      <c r="F14" s="73">
        <f t="shared" ca="1" si="0"/>
        <v>157.93049999999999</v>
      </c>
      <c r="G14" s="73">
        <f t="shared" ca="1" si="0"/>
        <v>108.8725</v>
      </c>
      <c r="H14" s="73">
        <f t="shared" ca="1" si="0"/>
        <v>636.44349999999997</v>
      </c>
      <c r="I14" s="73">
        <f t="shared" ca="1" si="0"/>
        <v>420.42750000000001</v>
      </c>
      <c r="J14" s="73">
        <f t="shared" ca="1" si="0"/>
        <v>511.23950000000002</v>
      </c>
      <c r="K14" s="73">
        <f t="shared" ca="1" si="0"/>
        <v>362.09800000000001</v>
      </c>
      <c r="L14" s="73">
        <f t="shared" ca="1" si="0"/>
        <v>157.93049999999999</v>
      </c>
      <c r="M14" s="74">
        <f t="shared" ca="1" si="0"/>
        <v>108.8725</v>
      </c>
    </row>
    <row r="15" spans="1:13" ht="15" customHeight="1" x14ac:dyDescent="0.15">
      <c r="A15" s="57" t="s">
        <v>97</v>
      </c>
      <c r="B15" s="62">
        <f t="shared" ref="B15:M15" ca="1" si="1">ROUND(B16/B14,2)</f>
        <v>0.27</v>
      </c>
      <c r="C15" s="75">
        <f t="shared" ca="1" si="1"/>
        <v>0.33</v>
      </c>
      <c r="D15" s="75">
        <f t="shared" ca="1" si="1"/>
        <v>0.26</v>
      </c>
      <c r="E15" s="75">
        <f t="shared" ca="1" si="1"/>
        <v>0.42</v>
      </c>
      <c r="F15" s="75">
        <f t="shared" ca="1" si="1"/>
        <v>1.08</v>
      </c>
      <c r="G15" s="75">
        <f t="shared" ca="1" si="1"/>
        <v>0.74</v>
      </c>
      <c r="H15" s="75">
        <f t="shared" ca="1" si="1"/>
        <v>0.27</v>
      </c>
      <c r="I15" s="75">
        <f t="shared" ca="1" si="1"/>
        <v>0.33</v>
      </c>
      <c r="J15" s="75">
        <f t="shared" ca="1" si="1"/>
        <v>0.26</v>
      </c>
      <c r="K15" s="75">
        <f t="shared" ca="1" si="1"/>
        <v>0.42</v>
      </c>
      <c r="L15" s="75">
        <f t="shared" ca="1" si="1"/>
        <v>1.08</v>
      </c>
      <c r="M15" s="76">
        <f t="shared" ca="1" si="1"/>
        <v>0.74</v>
      </c>
    </row>
    <row r="16" spans="1:13" ht="15" customHeight="1" x14ac:dyDescent="0.15">
      <c r="A16" s="57" t="s">
        <v>98</v>
      </c>
      <c r="B16" s="58">
        <f t="shared" ref="B16:M16" ca="1" si="2">(B18-B17)/2</f>
        <v>171.71999999999997</v>
      </c>
      <c r="C16" s="73">
        <f t="shared" ca="1" si="2"/>
        <v>138.01999999999998</v>
      </c>
      <c r="D16" s="73">
        <f t="shared" ca="1" si="2"/>
        <v>135.00500000000002</v>
      </c>
      <c r="E16" s="73">
        <f t="shared" ca="1" si="2"/>
        <v>153.10999999999999</v>
      </c>
      <c r="F16" s="73">
        <f t="shared" ca="1" si="2"/>
        <v>170.095</v>
      </c>
      <c r="G16" s="73">
        <f t="shared" ca="1" si="2"/>
        <v>81.02000000000001</v>
      </c>
      <c r="H16" s="73">
        <f t="shared" ca="1" si="2"/>
        <v>171.71999999999997</v>
      </c>
      <c r="I16" s="73">
        <f t="shared" ca="1" si="2"/>
        <v>138.01999999999998</v>
      </c>
      <c r="J16" s="73">
        <f t="shared" ca="1" si="2"/>
        <v>135.00500000000002</v>
      </c>
      <c r="K16" s="73">
        <f t="shared" ca="1" si="2"/>
        <v>153.10999999999999</v>
      </c>
      <c r="L16" s="73">
        <f t="shared" ca="1" si="2"/>
        <v>170.095</v>
      </c>
      <c r="M16" s="74">
        <f t="shared" ca="1" si="2"/>
        <v>81.02000000000001</v>
      </c>
    </row>
    <row r="17" spans="1:13" ht="15" customHeight="1" x14ac:dyDescent="0.15">
      <c r="A17" s="57" t="s">
        <v>99</v>
      </c>
      <c r="B17" s="58">
        <f t="shared" ref="B17:M17" ca="1" si="3">ROUND(PERCENTILE(_xlfn.ANCHORARRAY(B20),ci_alpha/2),2)</f>
        <v>503.1</v>
      </c>
      <c r="C17" s="73">
        <f t="shared" ca="1" si="3"/>
        <v>373.61</v>
      </c>
      <c r="D17" s="73">
        <f t="shared" ca="1" si="3"/>
        <v>345.43</v>
      </c>
      <c r="E17" s="73">
        <f t="shared" ca="1" si="3"/>
        <v>255.56</v>
      </c>
      <c r="F17" s="73">
        <f t="shared" ca="1" si="3"/>
        <v>-33.65</v>
      </c>
      <c r="G17" s="73">
        <f t="shared" ca="1" si="3"/>
        <v>25.08</v>
      </c>
      <c r="H17" s="73">
        <f t="shared" ca="1" si="3"/>
        <v>503.1</v>
      </c>
      <c r="I17" s="73">
        <f t="shared" ca="1" si="3"/>
        <v>373.61</v>
      </c>
      <c r="J17" s="73">
        <f t="shared" ca="1" si="3"/>
        <v>345.43</v>
      </c>
      <c r="K17" s="73">
        <f t="shared" ca="1" si="3"/>
        <v>255.56</v>
      </c>
      <c r="L17" s="73">
        <f t="shared" ca="1" si="3"/>
        <v>-33.65</v>
      </c>
      <c r="M17" s="74">
        <f t="shared" ca="1" si="3"/>
        <v>25.08</v>
      </c>
    </row>
    <row r="18" spans="1:13" ht="15" customHeight="1" x14ac:dyDescent="0.15">
      <c r="A18" s="57" t="s">
        <v>100</v>
      </c>
      <c r="B18" s="58">
        <f t="shared" ref="B18:M18" ca="1" si="4">ROUND(PERCENTILE(_xlfn.ANCHORARRAY(B20), 1 - ci_alpha / 2), 2)</f>
        <v>846.54</v>
      </c>
      <c r="C18" s="73">
        <f t="shared" ca="1" si="4"/>
        <v>649.65</v>
      </c>
      <c r="D18" s="73">
        <f t="shared" ca="1" si="4"/>
        <v>615.44000000000005</v>
      </c>
      <c r="E18" s="73">
        <f t="shared" ca="1" si="4"/>
        <v>561.78</v>
      </c>
      <c r="F18" s="73">
        <f t="shared" ca="1" si="4"/>
        <v>306.54000000000002</v>
      </c>
      <c r="G18" s="73">
        <f t="shared" ca="1" si="4"/>
        <v>187.12</v>
      </c>
      <c r="H18" s="73">
        <f t="shared" ca="1" si="4"/>
        <v>846.54</v>
      </c>
      <c r="I18" s="73">
        <f t="shared" ca="1" si="4"/>
        <v>649.65</v>
      </c>
      <c r="J18" s="73">
        <f t="shared" ca="1" si="4"/>
        <v>615.44000000000005</v>
      </c>
      <c r="K18" s="73">
        <f t="shared" ca="1" si="4"/>
        <v>561.78</v>
      </c>
      <c r="L18" s="73">
        <f t="shared" ca="1" si="4"/>
        <v>306.54000000000002</v>
      </c>
      <c r="M18" s="74">
        <f t="shared" ca="1" si="4"/>
        <v>187.12</v>
      </c>
    </row>
    <row r="19" spans="1:13" ht="15" customHeight="1" x14ac:dyDescent="0.15">
      <c r="A19" s="52"/>
      <c r="B19" s="69">
        <f ca="1">ROUND((SIMS_EF_preparation!L20 - SIMS_EF_preparation!P20) * 44 / 12, 3)</f>
        <v>659.17100000000005</v>
      </c>
      <c r="C19" s="127">
        <f ca="1">ROUND((SIMS_EF_preparation!M20 - SIMS_EF_preparation!P20) * 44 / 12, 3)</f>
        <v>413.81299999999999</v>
      </c>
      <c r="D19" s="54"/>
      <c r="E19" s="54"/>
      <c r="F19" s="54"/>
      <c r="G19" s="54"/>
      <c r="H19" s="54"/>
      <c r="I19" s="54"/>
      <c r="J19" s="54"/>
      <c r="K19" s="54"/>
      <c r="L19" s="54"/>
      <c r="M19" s="56"/>
    </row>
    <row r="20" spans="1:13" ht="15" customHeight="1" x14ac:dyDescent="0.15">
      <c r="A20" s="71" cm="1">
        <f t="array" ref="A20:A29">_xlfn.SEQUENCE(n_iter, 1, 1, 1)</f>
        <v>1</v>
      </c>
      <c r="B20" s="72" cm="1">
        <f t="array" aca="1" ref="B20:B29" ca="1">ROUND((_xlfn.XLOOKUP(B$4, SIMS_EF_preparation!$L$4:$P$4,_xlfn.ANCHORARRAY( SIMS_EF_preparation!$L20):_xlfn.ANCHORARRAY(SIMS_EF_preparation!$P20),0) - _xlfn.XLOOKUP(B$5, SIMS_EF_preparation!$L$4:$P$4,_xlfn.ANCHORARRAY( SIMS_EF_preparation!$L20):_xlfn.ANCHORARRAY(SIMS_EF_preparation!$P20),0)) * 44/12, 3)</f>
        <v>659.17100000000005</v>
      </c>
      <c r="C20" s="72" cm="1">
        <f t="array" aca="1" ref="C20:C29" ca="1">ROUND((_xlfn.XLOOKUP(C$4, SIMS_EF_preparation!$L$4:$P$4,_xlfn.ANCHORARRAY( SIMS_EF_preparation!$L20):_xlfn.ANCHORARRAY(SIMS_EF_preparation!$P20),0) - _xlfn.XLOOKUP(C$5, SIMS_EF_preparation!$L$4:$P$4,_xlfn.ANCHORARRAY( SIMS_EF_preparation!$L20):_xlfn.ANCHORARRAY(SIMS_EF_preparation!$P20),0)) * 44/12, 3)</f>
        <v>413.81299999999999</v>
      </c>
      <c r="D20" s="72" cm="1">
        <f t="array" aca="1" ref="D20:D29" ca="1">ROUND((_xlfn.XLOOKUP(D$4, SIMS_EF_preparation!$L$4:$P$4,_xlfn.ANCHORARRAY( SIMS_EF_preparation!$L20):_xlfn.ANCHORARRAY(SIMS_EF_preparation!$P20),0) - _xlfn.XLOOKUP(D$5, SIMS_EF_preparation!$L$4:$P$4,_xlfn.ANCHORARRAY( SIMS_EF_preparation!$L20):_xlfn.ANCHORARRAY(SIMS_EF_preparation!$P20),0)) * 44/12, 3)</f>
        <v>485.15100000000001</v>
      </c>
      <c r="E20" s="72" cm="1">
        <f t="array" aca="1" ref="E20:E29" ca="1">ROUND((_xlfn.XLOOKUP(E$4, SIMS_EF_preparation!$L$4:$P$4,_xlfn.ANCHORARRAY( SIMS_EF_preparation!$L20):_xlfn.ANCHORARRAY(SIMS_EF_preparation!$P20),0) - _xlfn.XLOOKUP(E$5, SIMS_EF_preparation!$L$4:$P$4,_xlfn.ANCHORARRAY( SIMS_EF_preparation!$L20):_xlfn.ANCHORARRAY(SIMS_EF_preparation!$P20),0)) * 44/12, 3)</f>
        <v>288.42700000000002</v>
      </c>
      <c r="F20" s="72" cm="1">
        <f t="array" aca="1" ref="F20:F29" ca="1">ROUND((_xlfn.XLOOKUP(F$4, SIMS_EF_preparation!$L$4:$P$4,_xlfn.ANCHORARRAY( SIMS_EF_preparation!$L20):_xlfn.ANCHORARRAY(SIMS_EF_preparation!$P20),0) - _xlfn.XLOOKUP(F$5, SIMS_EF_preparation!$L$4:$P$4,_xlfn.ANCHORARRAY( SIMS_EF_preparation!$L20):_xlfn.ANCHORARRAY(SIMS_EF_preparation!$P20),0)) * 44/12, 3)</f>
        <v>174.02</v>
      </c>
      <c r="G20" s="72" cm="1">
        <f t="array" aca="1" ref="G20:G29" ca="1">ROUND((_xlfn.XLOOKUP(G$4, SIMS_EF_preparation!$L$4:$P$4,_xlfn.ANCHORARRAY( SIMS_EF_preparation!$L20):_xlfn.ANCHORARRAY(SIMS_EF_preparation!$P20),0) - _xlfn.XLOOKUP(G$5, SIMS_EF_preparation!$L$4:$P$4,_xlfn.ANCHORARRAY( SIMS_EF_preparation!$L20):_xlfn.ANCHORARRAY(SIMS_EF_preparation!$P20),0)) * 44/12, 3)</f>
        <v>125.38500000000001</v>
      </c>
      <c r="H20" s="72" cm="1">
        <f t="array" aca="1" ref="H20:H29" ca="1">ROUND((_xlfn.XLOOKUP(H$4, SIMS_EF_preparation!$L$4:$P$4,_xlfn.ANCHORARRAY( SIMS_EF_preparation!$L20):_xlfn.ANCHORARRAY(SIMS_EF_preparation!$P20),0) - _xlfn.XLOOKUP(H$5, SIMS_EF_preparation!$L$4:$P$4,_xlfn.ANCHORARRAY( SIMS_EF_preparation!$L20):_xlfn.ANCHORARRAY(SIMS_EF_preparation!$P20),0)) * 44/12, 3)</f>
        <v>659.17100000000005</v>
      </c>
      <c r="I20" s="72" cm="1">
        <f t="array" aca="1" ref="I20:I29" ca="1">ROUND((_xlfn.XLOOKUP(I$4, SIMS_EF_preparation!$L$4:$P$4,_xlfn.ANCHORARRAY( SIMS_EF_preparation!$L20):_xlfn.ANCHORARRAY(SIMS_EF_preparation!$P20),0) - _xlfn.XLOOKUP(I$5, SIMS_EF_preparation!$L$4:$P$4,_xlfn.ANCHORARRAY( SIMS_EF_preparation!$L20):_xlfn.ANCHORARRAY(SIMS_EF_preparation!$P20),0)) * 44/12, 3)</f>
        <v>413.81299999999999</v>
      </c>
      <c r="J20" s="72" cm="1">
        <f t="array" aca="1" ref="J20:J29" ca="1">ROUND((_xlfn.XLOOKUP(J$4, SIMS_EF_preparation!$L$4:$P$4,_xlfn.ANCHORARRAY( SIMS_EF_preparation!$L20):_xlfn.ANCHORARRAY(SIMS_EF_preparation!$P20),0) - _xlfn.XLOOKUP(J$5, SIMS_EF_preparation!$L$4:$P$4,_xlfn.ANCHORARRAY( SIMS_EF_preparation!$L20):_xlfn.ANCHORARRAY(SIMS_EF_preparation!$P20),0)) * 44/12, 3)</f>
        <v>485.15100000000001</v>
      </c>
      <c r="K20" s="72" cm="1">
        <f t="array" aca="1" ref="K20:K29" ca="1">ROUND((_xlfn.XLOOKUP(K$4, SIMS_EF_preparation!$L$4:$P$4,_xlfn.ANCHORARRAY( SIMS_EF_preparation!$L20):_xlfn.ANCHORARRAY(SIMS_EF_preparation!$P20),0) - _xlfn.XLOOKUP(K$5, SIMS_EF_preparation!$L$4:$P$4,_xlfn.ANCHORARRAY( SIMS_EF_preparation!$L20):_xlfn.ANCHORARRAY(SIMS_EF_preparation!$P20),0)) * 44/12, 3)</f>
        <v>288.42700000000002</v>
      </c>
      <c r="L20" s="72" cm="1">
        <f t="array" aca="1" ref="L20:L29" ca="1">ROUND((_xlfn.XLOOKUP(L$4, SIMS_EF_preparation!$L$4:$P$4,_xlfn.ANCHORARRAY( SIMS_EF_preparation!$L20):_xlfn.ANCHORARRAY(SIMS_EF_preparation!$P20),0) - _xlfn.XLOOKUP(L$5, SIMS_EF_preparation!$L$4:$P$4,_xlfn.ANCHORARRAY( SIMS_EF_preparation!$L20):_xlfn.ANCHORARRAY(SIMS_EF_preparation!$P20),0)) * 44/12, 3)</f>
        <v>174.02</v>
      </c>
      <c r="M20" s="72" cm="1">
        <f t="array" aca="1" ref="M20:M29" ca="1">ROUND((_xlfn.XLOOKUP(M$4, SIMS_EF_preparation!$L$4:$P$4,_xlfn.ANCHORARRAY( SIMS_EF_preparation!$L20):_xlfn.ANCHORARRAY(SIMS_EF_preparation!$P20),0) - _xlfn.XLOOKUP(M$5, SIMS_EF_preparation!$L$4:$P$4,_xlfn.ANCHORARRAY( SIMS_EF_preparation!$L20):_xlfn.ANCHORARRAY(SIMS_EF_preparation!$P20),0)) * 44/12, 3)</f>
        <v>125.38500000000001</v>
      </c>
    </row>
    <row r="21" spans="1:13" ht="15" customHeight="1" x14ac:dyDescent="0.15">
      <c r="A21">
        <v>2</v>
      </c>
      <c r="B21">
        <f ca="1"/>
        <v>899.42200000000003</v>
      </c>
      <c r="C21">
        <f ca="1"/>
        <v>608.85</v>
      </c>
      <c r="D21">
        <f ca="1"/>
        <v>554.04399999999998</v>
      </c>
      <c r="E21">
        <f ca="1"/>
        <v>496.214</v>
      </c>
      <c r="F21">
        <f ca="1"/>
        <v>345.37799999999999</v>
      </c>
      <c r="G21">
        <f ca="1"/>
        <v>112.636</v>
      </c>
      <c r="H21">
        <f ca="1"/>
        <v>899.42200000000003</v>
      </c>
      <c r="I21">
        <f ca="1"/>
        <v>608.85</v>
      </c>
      <c r="J21">
        <f ca="1"/>
        <v>554.04399999999998</v>
      </c>
      <c r="K21">
        <f ca="1"/>
        <v>496.214</v>
      </c>
      <c r="L21">
        <f ca="1"/>
        <v>345.37799999999999</v>
      </c>
      <c r="M21">
        <f ca="1"/>
        <v>112.636</v>
      </c>
    </row>
    <row r="22" spans="1:13" ht="15" customHeight="1" x14ac:dyDescent="0.15">
      <c r="A22">
        <v>3</v>
      </c>
      <c r="B22">
        <f ca="1"/>
        <v>536.25400000000002</v>
      </c>
      <c r="C22">
        <f ca="1"/>
        <v>384.91899999999998</v>
      </c>
      <c r="D22">
        <f ca="1"/>
        <v>537.32799999999997</v>
      </c>
      <c r="E22">
        <f ca="1"/>
        <v>360.28300000000002</v>
      </c>
      <c r="F22">
        <f ca="1"/>
        <v>-1.0740000000000001</v>
      </c>
      <c r="G22">
        <f ca="1"/>
        <v>24.635999999999999</v>
      </c>
      <c r="H22">
        <f ca="1"/>
        <v>536.25400000000002</v>
      </c>
      <c r="I22">
        <f ca="1"/>
        <v>384.91899999999998</v>
      </c>
      <c r="J22">
        <f ca="1"/>
        <v>537.32799999999997</v>
      </c>
      <c r="K22">
        <f ca="1"/>
        <v>360.28300000000002</v>
      </c>
      <c r="L22">
        <f ca="1"/>
        <v>-1.0740000000000001</v>
      </c>
      <c r="M22">
        <f ca="1"/>
        <v>24.635999999999999</v>
      </c>
    </row>
    <row r="23" spans="1:13" ht="15" customHeight="1" x14ac:dyDescent="0.15">
      <c r="A23">
        <v>4</v>
      </c>
      <c r="B23">
        <f ca="1"/>
        <v>664.13199999999995</v>
      </c>
      <c r="C23">
        <f ca="1"/>
        <v>579.48</v>
      </c>
      <c r="D23">
        <f ca="1"/>
        <v>579.78800000000001</v>
      </c>
      <c r="E23">
        <f ca="1"/>
        <v>363.91300000000001</v>
      </c>
      <c r="F23">
        <f ca="1"/>
        <v>84.343999999999994</v>
      </c>
      <c r="G23">
        <f ca="1"/>
        <v>215.56700000000001</v>
      </c>
      <c r="H23">
        <f ca="1"/>
        <v>664.13199999999995</v>
      </c>
      <c r="I23">
        <f ca="1"/>
        <v>579.48</v>
      </c>
      <c r="J23">
        <f ca="1"/>
        <v>579.78800000000001</v>
      </c>
      <c r="K23">
        <f ca="1"/>
        <v>363.91300000000001</v>
      </c>
      <c r="L23">
        <f ca="1"/>
        <v>84.343999999999994</v>
      </c>
      <c r="M23">
        <f ca="1"/>
        <v>215.56700000000001</v>
      </c>
    </row>
    <row r="24" spans="1:13" ht="15" customHeight="1" x14ac:dyDescent="0.15">
      <c r="A24">
        <v>5</v>
      </c>
      <c r="B24">
        <f ca="1"/>
        <v>781.91300000000001</v>
      </c>
      <c r="C24">
        <f ca="1"/>
        <v>368.22500000000002</v>
      </c>
      <c r="D24">
        <f ca="1"/>
        <v>591.90599999999995</v>
      </c>
      <c r="E24">
        <f ca="1"/>
        <v>228.66800000000001</v>
      </c>
      <c r="F24">
        <f ca="1"/>
        <v>190.00700000000001</v>
      </c>
      <c r="G24">
        <f ca="1"/>
        <v>139.55699999999999</v>
      </c>
      <c r="H24">
        <f ca="1"/>
        <v>781.91300000000001</v>
      </c>
      <c r="I24">
        <f ca="1"/>
        <v>368.22500000000002</v>
      </c>
      <c r="J24">
        <f ca="1"/>
        <v>591.90599999999995</v>
      </c>
      <c r="K24">
        <f ca="1"/>
        <v>228.66800000000001</v>
      </c>
      <c r="L24">
        <f ca="1"/>
        <v>190.00700000000001</v>
      </c>
      <c r="M24">
        <f ca="1"/>
        <v>139.55699999999999</v>
      </c>
    </row>
    <row r="25" spans="1:13" ht="15" customHeight="1" x14ac:dyDescent="0.15">
      <c r="A25">
        <v>6</v>
      </c>
      <c r="B25">
        <f ca="1"/>
        <v>618.32799999999997</v>
      </c>
      <c r="C25">
        <f ca="1"/>
        <v>427.04199999999997</v>
      </c>
      <c r="D25">
        <f ca="1"/>
        <v>359.24900000000002</v>
      </c>
      <c r="E25">
        <f ca="1"/>
        <v>401.41899999999998</v>
      </c>
      <c r="F25">
        <f ca="1"/>
        <v>259.07900000000001</v>
      </c>
      <c r="G25">
        <f ca="1"/>
        <v>25.623000000000001</v>
      </c>
      <c r="H25">
        <f ca="1"/>
        <v>618.32799999999997</v>
      </c>
      <c r="I25">
        <f ca="1"/>
        <v>427.04199999999997</v>
      </c>
      <c r="J25">
        <f ca="1"/>
        <v>359.24900000000002</v>
      </c>
      <c r="K25">
        <f ca="1"/>
        <v>401.41899999999998</v>
      </c>
      <c r="L25">
        <f ca="1"/>
        <v>259.07900000000001</v>
      </c>
      <c r="M25">
        <f ca="1"/>
        <v>25.623000000000001</v>
      </c>
    </row>
    <row r="26" spans="1:13" ht="15" customHeight="1" x14ac:dyDescent="0.15">
      <c r="A26">
        <v>7</v>
      </c>
      <c r="B26">
        <f ca="1"/>
        <v>574.38300000000004</v>
      </c>
      <c r="C26">
        <f ca="1"/>
        <v>683.03800000000001</v>
      </c>
      <c r="D26">
        <f ca="1"/>
        <v>634.69299999999998</v>
      </c>
      <c r="E26">
        <f ca="1"/>
        <v>615.41700000000003</v>
      </c>
      <c r="F26">
        <f ca="1"/>
        <v>-60.308999999999997</v>
      </c>
      <c r="G26">
        <f ca="1"/>
        <v>67.620999999999995</v>
      </c>
      <c r="H26">
        <f ca="1"/>
        <v>574.38300000000004</v>
      </c>
      <c r="I26">
        <f ca="1"/>
        <v>683.03800000000001</v>
      </c>
      <c r="J26">
        <f ca="1"/>
        <v>634.69299999999998</v>
      </c>
      <c r="K26">
        <f ca="1"/>
        <v>615.41700000000003</v>
      </c>
      <c r="L26">
        <f ca="1"/>
        <v>-60.308999999999997</v>
      </c>
      <c r="M26">
        <f ca="1"/>
        <v>67.620999999999995</v>
      </c>
    </row>
    <row r="27" spans="1:13" ht="15" customHeight="1" x14ac:dyDescent="0.15">
      <c r="A27">
        <v>8</v>
      </c>
      <c r="B27">
        <f ca="1"/>
        <v>654.55899999999997</v>
      </c>
      <c r="C27">
        <f ca="1"/>
        <v>607.01300000000003</v>
      </c>
      <c r="D27">
        <f ca="1"/>
        <v>418.91699999999997</v>
      </c>
      <c r="E27">
        <f ca="1"/>
        <v>454.65199999999999</v>
      </c>
      <c r="F27">
        <f ca="1"/>
        <v>235.642</v>
      </c>
      <c r="G27">
        <f ca="1"/>
        <v>152.36099999999999</v>
      </c>
      <c r="H27">
        <f ca="1"/>
        <v>654.55899999999997</v>
      </c>
      <c r="I27">
        <f ca="1"/>
        <v>607.01300000000003</v>
      </c>
      <c r="J27">
        <f ca="1"/>
        <v>418.91699999999997</v>
      </c>
      <c r="K27">
        <f ca="1"/>
        <v>454.65199999999999</v>
      </c>
      <c r="L27">
        <f ca="1"/>
        <v>235.642</v>
      </c>
      <c r="M27">
        <f ca="1"/>
        <v>152.36099999999999</v>
      </c>
    </row>
    <row r="28" spans="1:13" ht="15" customHeight="1" x14ac:dyDescent="0.15">
      <c r="A28">
        <v>9</v>
      </c>
      <c r="B28">
        <f ca="1"/>
        <v>475.97399999999999</v>
      </c>
      <c r="C28">
        <f ca="1"/>
        <v>380.19299999999998</v>
      </c>
      <c r="D28">
        <f ca="1"/>
        <v>334.13200000000001</v>
      </c>
      <c r="E28">
        <f ca="1"/>
        <v>353.58</v>
      </c>
      <c r="F28">
        <f ca="1"/>
        <v>141.84100000000001</v>
      </c>
      <c r="G28">
        <f ca="1"/>
        <v>26.613</v>
      </c>
      <c r="H28">
        <f ca="1"/>
        <v>475.97399999999999</v>
      </c>
      <c r="I28">
        <f ca="1"/>
        <v>380.19299999999998</v>
      </c>
      <c r="J28">
        <f ca="1"/>
        <v>334.13200000000001</v>
      </c>
      <c r="K28">
        <f ca="1"/>
        <v>353.58</v>
      </c>
      <c r="L28">
        <f ca="1"/>
        <v>141.84100000000001</v>
      </c>
      <c r="M28">
        <f ca="1"/>
        <v>26.613</v>
      </c>
    </row>
    <row r="29" spans="1:13" ht="15" customHeight="1" x14ac:dyDescent="0.15">
      <c r="A29">
        <v>10</v>
      </c>
      <c r="B29">
        <f ca="1"/>
        <v>600.99599999999998</v>
      </c>
      <c r="C29">
        <f ca="1"/>
        <v>399.65600000000001</v>
      </c>
      <c r="D29">
        <f ca="1"/>
        <v>477.19099999999997</v>
      </c>
      <c r="E29">
        <f ca="1"/>
        <v>294.54700000000003</v>
      </c>
      <c r="F29">
        <f ca="1"/>
        <v>123.80500000000001</v>
      </c>
      <c r="G29">
        <f ca="1"/>
        <v>105.10899999999999</v>
      </c>
      <c r="H29">
        <f ca="1"/>
        <v>600.99599999999998</v>
      </c>
      <c r="I29">
        <f ca="1"/>
        <v>399.65600000000001</v>
      </c>
      <c r="J29">
        <f ca="1"/>
        <v>477.19099999999997</v>
      </c>
      <c r="K29">
        <f ca="1"/>
        <v>294.54700000000003</v>
      </c>
      <c r="L29">
        <f ca="1"/>
        <v>123.80500000000001</v>
      </c>
      <c r="M29">
        <f ca="1"/>
        <v>105.10899999999999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00FF00"/>
    <outlinePr summaryBelow="0" summaryRight="0"/>
  </sheetPr>
  <dimension ref="A2:M29"/>
  <sheetViews>
    <sheetView workbookViewId="0">
      <selection activeCell="J46" sqref="J46"/>
    </sheetView>
  </sheetViews>
  <sheetFormatPr baseColWidth="10" defaultColWidth="12.6640625" defaultRowHeight="15" customHeight="1" x14ac:dyDescent="0.15"/>
  <sheetData>
    <row r="2" spans="1:13" ht="15" customHeight="1" x14ac:dyDescent="0.15">
      <c r="A2" s="19" t="s">
        <v>80</v>
      </c>
      <c r="B2" s="77" t="str">
        <f t="array" ref="B2:M11">TRANSPOSE(AD_lu_transitions!C2:L13)</f>
        <v>T1</v>
      </c>
      <c r="C2" s="22" t="str">
        <v>T1</v>
      </c>
      <c r="D2" s="22" t="str">
        <v>T1</v>
      </c>
      <c r="E2" s="22" t="str">
        <v>T1</v>
      </c>
      <c r="F2" s="22" t="str">
        <v>T1</v>
      </c>
      <c r="G2" s="22" t="str">
        <v>T1</v>
      </c>
      <c r="H2" s="22" t="str">
        <v>T2</v>
      </c>
      <c r="I2" s="22" t="str">
        <v>T2</v>
      </c>
      <c r="J2" s="22" t="str">
        <v>T2</v>
      </c>
      <c r="K2" s="22" t="str">
        <v>T2</v>
      </c>
      <c r="L2" s="22" t="str">
        <v>T2</v>
      </c>
      <c r="M2" s="78" t="str">
        <v>T2</v>
      </c>
    </row>
    <row r="3" spans="1:13" ht="15" customHeight="1" x14ac:dyDescent="0.15">
      <c r="A3" s="25" t="s">
        <v>81</v>
      </c>
      <c r="B3" s="79">
        <v>0</v>
      </c>
      <c r="C3" s="34">
        <v>0</v>
      </c>
      <c r="D3" s="34">
        <v>0</v>
      </c>
      <c r="E3" s="34">
        <v>0</v>
      </c>
      <c r="F3" s="34">
        <v>0</v>
      </c>
      <c r="G3" s="34">
        <v>0</v>
      </c>
      <c r="H3" s="34">
        <v>0</v>
      </c>
      <c r="I3" s="34">
        <v>0</v>
      </c>
      <c r="J3" s="34">
        <v>0</v>
      </c>
      <c r="K3" s="34">
        <v>0</v>
      </c>
      <c r="L3" s="34">
        <v>0</v>
      </c>
      <c r="M3" s="80">
        <v>0</v>
      </c>
    </row>
    <row r="4" spans="1:13" ht="15" customHeight="1" x14ac:dyDescent="0.15">
      <c r="A4" s="32" t="s">
        <v>86</v>
      </c>
      <c r="B4" s="79" t="str">
        <v>EV</v>
      </c>
      <c r="C4" s="34" t="str">
        <v>M</v>
      </c>
      <c r="D4" s="34" t="str">
        <v>EV_deg</v>
      </c>
      <c r="E4" s="34" t="str">
        <v>M_deg</v>
      </c>
      <c r="F4" s="34" t="str">
        <v>EV</v>
      </c>
      <c r="G4" s="34" t="str">
        <v>M</v>
      </c>
      <c r="H4" s="34" t="str">
        <v>EV</v>
      </c>
      <c r="I4" s="34" t="str">
        <v>M</v>
      </c>
      <c r="J4" s="34" t="str">
        <v>EV_deg</v>
      </c>
      <c r="K4" s="34" t="str">
        <v>M_deg</v>
      </c>
      <c r="L4" s="34" t="str">
        <v>EV</v>
      </c>
      <c r="M4" s="80" t="str">
        <v>M</v>
      </c>
    </row>
    <row r="5" spans="1:13" ht="15" customHeight="1" x14ac:dyDescent="0.15">
      <c r="A5" s="32" t="s">
        <v>87</v>
      </c>
      <c r="B5" s="79" t="str">
        <v>Crop</v>
      </c>
      <c r="C5" s="34" t="str">
        <v>Crop</v>
      </c>
      <c r="D5" s="34" t="str">
        <v>Crop</v>
      </c>
      <c r="E5" s="34" t="str">
        <v>Crop</v>
      </c>
      <c r="F5" s="34" t="str">
        <v>EV_deg</v>
      </c>
      <c r="G5" s="34" t="str">
        <v>M_deg</v>
      </c>
      <c r="H5" s="34" t="str">
        <v>Crop</v>
      </c>
      <c r="I5" s="34" t="str">
        <v>Crop</v>
      </c>
      <c r="J5" s="34" t="str">
        <v>Crop</v>
      </c>
      <c r="K5" s="34" t="str">
        <v>Crop</v>
      </c>
      <c r="L5" s="34" t="str">
        <v>EV_deg</v>
      </c>
      <c r="M5" s="80" t="str">
        <v>M_deg</v>
      </c>
    </row>
    <row r="6" spans="1:13" ht="15" customHeight="1" x14ac:dyDescent="0.15">
      <c r="A6" s="41" t="s">
        <v>88</v>
      </c>
      <c r="B6" s="81">
        <v>22455</v>
      </c>
      <c r="C6" s="82">
        <v>11327</v>
      </c>
      <c r="D6" s="82">
        <v>55074</v>
      </c>
      <c r="E6" s="82">
        <v>16734</v>
      </c>
      <c r="F6" s="82">
        <v>316681</v>
      </c>
      <c r="G6" s="82">
        <v>22954</v>
      </c>
      <c r="H6" s="82">
        <v>2055</v>
      </c>
      <c r="I6" s="82">
        <v>2107</v>
      </c>
      <c r="J6" s="82">
        <v>6029</v>
      </c>
      <c r="K6" s="82">
        <v>6195</v>
      </c>
      <c r="L6" s="82">
        <v>44939</v>
      </c>
      <c r="M6" s="83">
        <v>5633</v>
      </c>
    </row>
    <row r="7" spans="1:13" ht="15" customHeight="1" x14ac:dyDescent="0.15">
      <c r="A7" s="41" t="s">
        <v>89</v>
      </c>
      <c r="B7" s="79">
        <v>7513</v>
      </c>
      <c r="C7" s="34">
        <v>3429</v>
      </c>
      <c r="D7" s="34">
        <v>16234</v>
      </c>
      <c r="E7" s="34">
        <v>4038</v>
      </c>
      <c r="F7" s="34">
        <v>27632</v>
      </c>
      <c r="G7" s="34">
        <v>2213</v>
      </c>
      <c r="H7" s="34">
        <v>512</v>
      </c>
      <c r="I7" s="34">
        <v>525</v>
      </c>
      <c r="J7" s="34">
        <v>1578</v>
      </c>
      <c r="K7" s="34">
        <v>1467</v>
      </c>
      <c r="L7" s="34">
        <v>3690</v>
      </c>
      <c r="M7" s="80">
        <v>511</v>
      </c>
    </row>
    <row r="8" spans="1:13" ht="15" customHeight="1" x14ac:dyDescent="0.15">
      <c r="A8" s="41" t="s">
        <v>90</v>
      </c>
      <c r="B8" s="79" t="str">
        <v>normal</v>
      </c>
      <c r="C8" s="34" t="str">
        <v>normal</v>
      </c>
      <c r="D8" s="34" t="str">
        <v>normal</v>
      </c>
      <c r="E8" s="34" t="str">
        <v>normal</v>
      </c>
      <c r="F8" s="34" t="str">
        <v>normal</v>
      </c>
      <c r="G8" s="34" t="str">
        <v>normal</v>
      </c>
      <c r="H8" s="34" t="str">
        <v>normal</v>
      </c>
      <c r="I8" s="34" t="str">
        <v>normal</v>
      </c>
      <c r="J8" s="34" t="str">
        <v>normal</v>
      </c>
      <c r="K8" s="34" t="str">
        <v>normal</v>
      </c>
      <c r="L8" s="34" t="str">
        <v>normal</v>
      </c>
      <c r="M8" s="80" t="str">
        <v>normal</v>
      </c>
    </row>
    <row r="9" spans="1:13" ht="15" customHeight="1" x14ac:dyDescent="0.15">
      <c r="A9" s="41" t="s">
        <v>92</v>
      </c>
      <c r="B9" s="79">
        <v>0</v>
      </c>
      <c r="C9" s="34">
        <v>0</v>
      </c>
      <c r="D9" s="34">
        <v>0</v>
      </c>
      <c r="E9" s="34">
        <v>0</v>
      </c>
      <c r="F9" s="34">
        <v>0</v>
      </c>
      <c r="G9" s="34">
        <v>0</v>
      </c>
      <c r="H9" s="34">
        <v>0</v>
      </c>
      <c r="I9" s="34">
        <v>0</v>
      </c>
      <c r="J9" s="34">
        <v>0</v>
      </c>
      <c r="K9" s="34">
        <v>0</v>
      </c>
      <c r="L9" s="34">
        <v>0</v>
      </c>
      <c r="M9" s="80">
        <v>0</v>
      </c>
    </row>
    <row r="10" spans="1:13" ht="15" customHeight="1" x14ac:dyDescent="0.15">
      <c r="A10" s="51" t="s">
        <v>93</v>
      </c>
      <c r="B10" s="79">
        <v>0</v>
      </c>
      <c r="C10" s="34">
        <v>0</v>
      </c>
      <c r="D10" s="34">
        <v>0</v>
      </c>
      <c r="E10" s="34">
        <v>0</v>
      </c>
      <c r="F10" s="34">
        <v>0</v>
      </c>
      <c r="G10" s="34">
        <v>0</v>
      </c>
      <c r="H10" s="34">
        <v>0</v>
      </c>
      <c r="I10" s="34">
        <v>0</v>
      </c>
      <c r="J10" s="34">
        <v>0</v>
      </c>
      <c r="K10" s="34">
        <v>0</v>
      </c>
      <c r="L10" s="34">
        <v>0</v>
      </c>
      <c r="M10" s="80">
        <v>0</v>
      </c>
    </row>
    <row r="11" spans="1:13" ht="15" customHeight="1" x14ac:dyDescent="0.15">
      <c r="A11" s="51" t="s">
        <v>94</v>
      </c>
      <c r="B11" s="79">
        <v>0</v>
      </c>
      <c r="C11" s="34">
        <v>0</v>
      </c>
      <c r="D11" s="34">
        <v>0</v>
      </c>
      <c r="E11" s="34">
        <v>0</v>
      </c>
      <c r="F11" s="34">
        <v>0</v>
      </c>
      <c r="G11" s="34">
        <v>0</v>
      </c>
      <c r="H11" s="34">
        <v>0</v>
      </c>
      <c r="I11" s="34">
        <v>0</v>
      </c>
      <c r="J11" s="34">
        <v>0</v>
      </c>
      <c r="K11" s="34">
        <v>0</v>
      </c>
      <c r="L11" s="34">
        <v>0</v>
      </c>
      <c r="M11" s="80">
        <v>0</v>
      </c>
    </row>
    <row r="12" spans="1:13" ht="15" customHeight="1" x14ac:dyDescent="0.15">
      <c r="A12" s="52" t="s">
        <v>95</v>
      </c>
      <c r="B12" s="55">
        <v>1</v>
      </c>
      <c r="C12" s="54">
        <v>1</v>
      </c>
      <c r="D12" s="54">
        <v>1</v>
      </c>
      <c r="E12" s="54">
        <v>1</v>
      </c>
      <c r="F12" s="54">
        <v>1</v>
      </c>
      <c r="G12" s="54">
        <v>1</v>
      </c>
      <c r="H12" s="54">
        <v>1</v>
      </c>
      <c r="I12" s="54">
        <v>1</v>
      </c>
      <c r="J12" s="54">
        <v>1</v>
      </c>
      <c r="K12" s="54">
        <v>1</v>
      </c>
      <c r="L12" s="54">
        <v>1</v>
      </c>
      <c r="M12" s="56">
        <v>1</v>
      </c>
    </row>
    <row r="13" spans="1:13" ht="15" customHeight="1" x14ac:dyDescent="0.15">
      <c r="A13" s="19"/>
      <c r="B13" s="19"/>
      <c r="C13" s="23"/>
      <c r="D13" s="23"/>
      <c r="E13" s="23"/>
      <c r="F13" s="23"/>
      <c r="G13" s="23"/>
      <c r="H13" s="23"/>
      <c r="I13" s="23"/>
      <c r="J13" s="23"/>
      <c r="K13" s="23"/>
      <c r="L13" s="23"/>
      <c r="M13" s="24"/>
    </row>
    <row r="14" spans="1:13" ht="15" customHeight="1" x14ac:dyDescent="0.15">
      <c r="A14" s="57" t="s">
        <v>96</v>
      </c>
      <c r="B14" s="84">
        <f t="shared" ref="B14:M14" ca="1" si="0">MEDIAN(_xlfn.ANCHORARRAY(B20))</f>
        <v>21732.5</v>
      </c>
      <c r="C14" s="85">
        <f t="shared" ca="1" si="0"/>
        <v>11672</v>
      </c>
      <c r="D14" s="85">
        <f t="shared" ca="1" si="0"/>
        <v>57795</v>
      </c>
      <c r="E14" s="85">
        <f t="shared" ca="1" si="0"/>
        <v>16884</v>
      </c>
      <c r="F14" s="85">
        <f t="shared" ca="1" si="0"/>
        <v>312948</v>
      </c>
      <c r="G14" s="85">
        <f t="shared" ca="1" si="0"/>
        <v>22836</v>
      </c>
      <c r="H14" s="85">
        <f t="shared" ca="1" si="0"/>
        <v>2178</v>
      </c>
      <c r="I14" s="85">
        <f t="shared" ca="1" si="0"/>
        <v>1826</v>
      </c>
      <c r="J14" s="85">
        <f t="shared" ca="1" si="0"/>
        <v>6495</v>
      </c>
      <c r="K14" s="85">
        <f t="shared" ca="1" si="0"/>
        <v>6785</v>
      </c>
      <c r="L14" s="85">
        <f t="shared" ca="1" si="0"/>
        <v>46156</v>
      </c>
      <c r="M14" s="86">
        <f t="shared" ca="1" si="0"/>
        <v>5644</v>
      </c>
    </row>
    <row r="15" spans="1:13" ht="15" customHeight="1" x14ac:dyDescent="0.15">
      <c r="A15" s="57" t="s">
        <v>97</v>
      </c>
      <c r="B15" s="87">
        <f t="shared" ref="B15:M15" ca="1" si="1">ROUND(B16/B14,2)</f>
        <v>0.69</v>
      </c>
      <c r="C15" s="88">
        <f t="shared" ca="1" si="1"/>
        <v>0.21</v>
      </c>
      <c r="D15" s="88">
        <f t="shared" ca="1" si="1"/>
        <v>0.35</v>
      </c>
      <c r="E15" s="88">
        <f t="shared" ca="1" si="1"/>
        <v>0.3</v>
      </c>
      <c r="F15" s="88">
        <f t="shared" ca="1" si="1"/>
        <v>0.16</v>
      </c>
      <c r="G15" s="88">
        <f t="shared" ca="1" si="1"/>
        <v>0.13</v>
      </c>
      <c r="H15" s="88">
        <f t="shared" ca="1" si="1"/>
        <v>0.24</v>
      </c>
      <c r="I15" s="88">
        <f t="shared" ca="1" si="1"/>
        <v>0.23</v>
      </c>
      <c r="J15" s="88">
        <f t="shared" ca="1" si="1"/>
        <v>0.26</v>
      </c>
      <c r="K15" s="88">
        <f t="shared" ca="1" si="1"/>
        <v>0.33</v>
      </c>
      <c r="L15" s="88">
        <f t="shared" ca="1" si="1"/>
        <v>7.0000000000000007E-2</v>
      </c>
      <c r="M15" s="89">
        <f t="shared" ca="1" si="1"/>
        <v>0.1</v>
      </c>
    </row>
    <row r="16" spans="1:13" ht="15" customHeight="1" x14ac:dyDescent="0.15">
      <c r="A16" s="57" t="s">
        <v>98</v>
      </c>
      <c r="B16" s="90">
        <f t="shared" ref="B16:M16" ca="1" si="2">(B18-B17)/2</f>
        <v>14902.650000000001</v>
      </c>
      <c r="C16" s="91">
        <f t="shared" ca="1" si="2"/>
        <v>2430.5</v>
      </c>
      <c r="D16" s="91">
        <f t="shared" ca="1" si="2"/>
        <v>20340.650000000001</v>
      </c>
      <c r="E16" s="91">
        <f t="shared" ca="1" si="2"/>
        <v>5099.4250000000002</v>
      </c>
      <c r="F16" s="91">
        <f t="shared" ca="1" si="2"/>
        <v>49590.875</v>
      </c>
      <c r="G16" s="91">
        <f t="shared" ca="1" si="2"/>
        <v>2921.7250000000004</v>
      </c>
      <c r="H16" s="91">
        <f t="shared" ca="1" si="2"/>
        <v>533.25</v>
      </c>
      <c r="I16" s="91">
        <f t="shared" ca="1" si="2"/>
        <v>420.44999999999993</v>
      </c>
      <c r="J16" s="91">
        <f t="shared" ca="1" si="2"/>
        <v>1718.1749999999997</v>
      </c>
      <c r="K16" s="91">
        <f t="shared" ca="1" si="2"/>
        <v>2209.9</v>
      </c>
      <c r="L16" s="91">
        <f t="shared" ca="1" si="2"/>
        <v>3136.3250000000007</v>
      </c>
      <c r="M16" s="92">
        <f t="shared" ca="1" si="2"/>
        <v>538.94999999999982</v>
      </c>
    </row>
    <row r="17" spans="1:13" ht="15" customHeight="1" x14ac:dyDescent="0.15">
      <c r="A17" s="57" t="s">
        <v>99</v>
      </c>
      <c r="B17" s="90">
        <f t="shared" ref="B17:M17" ca="1" si="3">ROUND(PERCENTILE(_xlfn.ANCHORARRAY(B20),ci_alpha/2),2)</f>
        <v>3511.85</v>
      </c>
      <c r="C17" s="91">
        <f t="shared" ca="1" si="3"/>
        <v>8695.35</v>
      </c>
      <c r="D17" s="91">
        <f t="shared" ca="1" si="3"/>
        <v>30410.2</v>
      </c>
      <c r="E17" s="91">
        <f t="shared" ca="1" si="3"/>
        <v>12819.9</v>
      </c>
      <c r="F17" s="91">
        <f t="shared" ca="1" si="3"/>
        <v>273653.75</v>
      </c>
      <c r="G17" s="91">
        <f t="shared" ca="1" si="3"/>
        <v>19615.55</v>
      </c>
      <c r="H17" s="91">
        <f t="shared" ca="1" si="3"/>
        <v>1486.15</v>
      </c>
      <c r="I17" s="91">
        <f t="shared" ca="1" si="3"/>
        <v>1436.05</v>
      </c>
      <c r="J17" s="91">
        <f t="shared" ca="1" si="3"/>
        <v>5146.7</v>
      </c>
      <c r="K17" s="91">
        <f t="shared" ca="1" si="3"/>
        <v>3860.2</v>
      </c>
      <c r="L17" s="91">
        <f t="shared" ca="1" si="3"/>
        <v>42213.65</v>
      </c>
      <c r="M17" s="92">
        <f t="shared" ca="1" si="3"/>
        <v>5217.8500000000004</v>
      </c>
    </row>
    <row r="18" spans="1:13" ht="15" customHeight="1" x14ac:dyDescent="0.15">
      <c r="A18" s="57" t="s">
        <v>100</v>
      </c>
      <c r="B18" s="90">
        <f t="shared" ref="B18:M18" ca="1" si="4">ROUND(PERCENTILE(_xlfn.ANCHORARRAY(B20), 1 - ci_alpha / 2), 2)</f>
        <v>33317.15</v>
      </c>
      <c r="C18" s="91">
        <f t="shared" ca="1" si="4"/>
        <v>13556.35</v>
      </c>
      <c r="D18" s="91">
        <f t="shared" ca="1" si="4"/>
        <v>71091.5</v>
      </c>
      <c r="E18" s="91">
        <f t="shared" ca="1" si="4"/>
        <v>23018.75</v>
      </c>
      <c r="F18" s="91">
        <f t="shared" ca="1" si="4"/>
        <v>372835.5</v>
      </c>
      <c r="G18" s="91">
        <f t="shared" ca="1" si="4"/>
        <v>25459</v>
      </c>
      <c r="H18" s="91">
        <f t="shared" ca="1" si="4"/>
        <v>2552.65</v>
      </c>
      <c r="I18" s="91">
        <f t="shared" ca="1" si="4"/>
        <v>2276.9499999999998</v>
      </c>
      <c r="J18" s="91">
        <f t="shared" ca="1" si="4"/>
        <v>8583.0499999999993</v>
      </c>
      <c r="K18" s="91">
        <f t="shared" ca="1" si="4"/>
        <v>8280</v>
      </c>
      <c r="L18" s="91">
        <f t="shared" ca="1" si="4"/>
        <v>48486.3</v>
      </c>
      <c r="M18" s="92">
        <f t="shared" ca="1" si="4"/>
        <v>6295.75</v>
      </c>
    </row>
    <row r="19" spans="1:13" ht="15" customHeight="1" x14ac:dyDescent="0.15">
      <c r="A19" s="52"/>
      <c r="B19" s="93"/>
      <c r="C19" s="54"/>
      <c r="D19" s="54"/>
      <c r="E19" s="54"/>
      <c r="F19" s="54"/>
      <c r="G19" s="54"/>
      <c r="H19" s="54"/>
      <c r="I19" s="54"/>
      <c r="J19" s="54"/>
      <c r="K19" s="54"/>
      <c r="L19" s="54"/>
      <c r="M19" s="56"/>
    </row>
    <row r="20" spans="1:13" ht="15" customHeight="1" x14ac:dyDescent="0.15">
      <c r="A20" s="71" cm="1">
        <f t="array" ref="A20:A29">_xlfn.SEQUENCE(n_iter, 1, 1, 1)</f>
        <v>1</v>
      </c>
      <c r="B20" s="94" cm="1">
        <f t="array" aca="1" ref="B20:B29" ca="1">IF(B12=1, ROUND(NORMINV(_xlfn.RANDARRAY(n_iter, 1),B6,B7),0),_xlfn.SEQUENCE(n_iter, 1, B6, 0))</f>
        <v>27788</v>
      </c>
      <c r="C20" s="95" cm="1">
        <f t="array" aca="1" ref="C20:C29" ca="1">IF(C12=1, ROUND(NORMINV(_xlfn.RANDARRAY(n_iter, 1),C6,C7),0),_xlfn.SEQUENCE(n_iter, 1, C6, 0))</f>
        <v>11822</v>
      </c>
      <c r="D20" s="95" cm="1">
        <f t="array" aca="1" ref="D20:D29" ca="1">IF(D12=1, ROUND(NORMINV(_xlfn.RANDARRAY(n_iter, 1),D6,D7),0),_xlfn.SEQUENCE(n_iter, 1, D6, 0))</f>
        <v>68721</v>
      </c>
      <c r="E20" s="95" cm="1">
        <f t="array" aca="1" ref="E20:E29" ca="1">IF(E12=1, ROUND(NORMINV(_xlfn.RANDARRAY(n_iter, 1),E6,E7),0),_xlfn.SEQUENCE(n_iter, 1, E6, 0))</f>
        <v>22235</v>
      </c>
      <c r="F20" s="95" cm="1">
        <f t="array" aca="1" ref="F20:F29" ca="1">IF(F12=1, ROUND(NORMINV(_xlfn.RANDARRAY(n_iter, 1),F6,F7),0),_xlfn.SEQUENCE(n_iter, 1, F6, 0))</f>
        <v>274003</v>
      </c>
      <c r="G20" s="95" cm="1">
        <f t="array" aca="1" ref="G20:G29" ca="1">IF(G12=1, ROUND(NORMINV(_xlfn.RANDARRAY(n_iter, 1),G6,G7),0),_xlfn.SEQUENCE(n_iter, 1, G6, 0))</f>
        <v>22640</v>
      </c>
      <c r="H20" s="95" cm="1">
        <f t="array" aca="1" ref="H20:H29" ca="1">IF(H12=1, ROUND(NORMINV(_xlfn.RANDARRAY(n_iter, 1),H6,H7),0),_xlfn.SEQUENCE(n_iter, 1, H6, 0))</f>
        <v>2180</v>
      </c>
      <c r="I20" s="95" cm="1">
        <f t="array" aca="1" ref="I20:I29" ca="1">IF(I12=1, ROUND(NORMINV(_xlfn.RANDARRAY(n_iter, 1),I6,I7),0),_xlfn.SEQUENCE(n_iter, 1, I6, 0))</f>
        <v>2299</v>
      </c>
      <c r="J20" s="95" cm="1">
        <f t="array" aca="1" ref="J20:J29" ca="1">IF(J12=1, ROUND(NORMINV(_xlfn.RANDARRAY(n_iter, 1),J6,J7),0),_xlfn.SEQUENCE(n_iter, 1, J6, 0))</f>
        <v>6557</v>
      </c>
      <c r="K20" s="95" cm="1">
        <f t="array" aca="1" ref="K20:K29" ca="1">IF(K12=1, ROUND(NORMINV(_xlfn.RANDARRAY(n_iter, 1),K6,K7),0),_xlfn.SEQUENCE(n_iter, 1, K6, 0))</f>
        <v>6890</v>
      </c>
      <c r="L20" s="95" cm="1">
        <f t="array" aca="1" ref="L20:L29" ca="1">IF(L12=1, ROUND(NORMINV(_xlfn.RANDARRAY(n_iter, 1),L6,L7),0),_xlfn.SEQUENCE(n_iter, 1, L6, 0))</f>
        <v>47528</v>
      </c>
      <c r="M20" s="95" cm="1">
        <f t="array" aca="1" ref="M20:M29" ca="1">IF(M12=1, ROUND(NORMINV(_xlfn.RANDARRAY(n_iter, 1),M6,M7),0),_xlfn.SEQUENCE(n_iter, 1, M6, 0))</f>
        <v>5434</v>
      </c>
    </row>
    <row r="21" spans="1:13" ht="15" customHeight="1" x14ac:dyDescent="0.15">
      <c r="A21">
        <v>2</v>
      </c>
      <c r="B21">
        <f ca="1"/>
        <v>23807</v>
      </c>
      <c r="C21">
        <f ca="1"/>
        <v>11510</v>
      </c>
      <c r="D21">
        <f ca="1"/>
        <v>55599</v>
      </c>
      <c r="E21">
        <f ca="1"/>
        <v>11415</v>
      </c>
      <c r="F21">
        <f ca="1"/>
        <v>273368</v>
      </c>
      <c r="G21">
        <f ca="1"/>
        <v>24124</v>
      </c>
      <c r="H21">
        <f ca="1"/>
        <v>1688</v>
      </c>
      <c r="I21">
        <f ca="1"/>
        <v>1691</v>
      </c>
      <c r="J21">
        <f ca="1"/>
        <v>6084</v>
      </c>
      <c r="K21">
        <f ca="1"/>
        <v>7109</v>
      </c>
      <c r="L21">
        <f ca="1"/>
        <v>48016</v>
      </c>
      <c r="M21">
        <f ca="1"/>
        <v>5742</v>
      </c>
    </row>
    <row r="22" spans="1:13" ht="15" customHeight="1" x14ac:dyDescent="0.15">
      <c r="A22">
        <v>3</v>
      </c>
      <c r="B22">
        <f ca="1"/>
        <v>36014</v>
      </c>
      <c r="C22">
        <f ca="1"/>
        <v>13897</v>
      </c>
      <c r="D22">
        <f ca="1"/>
        <v>73031</v>
      </c>
      <c r="E22">
        <f ca="1"/>
        <v>14537</v>
      </c>
      <c r="F22">
        <f ca="1"/>
        <v>324593</v>
      </c>
      <c r="G22">
        <f ca="1"/>
        <v>21584</v>
      </c>
      <c r="H22">
        <f ca="1"/>
        <v>2441</v>
      </c>
      <c r="I22">
        <f ca="1"/>
        <v>1813</v>
      </c>
      <c r="J22">
        <f ca="1"/>
        <v>6498</v>
      </c>
      <c r="K22">
        <f ca="1"/>
        <v>6680</v>
      </c>
      <c r="L22">
        <f ca="1"/>
        <v>45455</v>
      </c>
      <c r="M22">
        <f ca="1"/>
        <v>6568</v>
      </c>
    </row>
    <row r="23" spans="1:13" ht="15" customHeight="1" x14ac:dyDescent="0.15">
      <c r="A23">
        <v>4</v>
      </c>
      <c r="B23">
        <f ca="1"/>
        <v>17485</v>
      </c>
      <c r="C23">
        <f ca="1"/>
        <v>10061</v>
      </c>
      <c r="D23">
        <f ca="1"/>
        <v>55190</v>
      </c>
      <c r="E23">
        <f ca="1"/>
        <v>16775</v>
      </c>
      <c r="F23">
        <f ca="1"/>
        <v>347654</v>
      </c>
      <c r="G23">
        <f ca="1"/>
        <v>22011</v>
      </c>
      <c r="H23">
        <f ca="1"/>
        <v>2258</v>
      </c>
      <c r="I23">
        <f ca="1"/>
        <v>2250</v>
      </c>
      <c r="J23">
        <f ca="1"/>
        <v>8456</v>
      </c>
      <c r="K23">
        <f ca="1"/>
        <v>6065</v>
      </c>
      <c r="L23">
        <f ca="1"/>
        <v>48120</v>
      </c>
      <c r="M23">
        <f ca="1"/>
        <v>5122</v>
      </c>
    </row>
    <row r="24" spans="1:13" ht="15" customHeight="1" x14ac:dyDescent="0.15">
      <c r="A24">
        <v>5</v>
      </c>
      <c r="B24">
        <f ca="1"/>
        <v>30021</v>
      </c>
      <c r="C24">
        <f ca="1"/>
        <v>7578</v>
      </c>
      <c r="D24">
        <f ca="1"/>
        <v>59991</v>
      </c>
      <c r="E24">
        <f ca="1"/>
        <v>15951</v>
      </c>
      <c r="F24">
        <f ca="1"/>
        <v>304630</v>
      </c>
      <c r="G24">
        <f ca="1"/>
        <v>18833</v>
      </c>
      <c r="H24">
        <f ca="1"/>
        <v>1689</v>
      </c>
      <c r="I24">
        <f ca="1"/>
        <v>1315</v>
      </c>
      <c r="J24">
        <f ca="1"/>
        <v>4550</v>
      </c>
      <c r="K24">
        <f ca="1"/>
        <v>7708</v>
      </c>
      <c r="L24">
        <f ca="1"/>
        <v>42443</v>
      </c>
      <c r="M24">
        <f ca="1"/>
        <v>5335</v>
      </c>
    </row>
    <row r="25" spans="1:13" ht="15" customHeight="1" x14ac:dyDescent="0.15">
      <c r="A25">
        <v>6</v>
      </c>
      <c r="B25">
        <f ca="1"/>
        <v>374</v>
      </c>
      <c r="C25">
        <f ca="1"/>
        <v>12889</v>
      </c>
      <c r="D25">
        <f ca="1"/>
        <v>46479</v>
      </c>
      <c r="E25">
        <f ca="1"/>
        <v>16993</v>
      </c>
      <c r="F25">
        <f ca="1"/>
        <v>359663</v>
      </c>
      <c r="G25">
        <f ca="1"/>
        <v>23032</v>
      </c>
      <c r="H25">
        <f ca="1"/>
        <v>2176</v>
      </c>
      <c r="I25">
        <f ca="1"/>
        <v>1623</v>
      </c>
      <c r="J25">
        <f ca="1"/>
        <v>6492</v>
      </c>
      <c r="K25">
        <f ca="1"/>
        <v>8748</v>
      </c>
      <c r="L25">
        <f ca="1"/>
        <v>42026</v>
      </c>
      <c r="M25">
        <f ca="1"/>
        <v>5612</v>
      </c>
    </row>
    <row r="26" spans="1:13" ht="15" customHeight="1" x14ac:dyDescent="0.15">
      <c r="A26">
        <v>7</v>
      </c>
      <c r="B26">
        <f ca="1"/>
        <v>7347</v>
      </c>
      <c r="C26">
        <f ca="1"/>
        <v>12590</v>
      </c>
      <c r="D26">
        <f ca="1"/>
        <v>68032</v>
      </c>
      <c r="E26">
        <f ca="1"/>
        <v>19640</v>
      </c>
      <c r="F26">
        <f ca="1"/>
        <v>290304</v>
      </c>
      <c r="G26">
        <f ca="1"/>
        <v>20572</v>
      </c>
      <c r="H26">
        <f ca="1"/>
        <v>1979</v>
      </c>
      <c r="I26">
        <f ca="1"/>
        <v>1839</v>
      </c>
      <c r="J26">
        <f ca="1"/>
        <v>6162</v>
      </c>
      <c r="K26">
        <f ca="1"/>
        <v>4771</v>
      </c>
      <c r="L26">
        <f ca="1"/>
        <v>43590</v>
      </c>
      <c r="M26">
        <f ca="1"/>
        <v>5963</v>
      </c>
    </row>
    <row r="27" spans="1:13" ht="15" customHeight="1" x14ac:dyDescent="0.15">
      <c r="A27">
        <v>8</v>
      </c>
      <c r="B27">
        <f ca="1"/>
        <v>14038</v>
      </c>
      <c r="C27">
        <f ca="1"/>
        <v>11522</v>
      </c>
      <c r="D27">
        <f ca="1"/>
        <v>49745</v>
      </c>
      <c r="E27">
        <f ca="1"/>
        <v>15157</v>
      </c>
      <c r="F27">
        <f ca="1"/>
        <v>383613</v>
      </c>
      <c r="G27">
        <f ca="1"/>
        <v>24733</v>
      </c>
      <c r="H27">
        <f ca="1"/>
        <v>2644</v>
      </c>
      <c r="I27">
        <f ca="1"/>
        <v>1851</v>
      </c>
      <c r="J27">
        <f ca="1"/>
        <v>5876</v>
      </c>
      <c r="K27">
        <f ca="1"/>
        <v>3115</v>
      </c>
      <c r="L27">
        <f ca="1"/>
        <v>48786</v>
      </c>
      <c r="M27">
        <f ca="1"/>
        <v>5602</v>
      </c>
    </row>
    <row r="28" spans="1:13" ht="15" customHeight="1" x14ac:dyDescent="0.15">
      <c r="A28">
        <v>9</v>
      </c>
      <c r="B28">
        <f ca="1"/>
        <v>19658</v>
      </c>
      <c r="C28">
        <f ca="1"/>
        <v>13140</v>
      </c>
      <c r="D28">
        <f ca="1"/>
        <v>64942</v>
      </c>
      <c r="E28">
        <f ca="1"/>
        <v>18763</v>
      </c>
      <c r="F28">
        <f ca="1"/>
        <v>274252</v>
      </c>
      <c r="G28">
        <f ca="1"/>
        <v>26053</v>
      </c>
      <c r="H28">
        <f ca="1"/>
        <v>2347</v>
      </c>
      <c r="I28">
        <f ca="1"/>
        <v>2079</v>
      </c>
      <c r="J28">
        <f ca="1"/>
        <v>8687</v>
      </c>
      <c r="K28">
        <f ca="1"/>
        <v>6309</v>
      </c>
      <c r="L28">
        <f ca="1"/>
        <v>46154</v>
      </c>
      <c r="M28">
        <f ca="1"/>
        <v>5676</v>
      </c>
    </row>
    <row r="29" spans="1:13" ht="15" customHeight="1" x14ac:dyDescent="0.15">
      <c r="A29">
        <v>10</v>
      </c>
      <c r="B29">
        <f ca="1"/>
        <v>27357</v>
      </c>
      <c r="C29">
        <f ca="1"/>
        <v>10509</v>
      </c>
      <c r="D29">
        <f ca="1"/>
        <v>17263</v>
      </c>
      <c r="E29">
        <f ca="1"/>
        <v>23660</v>
      </c>
      <c r="F29">
        <f ca="1"/>
        <v>321266</v>
      </c>
      <c r="G29">
        <f ca="1"/>
        <v>24173</v>
      </c>
      <c r="H29">
        <f ca="1"/>
        <v>1321</v>
      </c>
      <c r="I29">
        <f ca="1"/>
        <v>1584</v>
      </c>
      <c r="J29">
        <f ca="1"/>
        <v>7035</v>
      </c>
      <c r="K29">
        <f ca="1"/>
        <v>7313</v>
      </c>
      <c r="L29">
        <f ca="1"/>
        <v>46158</v>
      </c>
      <c r="M29">
        <f ca="1"/>
        <v>5871</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00FF00"/>
    <outlinePr summaryBelow="0" summaryRight="0"/>
  </sheetPr>
  <dimension ref="A2:W29"/>
  <sheetViews>
    <sheetView workbookViewId="0">
      <selection activeCell="Q37" sqref="Q37"/>
    </sheetView>
  </sheetViews>
  <sheetFormatPr baseColWidth="10" defaultColWidth="12.6640625" defaultRowHeight="15" customHeight="1" x14ac:dyDescent="0.15"/>
  <sheetData>
    <row r="2" spans="1:23" ht="15" customHeight="1" x14ac:dyDescent="0.15">
      <c r="A2" s="19" t="s">
        <v>80</v>
      </c>
      <c r="B2" s="19" t="s">
        <v>25</v>
      </c>
      <c r="C2" s="23" t="s">
        <v>25</v>
      </c>
      <c r="D2" s="23" t="s">
        <v>25</v>
      </c>
      <c r="E2" s="23" t="s">
        <v>25</v>
      </c>
      <c r="F2" s="23" t="s">
        <v>25</v>
      </c>
      <c r="G2" s="23" t="s">
        <v>25</v>
      </c>
      <c r="H2" s="23" t="s">
        <v>27</v>
      </c>
      <c r="I2" s="23" t="s">
        <v>27</v>
      </c>
      <c r="J2" s="23" t="s">
        <v>27</v>
      </c>
      <c r="K2" s="23" t="s">
        <v>27</v>
      </c>
      <c r="L2" s="23" t="s">
        <v>27</v>
      </c>
      <c r="M2" s="23" t="s">
        <v>27</v>
      </c>
      <c r="N2" s="96"/>
      <c r="O2" s="97"/>
      <c r="P2" s="97"/>
      <c r="Q2" s="97"/>
      <c r="R2" s="97"/>
      <c r="S2" s="97"/>
      <c r="T2" s="97"/>
      <c r="U2" s="97"/>
      <c r="V2" s="97"/>
      <c r="W2" s="98"/>
    </row>
    <row r="3" spans="1:23" ht="15" customHeight="1" x14ac:dyDescent="0.15">
      <c r="A3" s="25" t="s">
        <v>81</v>
      </c>
      <c r="B3" s="49" t="s">
        <v>103</v>
      </c>
      <c r="C3" s="1" t="s">
        <v>103</v>
      </c>
      <c r="D3" s="1" t="s">
        <v>103</v>
      </c>
      <c r="E3" s="1" t="s">
        <v>103</v>
      </c>
      <c r="F3" s="1" t="s">
        <v>103</v>
      </c>
      <c r="G3" s="1" t="s">
        <v>103</v>
      </c>
      <c r="H3" s="1" t="s">
        <v>104</v>
      </c>
      <c r="I3" s="1" t="s">
        <v>104</v>
      </c>
      <c r="J3" s="1" t="s">
        <v>104</v>
      </c>
      <c r="K3" s="1" t="s">
        <v>104</v>
      </c>
      <c r="L3" s="1" t="s">
        <v>104</v>
      </c>
      <c r="M3" s="1" t="s">
        <v>104</v>
      </c>
      <c r="N3" s="99" t="s">
        <v>105</v>
      </c>
      <c r="O3" s="1" t="s">
        <v>106</v>
      </c>
      <c r="W3" s="100"/>
    </row>
    <row r="4" spans="1:23" ht="15" customHeight="1" x14ac:dyDescent="0.15">
      <c r="A4" s="32" t="s">
        <v>86</v>
      </c>
      <c r="B4" s="39" t="s">
        <v>39</v>
      </c>
      <c r="C4" s="38" t="s">
        <v>44</v>
      </c>
      <c r="D4" s="38" t="s">
        <v>46</v>
      </c>
      <c r="E4" s="38" t="s">
        <v>48</v>
      </c>
      <c r="F4" s="38" t="s">
        <v>39</v>
      </c>
      <c r="G4" s="38" t="s">
        <v>44</v>
      </c>
      <c r="H4" s="38" t="s">
        <v>39</v>
      </c>
      <c r="I4" s="38" t="s">
        <v>44</v>
      </c>
      <c r="J4" s="38" t="s">
        <v>46</v>
      </c>
      <c r="K4" s="38" t="s">
        <v>48</v>
      </c>
      <c r="L4" s="38" t="s">
        <v>39</v>
      </c>
      <c r="M4" s="38" t="s">
        <v>44</v>
      </c>
      <c r="N4" s="101"/>
      <c r="W4" s="100"/>
    </row>
    <row r="5" spans="1:23" ht="15" customHeight="1" x14ac:dyDescent="0.15">
      <c r="A5" s="32" t="s">
        <v>87</v>
      </c>
      <c r="B5" s="39" t="s">
        <v>40</v>
      </c>
      <c r="C5" s="38" t="s">
        <v>40</v>
      </c>
      <c r="D5" s="38" t="s">
        <v>40</v>
      </c>
      <c r="E5" s="38" t="s">
        <v>40</v>
      </c>
      <c r="F5" s="38" t="s">
        <v>46</v>
      </c>
      <c r="G5" s="38" t="s">
        <v>48</v>
      </c>
      <c r="H5" s="38" t="s">
        <v>40</v>
      </c>
      <c r="I5" s="38" t="s">
        <v>40</v>
      </c>
      <c r="J5" s="38" t="s">
        <v>40</v>
      </c>
      <c r="K5" s="38" t="s">
        <v>40</v>
      </c>
      <c r="L5" s="38" t="s">
        <v>46</v>
      </c>
      <c r="M5" s="38" t="s">
        <v>48</v>
      </c>
      <c r="N5" s="99" t="s">
        <v>107</v>
      </c>
      <c r="O5" s="1" t="s">
        <v>108</v>
      </c>
      <c r="Q5" s="1" t="s">
        <v>109</v>
      </c>
      <c r="R5" s="1" t="s">
        <v>110</v>
      </c>
      <c r="T5" s="1" t="s">
        <v>103</v>
      </c>
      <c r="U5" s="1" t="s">
        <v>104</v>
      </c>
      <c r="W5" s="102" t="s">
        <v>111</v>
      </c>
    </row>
    <row r="6" spans="1:23" ht="15" customHeight="1" x14ac:dyDescent="0.15">
      <c r="A6" s="41" t="s">
        <v>88</v>
      </c>
      <c r="B6" s="103">
        <f>ROUND(SIMS_EF!B6 * SIMS_AD!B6,0)</f>
        <v>14183431</v>
      </c>
      <c r="C6" s="18">
        <f>ROUND(SIMS_EF!C6 * SIMS_AD!C6,0)</f>
        <v>5371581</v>
      </c>
      <c r="D6" s="18">
        <f>ROUND(SIMS_EF!D6 * SIMS_AD!D6,0)</f>
        <v>25046554</v>
      </c>
      <c r="E6" s="18">
        <f>ROUND(SIMS_EF!E6 * SIMS_AD!E6,0)</f>
        <v>5713724</v>
      </c>
      <c r="F6" s="18">
        <f>ROUND(SIMS_EF!F6 * SIMS_AD!F6,0)</f>
        <v>56007568</v>
      </c>
      <c r="G6" s="18">
        <f>ROUND(SIMS_EF!G6 * SIMS_AD!G6,0)</f>
        <v>3047947</v>
      </c>
      <c r="H6" s="18">
        <f>ROUND(SIMS_EF!H6 * SIMS_AD!H6,0)</f>
        <v>1298016</v>
      </c>
      <c r="I6" s="18">
        <f>ROUND(SIMS_EF!I6 * SIMS_AD!I6,0)</f>
        <v>999198</v>
      </c>
      <c r="J6" s="18">
        <f>ROUND(SIMS_EF!J6 * SIMS_AD!J6,0)</f>
        <v>2741869</v>
      </c>
      <c r="K6" s="18">
        <f>ROUND(SIMS_EF!K6 * SIMS_AD!K6,0)</f>
        <v>2115246</v>
      </c>
      <c r="L6" s="18">
        <f>ROUND(SIMS_EF!L6 * SIMS_AD!L6,0)</f>
        <v>7947822</v>
      </c>
      <c r="M6" s="18">
        <f>ROUND(SIMS_EF!M6 * SIMS_AD!M6,0)</f>
        <v>747978</v>
      </c>
      <c r="N6" s="104">
        <f>ROUND(SUM(B6:E6)/year_ref,0)</f>
        <v>10063058</v>
      </c>
      <c r="O6" s="18">
        <f>ROUND(SUM(F6:G6)/year_ref,0)</f>
        <v>11811103</v>
      </c>
      <c r="Q6" s="18">
        <f>ROUND(SUM(H6:K6)/year_mon,0)</f>
        <v>3577165</v>
      </c>
      <c r="R6" s="18">
        <f>ROUND(SUM(L6:M6)/year_mon,0)</f>
        <v>4347900</v>
      </c>
      <c r="T6" s="18">
        <f>SUM(N6:O6)</f>
        <v>21874161</v>
      </c>
      <c r="U6" s="18">
        <f>SUM(Q6:R6)</f>
        <v>7925065</v>
      </c>
      <c r="W6" s="105">
        <f>T6-U6</f>
        <v>13949096</v>
      </c>
    </row>
    <row r="7" spans="1:23" ht="15" customHeight="1" x14ac:dyDescent="0.15">
      <c r="A7" s="41" t="s">
        <v>89</v>
      </c>
      <c r="B7" s="47"/>
      <c r="N7" s="101"/>
      <c r="W7" s="100"/>
    </row>
    <row r="8" spans="1:23" ht="15" customHeight="1" x14ac:dyDescent="0.15">
      <c r="A8" s="41" t="s">
        <v>90</v>
      </c>
      <c r="B8" s="49" t="s">
        <v>91</v>
      </c>
      <c r="C8" s="1" t="s">
        <v>91</v>
      </c>
      <c r="D8" s="1" t="s">
        <v>91</v>
      </c>
      <c r="E8" s="1" t="s">
        <v>91</v>
      </c>
      <c r="F8" s="1" t="s">
        <v>91</v>
      </c>
      <c r="G8" s="1" t="s">
        <v>91</v>
      </c>
      <c r="H8" s="1" t="s">
        <v>91</v>
      </c>
      <c r="I8" s="1" t="s">
        <v>91</v>
      </c>
      <c r="J8" s="1" t="s">
        <v>91</v>
      </c>
      <c r="K8" s="1" t="s">
        <v>91</v>
      </c>
      <c r="L8" s="1" t="s">
        <v>91</v>
      </c>
      <c r="M8" s="1" t="s">
        <v>91</v>
      </c>
      <c r="N8" s="99" t="s">
        <v>91</v>
      </c>
      <c r="O8" s="1" t="s">
        <v>91</v>
      </c>
      <c r="P8" s="1"/>
      <c r="Q8" s="1" t="s">
        <v>91</v>
      </c>
      <c r="R8" s="1" t="s">
        <v>91</v>
      </c>
      <c r="S8" s="1"/>
      <c r="T8" s="1" t="s">
        <v>91</v>
      </c>
      <c r="U8" s="1" t="s">
        <v>91</v>
      </c>
      <c r="V8" s="1"/>
      <c r="W8" s="102" t="s">
        <v>91</v>
      </c>
    </row>
    <row r="9" spans="1:23" ht="15" customHeight="1" x14ac:dyDescent="0.15">
      <c r="A9" s="41" t="s">
        <v>92</v>
      </c>
      <c r="B9" s="47"/>
      <c r="N9" s="101"/>
      <c r="W9" s="100"/>
    </row>
    <row r="10" spans="1:23" ht="15" customHeight="1" x14ac:dyDescent="0.15">
      <c r="A10" s="51" t="s">
        <v>93</v>
      </c>
      <c r="B10" s="47"/>
      <c r="N10" s="101"/>
      <c r="W10" s="100"/>
    </row>
    <row r="11" spans="1:23" ht="15" customHeight="1" x14ac:dyDescent="0.15">
      <c r="A11" s="51" t="s">
        <v>94</v>
      </c>
      <c r="B11" s="47"/>
      <c r="N11" s="101"/>
      <c r="W11" s="100"/>
    </row>
    <row r="12" spans="1:23" ht="15" customHeight="1" x14ac:dyDescent="0.15">
      <c r="A12" s="52" t="s">
        <v>95</v>
      </c>
      <c r="B12" s="55"/>
      <c r="C12" s="54"/>
      <c r="D12" s="54"/>
      <c r="E12" s="54"/>
      <c r="F12" s="54"/>
      <c r="G12" s="54"/>
      <c r="H12" s="54"/>
      <c r="I12" s="54"/>
      <c r="J12" s="54"/>
      <c r="K12" s="54"/>
      <c r="L12" s="54"/>
      <c r="M12" s="54"/>
      <c r="N12" s="106"/>
      <c r="O12" s="107"/>
      <c r="P12" s="107"/>
      <c r="Q12" s="107"/>
      <c r="R12" s="107"/>
      <c r="S12" s="107"/>
      <c r="T12" s="107"/>
      <c r="U12" s="107"/>
      <c r="V12" s="107"/>
      <c r="W12" s="108"/>
    </row>
    <row r="13" spans="1:23" ht="15" customHeight="1" x14ac:dyDescent="0.15">
      <c r="A13" s="19"/>
      <c r="B13" s="47"/>
      <c r="M13" s="48"/>
      <c r="N13" s="47"/>
      <c r="W13" s="48"/>
    </row>
    <row r="14" spans="1:23" ht="15" customHeight="1" x14ac:dyDescent="0.15">
      <c r="A14" s="57" t="s">
        <v>96</v>
      </c>
      <c r="B14" s="84">
        <f t="shared" ref="B14:W14" ca="1" si="0">MEDIAN(_xlfn.ANCHORARRAY(B20))</f>
        <v>14026898</v>
      </c>
      <c r="C14" s="109">
        <f t="shared" ca="1" si="0"/>
        <v>5426681.5</v>
      </c>
      <c r="D14" s="109">
        <f t="shared" ca="1" si="0"/>
        <v>31401396</v>
      </c>
      <c r="E14" s="109">
        <f t="shared" ca="1" si="0"/>
        <v>6523698</v>
      </c>
      <c r="F14" s="109">
        <f t="shared" ca="1" si="0"/>
        <v>43728169.5</v>
      </c>
      <c r="G14" s="109">
        <f t="shared" ca="1" si="0"/>
        <v>2584538.5</v>
      </c>
      <c r="H14" s="109">
        <f t="shared" ca="1" si="0"/>
        <v>1333066.5</v>
      </c>
      <c r="I14" s="109">
        <f t="shared" ca="1" si="0"/>
        <v>870888.5</v>
      </c>
      <c r="J14" s="109">
        <f t="shared" ca="1" si="0"/>
        <v>3269087</v>
      </c>
      <c r="K14" s="109">
        <f t="shared" ca="1" si="0"/>
        <v>2218934</v>
      </c>
      <c r="L14" s="109">
        <f t="shared" ca="1" si="0"/>
        <v>7305498.5</v>
      </c>
      <c r="M14" s="110">
        <f t="shared" ca="1" si="0"/>
        <v>631925.5</v>
      </c>
      <c r="N14" s="84">
        <f t="shared" ca="1" si="0"/>
        <v>11850801</v>
      </c>
      <c r="O14" s="109">
        <f t="shared" ca="1" si="0"/>
        <v>9283585.5</v>
      </c>
      <c r="P14" s="109"/>
      <c r="Q14" s="109">
        <f t="shared" ca="1" si="0"/>
        <v>3859794</v>
      </c>
      <c r="R14" s="109">
        <f t="shared" ca="1" si="0"/>
        <v>3876647.5</v>
      </c>
      <c r="S14" s="109"/>
      <c r="T14" s="109">
        <f t="shared" ca="1" si="0"/>
        <v>20309610.5</v>
      </c>
      <c r="U14" s="109">
        <f t="shared" ca="1" si="0"/>
        <v>7536411</v>
      </c>
      <c r="V14" s="109"/>
      <c r="W14" s="110">
        <f t="shared" ca="1" si="0"/>
        <v>12413375.5</v>
      </c>
    </row>
    <row r="15" spans="1:23" ht="15" customHeight="1" x14ac:dyDescent="0.15">
      <c r="A15" s="57" t="s">
        <v>97</v>
      </c>
      <c r="B15" s="87">
        <f t="shared" ref="B15:W15" ca="1" si="1">ROUND(B16/B14,2)</f>
        <v>0.73</v>
      </c>
      <c r="C15" s="75">
        <f t="shared" ca="1" si="1"/>
        <v>0.41</v>
      </c>
      <c r="D15" s="75">
        <f t="shared" ca="1" si="1"/>
        <v>0.47</v>
      </c>
      <c r="E15" s="75">
        <f t="shared" ca="1" si="1"/>
        <v>0.42</v>
      </c>
      <c r="F15" s="75">
        <f t="shared" ca="1" si="1"/>
        <v>1.19</v>
      </c>
      <c r="G15" s="75">
        <f t="shared" ca="1" si="1"/>
        <v>0.72</v>
      </c>
      <c r="H15" s="75">
        <f t="shared" ca="1" si="1"/>
        <v>0.26</v>
      </c>
      <c r="I15" s="75">
        <f t="shared" ca="1" si="1"/>
        <v>0.42</v>
      </c>
      <c r="J15" s="75">
        <f t="shared" ca="1" si="1"/>
        <v>0.32</v>
      </c>
      <c r="K15" s="75">
        <f t="shared" ca="1" si="1"/>
        <v>0.44</v>
      </c>
      <c r="L15" s="75">
        <f t="shared" ca="1" si="1"/>
        <v>1.08</v>
      </c>
      <c r="M15" s="76">
        <f t="shared" ca="1" si="1"/>
        <v>0.67</v>
      </c>
      <c r="N15" s="87">
        <f t="shared" ca="1" si="1"/>
        <v>0.31</v>
      </c>
      <c r="O15" s="75">
        <f t="shared" ca="1" si="1"/>
        <v>1.1299999999999999</v>
      </c>
      <c r="P15" s="75"/>
      <c r="Q15" s="75">
        <f t="shared" ca="1" si="1"/>
        <v>0.21</v>
      </c>
      <c r="R15" s="75">
        <f t="shared" ca="1" si="1"/>
        <v>1.05</v>
      </c>
      <c r="S15" s="75"/>
      <c r="T15" s="75">
        <f t="shared" ca="1" si="1"/>
        <v>0.45</v>
      </c>
      <c r="U15" s="75">
        <f t="shared" ca="1" si="1"/>
        <v>0.52</v>
      </c>
      <c r="V15" s="75"/>
      <c r="W15" s="76">
        <f t="shared" ca="1" si="1"/>
        <v>0.43</v>
      </c>
    </row>
    <row r="16" spans="1:23" ht="15" customHeight="1" x14ac:dyDescent="0.15">
      <c r="A16" s="57" t="s">
        <v>98</v>
      </c>
      <c r="B16" s="84">
        <f t="shared" ref="B16:W16" ca="1" si="2">(B18-B17)/2</f>
        <v>10260025.925000001</v>
      </c>
      <c r="C16" s="109">
        <f t="shared" ca="1" si="2"/>
        <v>2229258.5</v>
      </c>
      <c r="D16" s="109">
        <f t="shared" ca="1" si="2"/>
        <v>14681378.725</v>
      </c>
      <c r="E16" s="109">
        <f t="shared" ca="1" si="2"/>
        <v>2710407.7250000001</v>
      </c>
      <c r="F16" s="109">
        <f t="shared" ca="1" si="2"/>
        <v>51823082.350000001</v>
      </c>
      <c r="G16" s="109">
        <f t="shared" ca="1" si="2"/>
        <v>1873697.15</v>
      </c>
      <c r="H16" s="109">
        <f t="shared" ca="1" si="2"/>
        <v>347853.375</v>
      </c>
      <c r="I16" s="109">
        <f t="shared" ca="1" si="2"/>
        <v>365580.54999999993</v>
      </c>
      <c r="J16" s="109">
        <f t="shared" ca="1" si="2"/>
        <v>1032991.5</v>
      </c>
      <c r="K16" s="109">
        <f t="shared" ca="1" si="2"/>
        <v>974153.60000000009</v>
      </c>
      <c r="L16" s="109">
        <f t="shared" ca="1" si="2"/>
        <v>7881039.4749999996</v>
      </c>
      <c r="M16" s="110">
        <f t="shared" ca="1" si="2"/>
        <v>422148.92500000005</v>
      </c>
      <c r="N16" s="90">
        <f t="shared" ca="1" si="2"/>
        <v>3644453.8000000003</v>
      </c>
      <c r="O16" s="111">
        <f t="shared" ca="1" si="2"/>
        <v>10457840.1</v>
      </c>
      <c r="P16" s="111"/>
      <c r="Q16" s="111">
        <f t="shared" ca="1" si="2"/>
        <v>807580.52499999991</v>
      </c>
      <c r="R16" s="111">
        <f ca="1">(R18-R17)/2</f>
        <v>4051823.8000000003</v>
      </c>
      <c r="S16" s="111"/>
      <c r="T16" s="111">
        <f t="shared" ca="1" si="2"/>
        <v>9146761.75</v>
      </c>
      <c r="U16" s="111">
        <f t="shared" ca="1" si="2"/>
        <v>3948210.5999999996</v>
      </c>
      <c r="V16" s="111"/>
      <c r="W16" s="112">
        <f t="shared" ca="1" si="2"/>
        <v>5391592.1500000004</v>
      </c>
    </row>
    <row r="17" spans="1:23" ht="15" customHeight="1" x14ac:dyDescent="0.15">
      <c r="A17" s="57" t="s">
        <v>99</v>
      </c>
      <c r="B17" s="84">
        <f t="shared" ref="B17:O17" ca="1" si="3">ROUND(PERCENTILE(_xlfn.ANCHORARRAY(B20),ci_alpha/2),2)</f>
        <v>2026186.65</v>
      </c>
      <c r="C17" s="109">
        <f t="shared" ca="1" si="3"/>
        <v>3424718.2</v>
      </c>
      <c r="D17" s="109">
        <f t="shared" ca="1" si="3"/>
        <v>12044651.699999999</v>
      </c>
      <c r="E17" s="109">
        <f t="shared" ca="1" si="3"/>
        <v>4362960.95</v>
      </c>
      <c r="F17" s="109">
        <f t="shared" ca="1" si="3"/>
        <v>-9786245.0500000007</v>
      </c>
      <c r="G17" s="109">
        <f t="shared" ca="1" si="3"/>
        <v>558025.69999999995</v>
      </c>
      <c r="H17" s="109">
        <f t="shared" ca="1" si="3"/>
        <v>939353.75</v>
      </c>
      <c r="I17" s="109">
        <f t="shared" ca="1" si="3"/>
        <v>551193.55000000005</v>
      </c>
      <c r="J17" s="109">
        <f t="shared" ca="1" si="3"/>
        <v>2390434.9500000002</v>
      </c>
      <c r="K17" s="109">
        <f t="shared" ca="1" si="3"/>
        <v>1572090.4</v>
      </c>
      <c r="L17" s="109">
        <f t="shared" ca="1" si="3"/>
        <v>-1467846.5</v>
      </c>
      <c r="M17" s="110">
        <f t="shared" ca="1" si="3"/>
        <v>147062.54999999999</v>
      </c>
      <c r="N17" s="90">
        <f t="shared" ca="1" si="3"/>
        <v>6444301.7999999998</v>
      </c>
      <c r="O17" s="111">
        <f t="shared" ca="1" si="3"/>
        <v>-1756371.25</v>
      </c>
      <c r="P17" s="111"/>
      <c r="Q17" s="111">
        <f ca="1">ROUND(PERCENTILE(_xlfn.ANCHORARRAY(Q20),ci_alpha/2),2)</f>
        <v>3236375.5</v>
      </c>
      <c r="R17" s="111">
        <f ca="1">ROUND(PERCENTILE(_xlfn.ANCHORARRAY(R20),ci_alpha/2),2)</f>
        <v>-586629.9</v>
      </c>
      <c r="S17" s="111"/>
      <c r="T17" s="111">
        <f ca="1">ROUND(PERCENTILE(_xlfn.ANCHORARRAY(T20),ci_alpha/2),2)</f>
        <v>11955733.35</v>
      </c>
      <c r="U17" s="111">
        <f ca="1">ROUND(PERCENTILE(_xlfn.ANCHORARRAY(U20),ci_alpha/2),2)</f>
        <v>3733002.65</v>
      </c>
      <c r="V17" s="111"/>
      <c r="W17" s="112">
        <f ca="1">ROUND(PERCENTILE(_xlfn.ANCHORARRAY(W20),ci_alpha/2),2)</f>
        <v>7836648.7000000002</v>
      </c>
    </row>
    <row r="18" spans="1:23" ht="15" customHeight="1" x14ac:dyDescent="0.15">
      <c r="A18" s="57" t="s">
        <v>100</v>
      </c>
      <c r="B18" s="84">
        <f t="shared" ref="B18:O18" ca="1" si="4">ROUND(PERCENTILE(_xlfn.ANCHORARRAY(B20), 1 - ci_alpha / 2), 2)</f>
        <v>22546238.5</v>
      </c>
      <c r="C18" s="109">
        <f t="shared" ca="1" si="4"/>
        <v>7883235.2000000002</v>
      </c>
      <c r="D18" s="109">
        <f t="shared" ca="1" si="4"/>
        <v>41407409.149999999</v>
      </c>
      <c r="E18" s="109">
        <f t="shared" ca="1" si="4"/>
        <v>9783776.4000000004</v>
      </c>
      <c r="F18" s="109">
        <f t="shared" ca="1" si="4"/>
        <v>93859919.650000006</v>
      </c>
      <c r="G18" s="109">
        <f t="shared" ca="1" si="4"/>
        <v>4305420</v>
      </c>
      <c r="H18" s="109">
        <f t="shared" ca="1" si="4"/>
        <v>1635060.5</v>
      </c>
      <c r="I18" s="109">
        <f t="shared" ca="1" si="4"/>
        <v>1282354.6499999999</v>
      </c>
      <c r="J18" s="109">
        <f t="shared" ca="1" si="4"/>
        <v>4456417.95</v>
      </c>
      <c r="K18" s="109">
        <f t="shared" ca="1" si="4"/>
        <v>3520397.6</v>
      </c>
      <c r="L18" s="109">
        <f t="shared" ca="1" si="4"/>
        <v>14294232.449999999</v>
      </c>
      <c r="M18" s="110">
        <f t="shared" ca="1" si="4"/>
        <v>991360.4</v>
      </c>
      <c r="N18" s="90">
        <f t="shared" ca="1" si="4"/>
        <v>13733209.4</v>
      </c>
      <c r="O18" s="111">
        <f t="shared" ca="1" si="4"/>
        <v>19159308.949999999</v>
      </c>
      <c r="P18" s="111"/>
      <c r="Q18" s="111">
        <f ca="1">ROUND(PERCENTILE(_xlfn.ANCHORARRAY(Q20), 1 - ci_alpha / 2), 2)</f>
        <v>4851536.55</v>
      </c>
      <c r="R18" s="111">
        <f ca="1">ROUND(PERCENTILE(_xlfn.ANCHORARRAY(R20), 1 - ci_alpha / 2), 2)</f>
        <v>7517017.7000000002</v>
      </c>
      <c r="S18" s="111"/>
      <c r="T18" s="111">
        <f ca="1">ROUND(PERCENTILE(_xlfn.ANCHORARRAY(T20), 1 - ci_alpha / 2), 2)</f>
        <v>30249256.850000001</v>
      </c>
      <c r="U18" s="111">
        <f ca="1">ROUND(PERCENTILE(_xlfn.ANCHORARRAY(U20), 1 - ci_alpha / 2), 2)</f>
        <v>11629423.85</v>
      </c>
      <c r="V18" s="111"/>
      <c r="W18" s="112">
        <f ca="1">ROUND(PERCENTILE(_xlfn.ANCHORARRAY(W20), 1 - ci_alpha / 2), 2)</f>
        <v>18619833</v>
      </c>
    </row>
    <row r="19" spans="1:23" ht="15" customHeight="1" x14ac:dyDescent="0.15">
      <c r="A19" s="52"/>
      <c r="B19" s="113"/>
      <c r="C19" s="114"/>
      <c r="D19" s="114"/>
      <c r="E19" s="114"/>
      <c r="F19" s="114"/>
      <c r="G19" s="114"/>
      <c r="H19" s="114"/>
      <c r="I19" s="114"/>
      <c r="J19" s="114"/>
      <c r="K19" s="114"/>
      <c r="L19" s="114"/>
      <c r="M19" s="115"/>
      <c r="N19" s="116">
        <f ca="1">ROUND(SUM(B20:E20) / year_ref,0)</f>
        <v>12592475</v>
      </c>
      <c r="O19" s="114"/>
      <c r="P19" s="54"/>
      <c r="Q19" s="114"/>
      <c r="R19" s="114"/>
      <c r="S19" s="54"/>
      <c r="T19" s="114"/>
      <c r="U19" s="114"/>
      <c r="V19" s="54"/>
      <c r="W19" s="115"/>
    </row>
    <row r="20" spans="1:23" ht="15" customHeight="1" x14ac:dyDescent="0.15">
      <c r="A20" s="71" cm="1">
        <f t="array" ref="A20:A29">_xlfn.SEQUENCE(n_iter, 1, 1, 1)</f>
        <v>1</v>
      </c>
      <c r="B20" s="126" cm="1">
        <f t="array" aca="1" ref="B20:B29" ca="1">ROUND(_xlfn.ANCHORARRAY(SIMS_AD!B20) *_xlfn.ANCHORARRAY( SIMS_EF!B20), 0)</f>
        <v>18317044</v>
      </c>
      <c r="C20" s="126" cm="1">
        <f t="array" aca="1" ref="C20:C29" ca="1">ROUND(_xlfn.ANCHORARRAY(SIMS_AD!C20) *_xlfn.ANCHORARRAY( SIMS_EF!C20), 0)</f>
        <v>4892097</v>
      </c>
      <c r="D20" s="126" cm="1">
        <f t="array" aca="1" ref="D20:D29" ca="1">ROUND(_xlfn.ANCHORARRAY(SIMS_AD!D20) *_xlfn.ANCHORARRAY( SIMS_EF!D20), 0)</f>
        <v>33340062</v>
      </c>
      <c r="E20" s="126" cm="1">
        <f t="array" aca="1" ref="E20:E29" ca="1">ROUND(_xlfn.ANCHORARRAY(SIMS_AD!E20) *_xlfn.ANCHORARRAY( SIMS_EF!E20), 0)</f>
        <v>6413174</v>
      </c>
      <c r="F20" s="126" cm="1">
        <f t="array" aca="1" ref="F20:F29" ca="1">ROUND(_xlfn.ANCHORARRAY(SIMS_AD!F20) *_xlfn.ANCHORARRAY( SIMS_EF!F20), 0)</f>
        <v>47682002</v>
      </c>
      <c r="G20" s="126" cm="1">
        <f t="array" aca="1" ref="G20:G29" ca="1">ROUND(_xlfn.ANCHORARRAY(SIMS_AD!G20) *_xlfn.ANCHORARRAY( SIMS_EF!G20), 0)</f>
        <v>2838716</v>
      </c>
      <c r="H20" s="126" cm="1">
        <f t="array" aca="1" ref="H20:H29" ca="1">ROUND(_xlfn.ANCHORARRAY(SIMS_AD!H20) *_xlfn.ANCHORARRAY( SIMS_EF!H20), 0)</f>
        <v>1436993</v>
      </c>
      <c r="I20" s="126" cm="1">
        <f t="array" aca="1" ref="I20:I29" ca="1">ROUND(_xlfn.ANCHORARRAY(SIMS_AD!I20) *_xlfn.ANCHORARRAY( SIMS_EF!I20), 0)</f>
        <v>951356</v>
      </c>
      <c r="J20" s="126" cm="1">
        <f t="array" aca="1" ref="J20:J29" ca="1">ROUND(_xlfn.ANCHORARRAY(SIMS_AD!J20) *_xlfn.ANCHORARRAY( SIMS_EF!J20), 0)</f>
        <v>3181135</v>
      </c>
      <c r="K20" s="126" cm="1">
        <f t="array" aca="1" ref="K20:K29" ca="1">ROUND(_xlfn.ANCHORARRAY(SIMS_AD!K20) *_xlfn.ANCHORARRAY( SIMS_EF!K20), 0)</f>
        <v>1987262</v>
      </c>
      <c r="L20" s="126" cm="1">
        <f t="array" aca="1" ref="L20:L29" ca="1">ROUND(_xlfn.ANCHORARRAY(SIMS_AD!L20) *_xlfn.ANCHORARRAY( SIMS_EF!L20), 0)</f>
        <v>8270823</v>
      </c>
      <c r="M20" s="126" cm="1">
        <f t="array" aca="1" ref="M20:M29" ca="1">ROUND(_xlfn.ANCHORARRAY(SIMS_AD!M20) *_xlfn.ANCHORARRAY( SIMS_EF!M20), 0)</f>
        <v>681342</v>
      </c>
      <c r="N20" s="117" cm="1">
        <f t="array" aca="1" ref="N20:N29" ca="1">_xlfn.BYROW(_xlfn.ANCHORARRAY(B20):_xlfn.ANCHORARRAY(E20),_xlfn.LAMBDA(_xlpm.x, ROUND(SUM(_xlpm.x)/year_ref,0)))</f>
        <v>12592475</v>
      </c>
      <c r="O20" s="117" cm="1">
        <f t="array" aca="1" ref="O20:O29" ca="1">_xlfn.BYROW(_xlfn.ANCHORARRAY(F20):_xlfn.ANCHORARRAY(G20),_xlfn.LAMBDA(_xlpm.x, ROUND(SUM(_xlpm.x)/year_ref,0)))</f>
        <v>10104144</v>
      </c>
      <c r="P20" s="118"/>
      <c r="Q20" s="117" cm="1">
        <f t="array" aca="1" ref="Q20:Q29" ca="1">_xlfn.BYROW(_xlfn.ANCHORARRAY(H20):_xlfn.ANCHORARRAY(K20),_xlfn.LAMBDA(_xlpm.x, ROUND(SUM(_xlpm.x)/year_mon,0)))</f>
        <v>3778373</v>
      </c>
      <c r="R20" s="117" cm="1">
        <f t="array" aca="1" ref="R20:R29" ca="1">_xlfn.BYROW(_xlfn.ANCHORARRAY(L20):_xlfn.ANCHORARRAY(M20),_xlfn.LAMBDA(_xlpm.x, ROUND(SUM(_xlpm.x)/year_mon,0)))</f>
        <v>4476083</v>
      </c>
      <c r="S20" s="118"/>
      <c r="T20" s="117" cm="1">
        <f t="array" aca="1" ref="T20:T29" ca="1">_xlfn.ANCHORARRAY(N20) +_xlfn.ANCHORARRAY( O20)</f>
        <v>22696619</v>
      </c>
      <c r="U20" s="117" cm="1">
        <f t="array" aca="1" ref="U20:U29" ca="1">_xlfn.ANCHORARRAY(Q20) +_xlfn.ANCHORARRAY( R20)</f>
        <v>8254456</v>
      </c>
      <c r="V20" s="118"/>
      <c r="W20" s="117" cm="1">
        <f t="array" aca="1" ref="W20:W29" ca="1">_xlfn.ANCHORARRAY(T20) -_xlfn.ANCHORARRAY( U20)</f>
        <v>14442163</v>
      </c>
    </row>
    <row r="21" spans="1:23" ht="15" customHeight="1" x14ac:dyDescent="0.15">
      <c r="A21">
        <v>2</v>
      </c>
      <c r="B21">
        <f ca="1"/>
        <v>21412540</v>
      </c>
      <c r="C21">
        <f ca="1"/>
        <v>7007864</v>
      </c>
      <c r="D21">
        <f ca="1"/>
        <v>30804292</v>
      </c>
      <c r="E21">
        <f ca="1"/>
        <v>5664283</v>
      </c>
      <c r="F21">
        <f ca="1"/>
        <v>94415293</v>
      </c>
      <c r="G21">
        <f ca="1"/>
        <v>2717231</v>
      </c>
      <c r="H21">
        <f ca="1"/>
        <v>1518224</v>
      </c>
      <c r="I21">
        <f ca="1"/>
        <v>1029565</v>
      </c>
      <c r="J21">
        <f ca="1"/>
        <v>3370804</v>
      </c>
      <c r="K21">
        <f ca="1"/>
        <v>3527585</v>
      </c>
      <c r="L21">
        <f ca="1"/>
        <v>16583670</v>
      </c>
      <c r="M21">
        <f ca="1"/>
        <v>646756</v>
      </c>
      <c r="N21">
        <f ca="1"/>
        <v>12977796</v>
      </c>
      <c r="O21">
        <f ca="1"/>
        <v>19426505</v>
      </c>
      <c r="Q21">
        <f ca="1"/>
        <v>4723089</v>
      </c>
      <c r="R21">
        <f ca="1"/>
        <v>8615213</v>
      </c>
      <c r="T21">
        <f ca="1"/>
        <v>32404301</v>
      </c>
      <c r="U21">
        <f ca="1"/>
        <v>13338302</v>
      </c>
      <c r="W21">
        <f ca="1"/>
        <v>19065999</v>
      </c>
    </row>
    <row r="22" spans="1:23" ht="15" customHeight="1" x14ac:dyDescent="0.15">
      <c r="A22">
        <v>3</v>
      </c>
      <c r="B22">
        <f ca="1"/>
        <v>19312652</v>
      </c>
      <c r="C22">
        <f ca="1"/>
        <v>5349219</v>
      </c>
      <c r="D22">
        <f ca="1"/>
        <v>39241601</v>
      </c>
      <c r="E22">
        <f ca="1"/>
        <v>5237434</v>
      </c>
      <c r="F22">
        <f ca="1"/>
        <v>-348613</v>
      </c>
      <c r="G22">
        <f ca="1"/>
        <v>531743</v>
      </c>
      <c r="H22">
        <f ca="1"/>
        <v>1308996</v>
      </c>
      <c r="I22">
        <f ca="1"/>
        <v>697858</v>
      </c>
      <c r="J22">
        <f ca="1"/>
        <v>3491557</v>
      </c>
      <c r="K22">
        <f ca="1"/>
        <v>2406690</v>
      </c>
      <c r="L22">
        <f ca="1"/>
        <v>-48819</v>
      </c>
      <c r="M22">
        <f ca="1"/>
        <v>161809</v>
      </c>
      <c r="N22">
        <f ca="1"/>
        <v>13828181</v>
      </c>
      <c r="O22">
        <f ca="1"/>
        <v>36626</v>
      </c>
      <c r="Q22">
        <f ca="1"/>
        <v>3952551</v>
      </c>
      <c r="R22">
        <f ca="1"/>
        <v>56495</v>
      </c>
      <c r="T22">
        <f ca="1"/>
        <v>13864807</v>
      </c>
      <c r="U22">
        <f ca="1"/>
        <v>4009046</v>
      </c>
      <c r="W22">
        <f ca="1"/>
        <v>9855761</v>
      </c>
    </row>
    <row r="23" spans="1:23" ht="15" customHeight="1" x14ac:dyDescent="0.15">
      <c r="A23">
        <v>4</v>
      </c>
      <c r="B23">
        <f ca="1"/>
        <v>11612348</v>
      </c>
      <c r="C23">
        <f ca="1"/>
        <v>5830148</v>
      </c>
      <c r="D23">
        <f ca="1"/>
        <v>31998500</v>
      </c>
      <c r="E23">
        <f ca="1"/>
        <v>6104641</v>
      </c>
      <c r="F23">
        <f ca="1"/>
        <v>29322529</v>
      </c>
      <c r="G23">
        <f ca="1"/>
        <v>4744845</v>
      </c>
      <c r="H23">
        <f ca="1"/>
        <v>1499610</v>
      </c>
      <c r="I23">
        <f ca="1"/>
        <v>1303830</v>
      </c>
      <c r="J23">
        <f ca="1"/>
        <v>4902687</v>
      </c>
      <c r="K23">
        <f ca="1"/>
        <v>2207132</v>
      </c>
      <c r="L23">
        <f ca="1"/>
        <v>4058633</v>
      </c>
      <c r="M23">
        <f ca="1"/>
        <v>1104134</v>
      </c>
      <c r="N23">
        <f ca="1"/>
        <v>11109127</v>
      </c>
      <c r="O23">
        <f ca="1"/>
        <v>6813475</v>
      </c>
      <c r="Q23">
        <f ca="1"/>
        <v>4956630</v>
      </c>
      <c r="R23">
        <f ca="1"/>
        <v>2581384</v>
      </c>
      <c r="T23">
        <f ca="1"/>
        <v>17922602</v>
      </c>
      <c r="U23">
        <f ca="1"/>
        <v>7538014</v>
      </c>
      <c r="W23">
        <f ca="1"/>
        <v>10384588</v>
      </c>
    </row>
    <row r="24" spans="1:23" ht="15" customHeight="1" x14ac:dyDescent="0.15">
      <c r="A24">
        <v>5</v>
      </c>
      <c r="B24">
        <f ca="1"/>
        <v>23473810</v>
      </c>
      <c r="C24">
        <f ca="1"/>
        <v>2790409</v>
      </c>
      <c r="D24">
        <f ca="1"/>
        <v>35509033</v>
      </c>
      <c r="E24">
        <f ca="1"/>
        <v>3647483</v>
      </c>
      <c r="F24">
        <f ca="1"/>
        <v>57881832</v>
      </c>
      <c r="G24">
        <f ca="1"/>
        <v>2628277</v>
      </c>
      <c r="H24">
        <f ca="1"/>
        <v>1320651</v>
      </c>
      <c r="I24">
        <f ca="1"/>
        <v>484216</v>
      </c>
      <c r="J24">
        <f ca="1"/>
        <v>2693172</v>
      </c>
      <c r="K24">
        <f ca="1"/>
        <v>1762573</v>
      </c>
      <c r="L24">
        <f ca="1"/>
        <v>8064467</v>
      </c>
      <c r="M24">
        <f ca="1"/>
        <v>744537</v>
      </c>
      <c r="N24">
        <f ca="1"/>
        <v>13084147</v>
      </c>
      <c r="O24">
        <f ca="1"/>
        <v>12102022</v>
      </c>
      <c r="Q24">
        <f ca="1"/>
        <v>3130306</v>
      </c>
      <c r="R24">
        <f ca="1"/>
        <v>4404502</v>
      </c>
      <c r="T24">
        <f ca="1"/>
        <v>25186169</v>
      </c>
      <c r="U24">
        <f ca="1"/>
        <v>7534808</v>
      </c>
      <c r="W24">
        <f ca="1"/>
        <v>17651361</v>
      </c>
    </row>
    <row r="25" spans="1:23" ht="15" customHeight="1" x14ac:dyDescent="0.15">
      <c r="A25">
        <v>6</v>
      </c>
      <c r="B25">
        <f ca="1"/>
        <v>231255</v>
      </c>
      <c r="C25">
        <f ca="1"/>
        <v>5504144</v>
      </c>
      <c r="D25">
        <f ca="1"/>
        <v>16697534</v>
      </c>
      <c r="E25">
        <f ca="1"/>
        <v>6821313</v>
      </c>
      <c r="F25">
        <f ca="1"/>
        <v>93181130</v>
      </c>
      <c r="G25">
        <f ca="1"/>
        <v>590149</v>
      </c>
      <c r="H25">
        <f ca="1"/>
        <v>1345482</v>
      </c>
      <c r="I25">
        <f ca="1"/>
        <v>693089</v>
      </c>
      <c r="J25">
        <f ca="1"/>
        <v>2332245</v>
      </c>
      <c r="K25">
        <f ca="1"/>
        <v>3511613</v>
      </c>
      <c r="L25">
        <f ca="1"/>
        <v>10888054</v>
      </c>
      <c r="M25">
        <f ca="1"/>
        <v>143796</v>
      </c>
      <c r="N25">
        <f ca="1"/>
        <v>5850849</v>
      </c>
      <c r="O25">
        <f ca="1"/>
        <v>18754256</v>
      </c>
      <c r="Q25">
        <f ca="1"/>
        <v>3941215</v>
      </c>
      <c r="R25">
        <f ca="1"/>
        <v>5515925</v>
      </c>
      <c r="T25">
        <f ca="1"/>
        <v>24605105</v>
      </c>
      <c r="U25">
        <f ca="1"/>
        <v>9457140</v>
      </c>
      <c r="W25">
        <f ca="1"/>
        <v>15147965</v>
      </c>
    </row>
    <row r="26" spans="1:23" ht="15" customHeight="1" x14ac:dyDescent="0.15">
      <c r="A26">
        <v>7</v>
      </c>
      <c r="B26">
        <f ca="1"/>
        <v>4219992</v>
      </c>
      <c r="C26">
        <f ca="1"/>
        <v>8599448</v>
      </c>
      <c r="D26">
        <f ca="1"/>
        <v>43179434</v>
      </c>
      <c r="E26">
        <f ca="1"/>
        <v>12086790</v>
      </c>
      <c r="F26">
        <f ca="1"/>
        <v>-17507944</v>
      </c>
      <c r="G26">
        <f ca="1"/>
        <v>1391099</v>
      </c>
      <c r="H26">
        <f ca="1"/>
        <v>1136704</v>
      </c>
      <c r="I26">
        <f ca="1"/>
        <v>1256107</v>
      </c>
      <c r="J26">
        <f ca="1"/>
        <v>3910978</v>
      </c>
      <c r="K26">
        <f ca="1"/>
        <v>2936155</v>
      </c>
      <c r="L26">
        <f ca="1"/>
        <v>-2628869</v>
      </c>
      <c r="M26">
        <f ca="1"/>
        <v>403224</v>
      </c>
      <c r="N26">
        <f ca="1"/>
        <v>13617133</v>
      </c>
      <c r="O26">
        <f ca="1"/>
        <v>-3223369</v>
      </c>
      <c r="Q26">
        <f ca="1"/>
        <v>4619972</v>
      </c>
      <c r="R26">
        <f ca="1"/>
        <v>-1112823</v>
      </c>
      <c r="T26">
        <f ca="1"/>
        <v>10393764</v>
      </c>
      <c r="U26">
        <f ca="1"/>
        <v>3507149</v>
      </c>
      <c r="W26">
        <f ca="1"/>
        <v>6886615</v>
      </c>
    </row>
    <row r="27" spans="1:23" ht="15" customHeight="1" x14ac:dyDescent="0.15">
      <c r="A27">
        <v>8</v>
      </c>
      <c r="B27">
        <f ca="1"/>
        <v>9188699</v>
      </c>
      <c r="C27">
        <f ca="1"/>
        <v>6994004</v>
      </c>
      <c r="D27">
        <f ca="1"/>
        <v>20839026</v>
      </c>
      <c r="E27">
        <f ca="1"/>
        <v>6891160</v>
      </c>
      <c r="F27">
        <f ca="1"/>
        <v>90395335</v>
      </c>
      <c r="G27">
        <f ca="1"/>
        <v>3768345</v>
      </c>
      <c r="H27">
        <f ca="1"/>
        <v>1730654</v>
      </c>
      <c r="I27">
        <f ca="1"/>
        <v>1123581</v>
      </c>
      <c r="J27">
        <f ca="1"/>
        <v>2461556</v>
      </c>
      <c r="K27">
        <f ca="1"/>
        <v>1416241</v>
      </c>
      <c r="L27">
        <f ca="1"/>
        <v>11496031</v>
      </c>
      <c r="M27">
        <f ca="1"/>
        <v>853526</v>
      </c>
      <c r="N27">
        <f ca="1"/>
        <v>8782578</v>
      </c>
      <c r="O27">
        <f ca="1"/>
        <v>18832736</v>
      </c>
      <c r="Q27">
        <f ca="1"/>
        <v>3366016</v>
      </c>
      <c r="R27">
        <f ca="1"/>
        <v>6174779</v>
      </c>
      <c r="T27">
        <f ca="1"/>
        <v>27615314</v>
      </c>
      <c r="U27">
        <f ca="1"/>
        <v>9540795</v>
      </c>
      <c r="W27">
        <f ca="1"/>
        <v>18074519</v>
      </c>
    </row>
    <row r="28" spans="1:23" ht="15" customHeight="1" x14ac:dyDescent="0.15">
      <c r="A28">
        <v>9</v>
      </c>
      <c r="B28">
        <f ca="1"/>
        <v>9356697</v>
      </c>
      <c r="C28">
        <f ca="1"/>
        <v>4995736</v>
      </c>
      <c r="D28">
        <f ca="1"/>
        <v>21699200</v>
      </c>
      <c r="E28">
        <f ca="1"/>
        <v>6634222</v>
      </c>
      <c r="F28">
        <f ca="1"/>
        <v>38900178</v>
      </c>
      <c r="G28">
        <f ca="1"/>
        <v>693348</v>
      </c>
      <c r="H28">
        <f ca="1"/>
        <v>1117111</v>
      </c>
      <c r="I28">
        <f ca="1"/>
        <v>790421</v>
      </c>
      <c r="J28">
        <f ca="1"/>
        <v>2902605</v>
      </c>
      <c r="K28">
        <f ca="1"/>
        <v>2230736</v>
      </c>
      <c r="L28">
        <f ca="1"/>
        <v>6546530</v>
      </c>
      <c r="M28">
        <f ca="1"/>
        <v>151055</v>
      </c>
      <c r="N28">
        <f ca="1"/>
        <v>8537171</v>
      </c>
      <c r="O28">
        <f ca="1"/>
        <v>7918705</v>
      </c>
      <c r="Q28">
        <f ca="1"/>
        <v>3520437</v>
      </c>
      <c r="R28">
        <f ca="1"/>
        <v>3348793</v>
      </c>
      <c r="T28">
        <f ca="1"/>
        <v>16455876</v>
      </c>
      <c r="U28">
        <f ca="1"/>
        <v>6869230</v>
      </c>
      <c r="W28">
        <f ca="1"/>
        <v>9586646</v>
      </c>
    </row>
    <row r="29" spans="1:23" ht="15" customHeight="1" x14ac:dyDescent="0.15">
      <c r="A29">
        <v>10</v>
      </c>
      <c r="B29">
        <f ca="1"/>
        <v>16441448</v>
      </c>
      <c r="C29">
        <f ca="1"/>
        <v>4199985</v>
      </c>
      <c r="D29">
        <f ca="1"/>
        <v>8237748</v>
      </c>
      <c r="E29">
        <f ca="1"/>
        <v>6968982</v>
      </c>
      <c r="F29">
        <f ca="1"/>
        <v>39774337</v>
      </c>
      <c r="G29">
        <f ca="1"/>
        <v>2540800</v>
      </c>
      <c r="H29">
        <f ca="1"/>
        <v>793916</v>
      </c>
      <c r="I29">
        <f ca="1"/>
        <v>633055</v>
      </c>
      <c r="J29">
        <f ca="1"/>
        <v>3357039</v>
      </c>
      <c r="K29">
        <f ca="1"/>
        <v>2154022</v>
      </c>
      <c r="L29">
        <f ca="1"/>
        <v>5714591</v>
      </c>
      <c r="M29">
        <f ca="1"/>
        <v>617095</v>
      </c>
      <c r="N29">
        <f ca="1"/>
        <v>7169633</v>
      </c>
      <c r="O29">
        <f ca="1"/>
        <v>8463027</v>
      </c>
      <c r="Q29">
        <f ca="1"/>
        <v>3469016</v>
      </c>
      <c r="R29">
        <f ca="1"/>
        <v>3165843</v>
      </c>
      <c r="T29">
        <f ca="1"/>
        <v>15632660</v>
      </c>
      <c r="U29">
        <f ca="1"/>
        <v>6634859</v>
      </c>
      <c r="W29">
        <f ca="1"/>
        <v>8997801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11</vt:i4>
      </vt:variant>
      <vt:variant>
        <vt:lpstr>Named Ranges</vt:lpstr>
      </vt:variant>
      <vt:variant>
        <vt:i4>5</vt:i4>
      </vt:variant>
    </vt:vector>
  </HeadingPairs>
  <TitlesOfParts>
    <vt:vector size="16" baseType="lpstr">
      <vt:lpstr>Instructions</vt:lpstr>
      <vt:lpstr>user_input_details</vt:lpstr>
      <vt:lpstr>user_inputs</vt:lpstr>
      <vt:lpstr>time_periods</vt:lpstr>
      <vt:lpstr>AD_lu_transitions</vt:lpstr>
      <vt:lpstr>c_stocks</vt:lpstr>
      <vt:lpstr>SIMS_io</vt:lpstr>
      <vt:lpstr>SIMS_EF_preparation</vt:lpstr>
      <vt:lpstr>SIMS_EF</vt:lpstr>
      <vt:lpstr>SIMS_AD</vt:lpstr>
      <vt:lpstr>SIMS_E</vt:lpstr>
      <vt:lpstr>ci_alpha</vt:lpstr>
      <vt:lpstr>conf_level</vt:lpstr>
      <vt:lpstr>n_iter</vt:lpstr>
      <vt:lpstr>year_mon</vt:lpstr>
      <vt:lpstr>year_ref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Sola, Gael (NFOM)</cp:lastModifiedBy>
  <dcterms:created xsi:type="dcterms:W3CDTF">2024-12-16T14:11:21Z</dcterms:created>
  <dcterms:modified xsi:type="dcterms:W3CDTF">2025-05-19T23:06:19Z</dcterms:modified>
</cp:coreProperties>
</file>