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gaelsola/Github-Collabs/mocaredd/inst/extdata/"/>
    </mc:Choice>
  </mc:AlternateContent>
  <xr:revisionPtr revIDLastSave="0" documentId="13_ncr:1_{806DF80D-6811-B546-8415-4D2CFF70057C}" xr6:coauthVersionLast="47" xr6:coauthVersionMax="47" xr10:uidLastSave="{00000000-0000-0000-0000-000000000000}"/>
  <bookViews>
    <workbookView xWindow="1380" yWindow="760" windowWidth="28860" windowHeight="18880" activeTab="2" xr2:uid="{00000000-000D-0000-FFFF-FFFF00000000}"/>
  </bookViews>
  <sheets>
    <sheet name="Instructions" sheetId="11" r:id="rId1"/>
    <sheet name="user_input_details" sheetId="1" r:id="rId2"/>
    <sheet name="user_inputs" sheetId="2" r:id="rId3"/>
    <sheet name="time_periods" sheetId="3" r:id="rId4"/>
    <sheet name="AD_lu_transitions" sheetId="4" r:id="rId5"/>
    <sheet name="c_stocks" sheetId="5" r:id="rId6"/>
    <sheet name="SIMS_io" sheetId="6" r:id="rId7"/>
    <sheet name="SIMS_EF_preparation" sheetId="7" r:id="rId8"/>
    <sheet name="SIMS_EF" sheetId="8" r:id="rId9"/>
    <sheet name="SIMS_AD" sheetId="9" r:id="rId10"/>
    <sheet name="SIMS_E" sheetId="10" r:id="rId11"/>
  </sheets>
  <definedNames>
    <definedName name="ci_alpha">SIMS_io!$F$5</definedName>
    <definedName name="conf_level">SIMS_io!$C$5</definedName>
    <definedName name="n_iter">SIMS_io!$B$5</definedName>
    <definedName name="year_mon">SIMS_io!$E$5</definedName>
    <definedName name="year_ref">SIMS_io!$D$5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7" l="1"/>
  <c r="L6" i="7"/>
  <c r="A20" i="10" l="1" a="1"/>
  <c r="A20" i="10" s="1"/>
  <c r="M20" i="9" a="1"/>
  <c r="M20" i="9" s="1"/>
  <c r="M18" i="9" s="1"/>
  <c r="L20" i="9" a="1"/>
  <c r="L20" i="9" s="1"/>
  <c r="L18" i="9" s="1"/>
  <c r="K20" i="9" a="1"/>
  <c r="K20" i="9" s="1"/>
  <c r="K18" i="9" s="1"/>
  <c r="J20" i="9" a="1"/>
  <c r="J20" i="9" s="1"/>
  <c r="J18" i="9" s="1"/>
  <c r="I20" i="9" a="1"/>
  <c r="I20" i="9" s="1"/>
  <c r="I18" i="9" s="1"/>
  <c r="H20" i="9" a="1"/>
  <c r="H20" i="9" s="1"/>
  <c r="H18" i="9" s="1"/>
  <c r="G20" i="9" a="1"/>
  <c r="G20" i="9" s="1"/>
  <c r="G18" i="9" s="1"/>
  <c r="F20" i="9" a="1"/>
  <c r="F20" i="9" s="1"/>
  <c r="F18" i="9" s="1"/>
  <c r="E20" i="9" a="1"/>
  <c r="E20" i="9" s="1"/>
  <c r="E17" i="9" s="1"/>
  <c r="D20" i="9" a="1"/>
  <c r="D20" i="9" s="1"/>
  <c r="D18" i="9" s="1"/>
  <c r="C20" i="9" a="1"/>
  <c r="C20" i="9" s="1"/>
  <c r="C17" i="9" s="1"/>
  <c r="B20" i="9" a="1"/>
  <c r="B20" i="9" s="1"/>
  <c r="B14" i="9" s="1"/>
  <c r="A20" i="9" a="1"/>
  <c r="A20" i="9" s="1"/>
  <c r="I6" i="8" a="1"/>
  <c r="I6" i="8" s="1"/>
  <c r="H6" i="8" a="1"/>
  <c r="H6" i="8" s="1"/>
  <c r="C6" i="8" a="1"/>
  <c r="C6" i="8" s="1"/>
  <c r="B6" i="8" a="1"/>
  <c r="B6" i="8" s="1"/>
  <c r="C18" i="9" l="1"/>
  <c r="C16" i="9" s="1"/>
  <c r="B18" i="9"/>
  <c r="E18" i="9"/>
  <c r="E16" i="9" s="1"/>
  <c r="B17" i="9"/>
  <c r="D14" i="9"/>
  <c r="D17" i="9"/>
  <c r="D16" i="9" s="1"/>
  <c r="E14" i="9"/>
  <c r="F14" i="9"/>
  <c r="F17" i="9"/>
  <c r="F16" i="9" s="1"/>
  <c r="G14" i="9"/>
  <c r="G17" i="9"/>
  <c r="G16" i="9" s="1"/>
  <c r="H14" i="9"/>
  <c r="H17" i="9"/>
  <c r="H16" i="9" s="1"/>
  <c r="C14" i="9"/>
  <c r="I14" i="9"/>
  <c r="I17" i="9"/>
  <c r="I16" i="9" s="1"/>
  <c r="J14" i="9"/>
  <c r="J17" i="9"/>
  <c r="J16" i="9" s="1"/>
  <c r="K14" i="9"/>
  <c r="K17" i="9"/>
  <c r="K16" i="9" s="1"/>
  <c r="L14" i="9"/>
  <c r="L17" i="9"/>
  <c r="L16" i="9" s="1"/>
  <c r="M14" i="9"/>
  <c r="M17" i="9"/>
  <c r="M16" i="9" s="1"/>
  <c r="I15" i="9" l="1"/>
  <c r="F15" i="9"/>
  <c r="J15" i="9"/>
  <c r="H15" i="9"/>
  <c r="L15" i="9"/>
  <c r="B16" i="9"/>
  <c r="B15" i="9" s="1"/>
  <c r="D15" i="9"/>
  <c r="G15" i="9"/>
  <c r="E15" i="9"/>
  <c r="M15" i="9"/>
  <c r="K15" i="9"/>
  <c r="C15" i="9"/>
  <c r="A20" i="8" l="1" a="1"/>
  <c r="A20" i="8" s="1"/>
  <c r="I20" i="7" a="1"/>
  <c r="I20" i="7" s="1"/>
  <c r="P20" i="7" s="1" a="1"/>
  <c r="P20" i="7" s="1"/>
  <c r="H20" i="7" a="1"/>
  <c r="H20" i="7" s="1"/>
  <c r="H14" i="7" s="1"/>
  <c r="G20" i="7" a="1"/>
  <c r="G20" i="7" s="1"/>
  <c r="F20" i="7" a="1"/>
  <c r="F20" i="7" s="1"/>
  <c r="F17" i="7" s="1"/>
  <c r="E20" i="7" a="1"/>
  <c r="E20" i="7" s="1"/>
  <c r="D20" i="7" a="1"/>
  <c r="D20" i="7" s="1"/>
  <c r="C20" i="7" a="1"/>
  <c r="A20" i="7" a="1"/>
  <c r="A20" i="7" s="1"/>
  <c r="B20" i="7" a="1"/>
  <c r="B20" i="7" s="1"/>
  <c r="L11" i="9"/>
  <c r="H11" i="9"/>
  <c r="D11" i="9"/>
  <c r="L10" i="9"/>
  <c r="H10" i="9"/>
  <c r="D10" i="9"/>
  <c r="L9" i="9"/>
  <c r="H9" i="9"/>
  <c r="D9" i="9"/>
  <c r="L8" i="9"/>
  <c r="H8" i="9"/>
  <c r="D8" i="9"/>
  <c r="L7" i="9"/>
  <c r="H7" i="9"/>
  <c r="D7" i="9"/>
  <c r="L6" i="9"/>
  <c r="H6" i="9"/>
  <c r="D6" i="9"/>
  <c r="L5" i="9"/>
  <c r="H5" i="9"/>
  <c r="D5" i="9"/>
  <c r="L4" i="9"/>
  <c r="H4" i="9"/>
  <c r="D4" i="9"/>
  <c r="L3" i="9"/>
  <c r="H3" i="9"/>
  <c r="D3" i="9"/>
  <c r="L2" i="9"/>
  <c r="H2" i="9"/>
  <c r="D2" i="9"/>
  <c r="B2" i="9" a="1"/>
  <c r="K11" i="9" s="1"/>
  <c r="H6" i="10"/>
  <c r="B7" i="7"/>
  <c r="B6" i="7" a="1"/>
  <c r="B8" i="7" s="1"/>
  <c r="B6" i="7"/>
  <c r="D10" i="7"/>
  <c r="H9" i="7"/>
  <c r="I8" i="7"/>
  <c r="G8" i="7"/>
  <c r="H5" i="7"/>
  <c r="F5" i="7"/>
  <c r="C5" i="7"/>
  <c r="G4" i="7"/>
  <c r="C2" i="7" a="1"/>
  <c r="F11" i="7" s="1"/>
  <c r="F5" i="6"/>
  <c r="B8" i="5"/>
  <c r="K7" i="5"/>
  <c r="J7" i="5"/>
  <c r="B7" i="5"/>
  <c r="K6" i="5"/>
  <c r="J6" i="5"/>
  <c r="B6" i="5"/>
  <c r="B5" i="5"/>
  <c r="B4" i="5"/>
  <c r="B3" i="5"/>
  <c r="B2" i="5"/>
  <c r="B13" i="4"/>
  <c r="B12" i="4"/>
  <c r="B11" i="4"/>
  <c r="B10" i="4"/>
  <c r="B9" i="4"/>
  <c r="B8" i="4"/>
  <c r="B7" i="4"/>
  <c r="B6" i="4"/>
  <c r="B5" i="4"/>
  <c r="B4" i="4"/>
  <c r="B3" i="4"/>
  <c r="B2" i="4"/>
  <c r="C20" i="7" l="1"/>
  <c r="L19" i="7" s="1"/>
  <c r="M20" i="7" a="1"/>
  <c r="M20" i="7" s="1"/>
  <c r="K20" i="7" a="1"/>
  <c r="K20" i="7" s="1"/>
  <c r="J20" i="7" a="1"/>
  <c r="J20" i="7" s="1"/>
  <c r="D18" i="7"/>
  <c r="D17" i="7"/>
  <c r="E17" i="7"/>
  <c r="E18" i="7"/>
  <c r="E14" i="7"/>
  <c r="C18" i="7"/>
  <c r="C17" i="7"/>
  <c r="C14" i="7"/>
  <c r="G14" i="7"/>
  <c r="G17" i="7"/>
  <c r="G18" i="7"/>
  <c r="F18" i="7"/>
  <c r="F16" i="7" s="1"/>
  <c r="D14" i="7"/>
  <c r="H18" i="7"/>
  <c r="I18" i="7"/>
  <c r="F14" i="7"/>
  <c r="H17" i="7"/>
  <c r="I17" i="7"/>
  <c r="I14" i="7"/>
  <c r="D5" i="7"/>
  <c r="D9" i="7"/>
  <c r="E2" i="7"/>
  <c r="H6" i="7"/>
  <c r="G10" i="7"/>
  <c r="H11" i="7"/>
  <c r="C10" i="7"/>
  <c r="E8" i="7"/>
  <c r="G6" i="7"/>
  <c r="I4" i="7"/>
  <c r="D3" i="7"/>
  <c r="G11" i="7"/>
  <c r="I9" i="7"/>
  <c r="D8" i="7"/>
  <c r="F6" i="7"/>
  <c r="H4" i="7"/>
  <c r="C3" i="7"/>
  <c r="E11" i="7"/>
  <c r="G9" i="7"/>
  <c r="I7" i="7"/>
  <c r="D6" i="7"/>
  <c r="F4" i="7"/>
  <c r="H2" i="7"/>
  <c r="D11" i="7"/>
  <c r="F9" i="7"/>
  <c r="H7" i="7"/>
  <c r="C6" i="7"/>
  <c r="E4" i="7"/>
  <c r="G2" i="7"/>
  <c r="C11" i="7"/>
  <c r="E9" i="7"/>
  <c r="G7" i="7"/>
  <c r="I5" i="7"/>
  <c r="D4" i="7"/>
  <c r="F2" i="7"/>
  <c r="H10" i="7"/>
  <c r="C9" i="7"/>
  <c r="E7" i="7"/>
  <c r="G5" i="7"/>
  <c r="I3" i="7"/>
  <c r="D2" i="7"/>
  <c r="F10" i="7"/>
  <c r="H8" i="7"/>
  <c r="C7" i="7"/>
  <c r="E5" i="7"/>
  <c r="G3" i="7"/>
  <c r="C2" i="7"/>
  <c r="E6" i="7"/>
  <c r="E10" i="7"/>
  <c r="I10" i="7"/>
  <c r="E3" i="7"/>
  <c r="I2" i="7"/>
  <c r="I6" i="7"/>
  <c r="P6" i="7" s="1"/>
  <c r="D7" i="7"/>
  <c r="F3" i="7"/>
  <c r="F7" i="7"/>
  <c r="I11" i="7"/>
  <c r="C8" i="7"/>
  <c r="H3" i="7"/>
  <c r="C4" i="7"/>
  <c r="F8" i="7"/>
  <c r="C6" i="10"/>
  <c r="B2" i="9"/>
  <c r="M2" i="9"/>
  <c r="M3" i="9"/>
  <c r="M4" i="9"/>
  <c r="M5" i="9"/>
  <c r="M6" i="9"/>
  <c r="M7" i="9"/>
  <c r="M8" i="9"/>
  <c r="M9" i="9"/>
  <c r="M10" i="9"/>
  <c r="M11" i="9"/>
  <c r="B3" i="9"/>
  <c r="B4" i="9"/>
  <c r="B5" i="9"/>
  <c r="B6" i="9"/>
  <c r="B7" i="9"/>
  <c r="B8" i="9"/>
  <c r="B9" i="9"/>
  <c r="B10" i="9"/>
  <c r="B11" i="9"/>
  <c r="C2" i="9"/>
  <c r="C3" i="9"/>
  <c r="C4" i="9"/>
  <c r="C5" i="9"/>
  <c r="C6" i="9"/>
  <c r="C7" i="9"/>
  <c r="C8" i="9"/>
  <c r="C9" i="9"/>
  <c r="C10" i="9"/>
  <c r="C11" i="9"/>
  <c r="E2" i="9"/>
  <c r="E3" i="9"/>
  <c r="E4" i="9"/>
  <c r="E5" i="9"/>
  <c r="E6" i="9"/>
  <c r="E7" i="9"/>
  <c r="E8" i="9"/>
  <c r="E9" i="9"/>
  <c r="E10" i="9"/>
  <c r="E11" i="9"/>
  <c r="F2" i="9"/>
  <c r="F3" i="9"/>
  <c r="F4" i="9"/>
  <c r="F5" i="9"/>
  <c r="F6" i="9"/>
  <c r="F7" i="9"/>
  <c r="F8" i="9"/>
  <c r="F9" i="9"/>
  <c r="F10" i="9"/>
  <c r="F11" i="9"/>
  <c r="G2" i="9"/>
  <c r="G3" i="9"/>
  <c r="G4" i="9"/>
  <c r="G5" i="9"/>
  <c r="G6" i="9"/>
  <c r="G7" i="9"/>
  <c r="G8" i="9"/>
  <c r="G9" i="9"/>
  <c r="G10" i="9"/>
  <c r="G11" i="9"/>
  <c r="I2" i="9"/>
  <c r="I3" i="9"/>
  <c r="I4" i="9"/>
  <c r="I5" i="9"/>
  <c r="I6" i="9"/>
  <c r="I7" i="9"/>
  <c r="I8" i="9"/>
  <c r="I9" i="9"/>
  <c r="I10" i="9"/>
  <c r="I11" i="9"/>
  <c r="J2" i="9"/>
  <c r="J3" i="9"/>
  <c r="J4" i="9"/>
  <c r="J5" i="9"/>
  <c r="J6" i="9"/>
  <c r="J7" i="9"/>
  <c r="J8" i="9"/>
  <c r="J9" i="9"/>
  <c r="J10" i="9"/>
  <c r="J11" i="9"/>
  <c r="K2" i="9"/>
  <c r="K3" i="9"/>
  <c r="K4" i="9"/>
  <c r="K5" i="9"/>
  <c r="K6" i="9"/>
  <c r="K7" i="9"/>
  <c r="K8" i="9"/>
  <c r="K9" i="9"/>
  <c r="K10" i="9"/>
  <c r="L20" i="7" l="1" a="1"/>
  <c r="L20" i="7" s="1"/>
  <c r="B20" i="8" s="1" a="1"/>
  <c r="B20" i="8" s="1"/>
  <c r="C19" i="8"/>
  <c r="P18" i="7"/>
  <c r="P14" i="7"/>
  <c r="P17" i="7"/>
  <c r="E16" i="7"/>
  <c r="E15" i="7" s="1"/>
  <c r="G16" i="7"/>
  <c r="G15" i="7" s="1"/>
  <c r="I16" i="7"/>
  <c r="I15" i="7" s="1"/>
  <c r="C16" i="7"/>
  <c r="C15" i="7" s="1"/>
  <c r="H16" i="7"/>
  <c r="H15" i="7" s="1"/>
  <c r="D16" i="7"/>
  <c r="D15" i="7" s="1"/>
  <c r="F15" i="7"/>
  <c r="B17" i="7"/>
  <c r="B18" i="7"/>
  <c r="B14" i="7"/>
  <c r="K6" i="7"/>
  <c r="O6" i="7" s="1"/>
  <c r="J6" i="7"/>
  <c r="N6" i="7" s="1"/>
  <c r="I6" i="10"/>
  <c r="B6" i="10"/>
  <c r="M6" i="8" l="1" a="1"/>
  <c r="M6" i="8" s="1"/>
  <c r="M6" i="10" s="1"/>
  <c r="K6" i="8" a="1"/>
  <c r="K6" i="8" s="1"/>
  <c r="K6" i="10" s="1"/>
  <c r="G6" i="8" a="1"/>
  <c r="G6" i="8" s="1"/>
  <c r="G6" i="10" s="1"/>
  <c r="E6" i="8" a="1"/>
  <c r="E6" i="8" s="1"/>
  <c r="E6" i="10" s="1"/>
  <c r="L6" i="8" a="1"/>
  <c r="L6" i="8" s="1"/>
  <c r="L6" i="10" s="1"/>
  <c r="R6" i="10" s="1"/>
  <c r="J6" i="8" a="1"/>
  <c r="J6" i="8" s="1"/>
  <c r="J6" i="10" s="1"/>
  <c r="Q6" i="10" s="1"/>
  <c r="U6" i="10" s="1"/>
  <c r="F6" i="8" a="1"/>
  <c r="F6" i="8" s="1"/>
  <c r="F6" i="10" s="1"/>
  <c r="O6" i="10" s="1"/>
  <c r="D6" i="8" a="1"/>
  <c r="D6" i="8" s="1"/>
  <c r="D6" i="10" s="1"/>
  <c r="B20" i="10" a="1"/>
  <c r="B20" i="10" s="1"/>
  <c r="B19" i="8"/>
  <c r="C20" i="8" a="1"/>
  <c r="C20" i="8" s="1"/>
  <c r="C20" i="10" s="1" a="1"/>
  <c r="C20" i="10" s="1"/>
  <c r="I20" i="8" a="1"/>
  <c r="I20" i="8" s="1"/>
  <c r="I20" i="10" s="1" a="1"/>
  <c r="I20" i="10" s="1"/>
  <c r="H20" i="8" a="1"/>
  <c r="H20" i="8" s="1"/>
  <c r="H20" i="10" s="1" a="1"/>
  <c r="H20" i="10" s="1"/>
  <c r="O20" i="7" a="1"/>
  <c r="O20" i="7" s="1"/>
  <c r="E20" i="8" s="1" a="1"/>
  <c r="E20" i="8" s="1"/>
  <c r="E20" i="10" s="1" a="1"/>
  <c r="E20" i="10" s="1"/>
  <c r="N20" i="7" a="1"/>
  <c r="N20" i="7" s="1"/>
  <c r="L20" i="8" s="1" a="1"/>
  <c r="L20" i="8" s="1"/>
  <c r="L20" i="10" s="1" a="1"/>
  <c r="L20" i="10" s="1"/>
  <c r="P16" i="7"/>
  <c r="P15" i="7" s="1"/>
  <c r="B16" i="7"/>
  <c r="J19" i="7"/>
  <c r="N6" i="10" l="1"/>
  <c r="T6" i="10" s="1"/>
  <c r="W6" i="10" s="1"/>
  <c r="H5" i="6" s="1"/>
  <c r="H18" i="10"/>
  <c r="H17" i="10"/>
  <c r="H14" i="10"/>
  <c r="I18" i="10"/>
  <c r="I17" i="10"/>
  <c r="I14" i="10"/>
  <c r="L17" i="10"/>
  <c r="L14" i="10"/>
  <c r="L18" i="10"/>
  <c r="E17" i="10"/>
  <c r="E18" i="10"/>
  <c r="E14" i="10"/>
  <c r="C18" i="10"/>
  <c r="C17" i="10"/>
  <c r="C14" i="10"/>
  <c r="B18" i="10"/>
  <c r="B17" i="10"/>
  <c r="B14" i="10"/>
  <c r="L17" i="8"/>
  <c r="L18" i="8"/>
  <c r="L14" i="8"/>
  <c r="H14" i="8"/>
  <c r="H17" i="8"/>
  <c r="H18" i="8"/>
  <c r="I14" i="8"/>
  <c r="I17" i="8"/>
  <c r="I18" i="8"/>
  <c r="C14" i="8"/>
  <c r="C17" i="8"/>
  <c r="C18" i="8"/>
  <c r="E14" i="8"/>
  <c r="E17" i="8"/>
  <c r="E18" i="8"/>
  <c r="B18" i="8"/>
  <c r="B17" i="8"/>
  <c r="B14" i="8"/>
  <c r="F20" i="8" a="1"/>
  <c r="F20" i="8" s="1"/>
  <c r="F20" i="10" s="1" a="1"/>
  <c r="F20" i="10" s="1"/>
  <c r="M20" i="8" a="1"/>
  <c r="M20" i="8" s="1"/>
  <c r="M20" i="10" s="1" a="1"/>
  <c r="M20" i="10" s="1"/>
  <c r="R20" i="10" s="1" a="1"/>
  <c r="R20" i="10" s="1"/>
  <c r="G20" i="8" a="1"/>
  <c r="G20" i="8" s="1"/>
  <c r="G20" i="10" s="1" a="1"/>
  <c r="G20" i="10" s="1"/>
  <c r="K20" i="8" a="1"/>
  <c r="K20" i="8" s="1"/>
  <c r="K20" i="10" s="1" a="1"/>
  <c r="K20" i="10" s="1"/>
  <c r="J20" i="8" a="1"/>
  <c r="J20" i="8" s="1"/>
  <c r="J20" i="10" s="1" a="1"/>
  <c r="J20" i="10" s="1"/>
  <c r="D20" i="8" a="1"/>
  <c r="D20" i="8" s="1"/>
  <c r="D20" i="10" s="1" a="1"/>
  <c r="D20" i="10" s="1"/>
  <c r="N20" i="10" s="1" a="1"/>
  <c r="N20" i="10" s="1"/>
  <c r="B15" i="7"/>
  <c r="K14" i="7"/>
  <c r="K18" i="7"/>
  <c r="K17" i="7"/>
  <c r="J14" i="7"/>
  <c r="J18" i="7"/>
  <c r="J17" i="7"/>
  <c r="Q20" i="10" l="1" a="1"/>
  <c r="Q20" i="10" s="1"/>
  <c r="R17" i="10"/>
  <c r="R18" i="10"/>
  <c r="R14" i="10"/>
  <c r="L16" i="10"/>
  <c r="L15" i="10" s="1"/>
  <c r="O20" i="10" a="1"/>
  <c r="O20" i="10" s="1"/>
  <c r="T20" i="10" s="1" a="1"/>
  <c r="T20" i="10" s="1"/>
  <c r="N14" i="10"/>
  <c r="N17" i="10"/>
  <c r="N18" i="10"/>
  <c r="E16" i="10"/>
  <c r="E15" i="10" s="1"/>
  <c r="K18" i="10"/>
  <c r="K17" i="10"/>
  <c r="K14" i="10"/>
  <c r="D18" i="10"/>
  <c r="D17" i="10"/>
  <c r="D14" i="10"/>
  <c r="G18" i="10"/>
  <c r="G17" i="10"/>
  <c r="G14" i="10"/>
  <c r="B16" i="10"/>
  <c r="B15" i="10" s="1"/>
  <c r="I16" i="10"/>
  <c r="I15" i="10" s="1"/>
  <c r="M18" i="10"/>
  <c r="M17" i="10"/>
  <c r="M14" i="10"/>
  <c r="J18" i="10"/>
  <c r="J17" i="10"/>
  <c r="J14" i="10"/>
  <c r="F18" i="10"/>
  <c r="F17" i="10"/>
  <c r="F14" i="10"/>
  <c r="C16" i="10"/>
  <c r="C15" i="10" s="1"/>
  <c r="H16" i="10"/>
  <c r="H15" i="10" s="1"/>
  <c r="E16" i="8"/>
  <c r="E15" i="8" s="1"/>
  <c r="H16" i="8"/>
  <c r="H15" i="8" s="1"/>
  <c r="B16" i="8"/>
  <c r="B15" i="8" s="1"/>
  <c r="I16" i="8"/>
  <c r="I15" i="8" s="1"/>
  <c r="C16" i="8"/>
  <c r="C15" i="8" s="1"/>
  <c r="J17" i="8"/>
  <c r="J18" i="8"/>
  <c r="J14" i="8"/>
  <c r="K17" i="8"/>
  <c r="K18" i="8"/>
  <c r="K14" i="8"/>
  <c r="G14" i="8"/>
  <c r="G17" i="8"/>
  <c r="G18" i="8"/>
  <c r="M18" i="8"/>
  <c r="M14" i="8"/>
  <c r="M17" i="8"/>
  <c r="F14" i="8"/>
  <c r="F17" i="8"/>
  <c r="F18" i="8"/>
  <c r="L16" i="8"/>
  <c r="L15" i="8" s="1"/>
  <c r="D14" i="8"/>
  <c r="D17" i="8"/>
  <c r="D18" i="8"/>
  <c r="N19" i="7"/>
  <c r="N18" i="7"/>
  <c r="K16" i="7"/>
  <c r="K15" i="7" s="1"/>
  <c r="O18" i="7"/>
  <c r="O17" i="7"/>
  <c r="O14" i="7"/>
  <c r="J16" i="7"/>
  <c r="J15" i="7" s="1"/>
  <c r="L14" i="7"/>
  <c r="L18" i="7"/>
  <c r="L17" i="7"/>
  <c r="M18" i="7"/>
  <c r="M17" i="7"/>
  <c r="M14" i="7"/>
  <c r="Q17" i="10" l="1"/>
  <c r="U20" i="10" a="1"/>
  <c r="U20" i="10" s="1"/>
  <c r="W20" i="10" s="1" a="1"/>
  <c r="W20" i="10" s="1"/>
  <c r="Q18" i="10"/>
  <c r="R16" i="10"/>
  <c r="R15" i="10" s="1"/>
  <c r="Q14" i="10"/>
  <c r="O14" i="10"/>
  <c r="O17" i="10"/>
  <c r="O18" i="10"/>
  <c r="N16" i="10"/>
  <c r="N15" i="10" s="1"/>
  <c r="K16" i="10"/>
  <c r="K15" i="10" s="1"/>
  <c r="F16" i="10"/>
  <c r="F15" i="10" s="1"/>
  <c r="J16" i="10"/>
  <c r="J15" i="10" s="1"/>
  <c r="G16" i="10"/>
  <c r="G15" i="10" s="1"/>
  <c r="D16" i="10"/>
  <c r="D15" i="10" s="1"/>
  <c r="M16" i="10"/>
  <c r="M15" i="10" s="1"/>
  <c r="J16" i="8"/>
  <c r="J15" i="8" s="1"/>
  <c r="F16" i="8"/>
  <c r="F15" i="8" s="1"/>
  <c r="D16" i="8"/>
  <c r="D15" i="8" s="1"/>
  <c r="G16" i="8"/>
  <c r="G15" i="8" s="1"/>
  <c r="M16" i="8"/>
  <c r="M15" i="8" s="1"/>
  <c r="K16" i="8"/>
  <c r="K15" i="8" s="1"/>
  <c r="N19" i="10"/>
  <c r="N14" i="7"/>
  <c r="N17" i="7"/>
  <c r="N16" i="7" s="1"/>
  <c r="M16" i="7"/>
  <c r="M15" i="7" s="1"/>
  <c r="L16" i="7"/>
  <c r="L15" i="7" s="1"/>
  <c r="O16" i="7"/>
  <c r="O15" i="7" s="1"/>
  <c r="Q16" i="10" l="1"/>
  <c r="Q15" i="10" s="1"/>
  <c r="U17" i="10"/>
  <c r="U18" i="10"/>
  <c r="U14" i="10"/>
  <c r="W17" i="10"/>
  <c r="T18" i="10"/>
  <c r="O16" i="10"/>
  <c r="O15" i="10" s="1"/>
  <c r="T17" i="10"/>
  <c r="T14" i="10"/>
  <c r="N15" i="7"/>
  <c r="U16" i="10" l="1"/>
  <c r="U15" i="10" s="1"/>
  <c r="T16" i="10"/>
  <c r="T15" i="10" s="1"/>
  <c r="W14" i="10"/>
  <c r="I5" i="6" s="1"/>
  <c r="J9" i="6" s="1"/>
  <c r="W18" i="10"/>
  <c r="W16" i="10" s="1"/>
  <c r="W15" i="10" l="1"/>
  <c r="J5" i="6" s="1"/>
  <c r="I12" i="6" s="1"/>
  <c r="I9" i="6" s="1"/>
  <c r="H9"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<sst xmlns="http://schemas.openxmlformats.org/spreadsheetml/2006/main" count="448" uniqueCount="140">
  <si>
    <t>trunc_pdf</t>
  </si>
  <si>
    <t>Use truncated distributions to avoid negative values were illogical (TRUE or FALSE)</t>
  </si>
  <si>
    <t>n_iter</t>
  </si>
  <si>
    <t>How many simulations (Default 10,000)</t>
  </si>
  <si>
    <t>ran_seed</t>
  </si>
  <si>
    <t>Use a seed to reproduce random simulations (recommend setting to NULL the first time)</t>
  </si>
  <si>
    <t>c_unit</t>
  </si>
  <si>
    <t>dg_pool</t>
  </si>
  <si>
    <t>If degradation is a ratio of intact forest Cstock, list of pools separated by coma. Any combination of AGB, BGB, DW, LI, SOC or NA if not applicable. Note: the pools not listed in dg_pool will be excluded when calculating the initial vs final Cstocks</t>
  </si>
  <si>
    <t>ad_annual</t>
  </si>
  <si>
    <t>Is AD reported in ha/year or in ha (TRUE or FALSE resp.)</t>
  </si>
  <si>
    <t>conf_level</t>
  </si>
  <si>
    <t>Confidence level (1 - alpha) between 0 and 1</t>
  </si>
  <si>
    <t>c_fraction</t>
  </si>
  <si>
    <t>c_fraction_se</t>
  </si>
  <si>
    <t>c_fraction_pdf</t>
  </si>
  <si>
    <t>dg_ext</t>
  </si>
  <si>
    <t>DM</t>
  </si>
  <si>
    <t>normal</t>
  </si>
  <si>
    <t>_deg</t>
  </si>
  <si>
    <t>ALL</t>
  </si>
  <si>
    <t>period_no</t>
  </si>
  <si>
    <t>year_start</t>
  </si>
  <si>
    <t>year_end</t>
  </si>
  <si>
    <t>period_type</t>
  </si>
  <si>
    <t>T1</t>
  </si>
  <si>
    <t>REF</t>
  </si>
  <si>
    <t>T2</t>
  </si>
  <si>
    <t>MON1</t>
  </si>
  <si>
    <t>trans_no</t>
  </si>
  <si>
    <t>trans_id</t>
  </si>
  <si>
    <t>trans_period</t>
  </si>
  <si>
    <t>c_element</t>
  </si>
  <si>
    <t>trans_area</t>
  </si>
  <si>
    <t>trans_se</t>
  </si>
  <si>
    <t>trans_pdf</t>
  </si>
  <si>
    <t>trans_pdf_a</t>
  </si>
  <si>
    <t>trans_pdf_b</t>
  </si>
  <si>
    <t>trans_pdf_c</t>
  </si>
  <si>
    <t>EV</t>
  </si>
  <si>
    <t>Crop</t>
  </si>
  <si>
    <t>Evergreen Forest</t>
  </si>
  <si>
    <t>Cropland</t>
  </si>
  <si>
    <t>DF</t>
  </si>
  <si>
    <t>M</t>
  </si>
  <si>
    <t>Mountain Forest</t>
  </si>
  <si>
    <t>EV_deg</t>
  </si>
  <si>
    <t>Degraded Evergreen Forest</t>
  </si>
  <si>
    <t>M_deg</t>
  </si>
  <si>
    <t>Degraded Mountain Forest</t>
  </si>
  <si>
    <t>DG</t>
  </si>
  <si>
    <t>c_no</t>
  </si>
  <si>
    <t>c_id</t>
  </si>
  <si>
    <t>c_period</t>
  </si>
  <si>
    <t>c_value</t>
  </si>
  <si>
    <t>c_se</t>
  </si>
  <si>
    <t>c_pdf</t>
  </si>
  <si>
    <t>c_pdf_a</t>
  </si>
  <si>
    <t>c_pdf_b</t>
  </si>
  <si>
    <t>c_pdf_c</t>
  </si>
  <si>
    <t>AGB</t>
  </si>
  <si>
    <t>RS</t>
  </si>
  <si>
    <t>DG_ratio</t>
  </si>
  <si>
    <t>beta</t>
  </si>
  <si>
    <t>RESULTS FROM SIMS_E</t>
  </si>
  <si>
    <t>Simulations inputs</t>
  </si>
  <si>
    <t>Simulations Outputs</t>
  </si>
  <si>
    <t>N iter</t>
  </si>
  <si>
    <t>Conf level</t>
  </si>
  <si>
    <t>REF Period</t>
  </si>
  <si>
    <t>MON Period</t>
  </si>
  <si>
    <t>ci_alpha</t>
  </si>
  <si>
    <t>ER-arithmetic</t>
  </si>
  <si>
    <t>ER-simulated</t>
  </si>
  <si>
    <t>ER-Uperc</t>
  </si>
  <si>
    <t>ER Volume after uncertainty discount</t>
  </si>
  <si>
    <t>TREES ER</t>
  </si>
  <si>
    <t>FCPF ER</t>
  </si>
  <si>
    <t>GCF 2.0 ER (partial U)</t>
  </si>
  <si>
    <t>FCPF buffer level</t>
  </si>
  <si>
    <t>Time period</t>
  </si>
  <si>
    <t>C element</t>
  </si>
  <si>
    <t>CF</t>
  </si>
  <si>
    <t>BGB = (AGB * RS)</t>
  </si>
  <si>
    <t>C_deg = C * DG_ratio</t>
  </si>
  <si>
    <t>C_NF</t>
  </si>
  <si>
    <t>LU_init</t>
  </si>
  <si>
    <t>LU_final</t>
  </si>
  <si>
    <t>VALUE</t>
  </si>
  <si>
    <t>SE</t>
  </si>
  <si>
    <t>PDF</t>
  </si>
  <si>
    <t>calculated</t>
  </si>
  <si>
    <t>pdf_a</t>
  </si>
  <si>
    <t>pdf_b</t>
  </si>
  <si>
    <t>pdf_c</t>
  </si>
  <si>
    <t>on/off</t>
  </si>
  <si>
    <t>MEDIAN</t>
  </si>
  <si>
    <t>U%</t>
  </si>
  <si>
    <t>ME</t>
  </si>
  <si>
    <t>CI_LOWER</t>
  </si>
  <si>
    <t>CI_UPPER</t>
  </si>
  <si>
    <t>EF-REF</t>
  </si>
  <si>
    <t>EF_ MON</t>
  </si>
  <si>
    <t>E_REF</t>
  </si>
  <si>
    <t>E_MON</t>
  </si>
  <si>
    <t>sum(E) / nb_years</t>
  </si>
  <si>
    <t>ER = E_ref - E_mon</t>
  </si>
  <si>
    <t>E_REF_DF</t>
  </si>
  <si>
    <t>E_REF_DG</t>
  </si>
  <si>
    <t>E_MON_DF</t>
  </si>
  <si>
    <t>E_MON_DG</t>
  </si>
  <si>
    <t>ER</t>
  </si>
  <si>
    <t>This workbook acts as a template for {mocaredd} the Monte Carlo simulations tool for REDD+ uncertainty analysis</t>
  </si>
  <si>
    <t>Users can build as many tabs as desired but need the 4 building blocks to process a REDD+ carbon accouting and the asosciated incertainty:</t>
  </si>
  <si>
    <t xml:space="preserve">user_inputs: 
describes a few parameters to allow the tool to handle as many configurations as possible.
time_periods: 
describes the diiferent time periods used for building the reference period and the monitoring period(s).
AD_lu_transitions: 
describes the areas of land use/land cover change that generate emissions and or removals.
c_stocks: 
describes the carbon elements necessary to build emission and removal factors associated with the land use transitions </t>
  </si>
  <si>
    <t>Core interactions</t>
  </si>
  <si>
    <t>1. The land use IDs entered in the tab "AD_lu_transitions" (lu_initial_id" and "lu_final_id") must be the same as the land use IDs described in "c_stocks" to match activity data and emission factors
2.  Carbon pools AGB and BGB (if not expressed as a root-to-shoot ratio) are either reported as tons of dry matter (DM) or of carbon. If dry matter, a carbon fraction must be entered in "user_inputs" with, if possible, a standard error so that random simulations with be generated for the caron fraction.
3. Degraded land uses must be coded with the same ID as their intact equivalent with a consistent extension (for ex. "ev_deg" is the degraded land use of "ev") and the extension should be noted in the field "dg_ext"of the tab "user_inputs".</t>
  </si>
  <si>
    <t>How is the data used by {mocaredd}</t>
  </si>
  <si>
    <t>Upon uploading the data, the app runs 4 processes: (1) check the data to ensure it allows to construct emission factors matching the activity data and generate emission reductions, (2) build the carbon accounting calculations with arithmetic means to give a first idea of the volume of emission reductions, (3) run monte carlo simulations and provide simulation-based emission reductions for the monitoring period(s) desired with their aggregated uncertainty level and (4) turn off the variability of part of the input data to determine their contribution to the overall uncertainty (sensitivity analysis).</t>
  </si>
  <si>
    <t>Note</t>
  </si>
  <si>
    <t>For the sake of comparability, all calculations related tro emission factors are rounded to 3 digits and al calculations related to activity data, emissions and removals are rounded to the nearest integer (0 digits).</t>
  </si>
  <si>
    <t>The tabs SIMS_io and SIMS showcase the calculations with MS Excel for 10 simulations. For backward compatibility, array-based formulas are not used</t>
  </si>
  <si>
    <t>input_name</t>
  </si>
  <si>
    <t>input_description</t>
  </si>
  <si>
    <t>What is the unit of AGB and BGB if included (DM for dry matter or C for carbon)</t>
  </si>
  <si>
    <t xml:space="preserve">Carbon fraction value, mandatory if c_unit is "DM" </t>
  </si>
  <si>
    <t xml:space="preserve">Carbon fraction standard error, mandatory if c_unit is "DM" </t>
  </si>
  <si>
    <t xml:space="preserve">Carbon fraction PDF, mandatory if c_unit is "DM" </t>
  </si>
  <si>
    <t>extension for degradation land use (ex. "_deg") for the code to identify degradaed LU and their corresponding intact class</t>
  </si>
  <si>
    <t>C = AGB * (1 + RS) * CF</t>
  </si>
  <si>
    <t>trans_placeholder</t>
  </si>
  <si>
    <t>c_lu_id</t>
  </si>
  <si>
    <t>c_placeholder</t>
  </si>
  <si>
    <t>c_lu_name</t>
  </si>
  <si>
    <t>lu_initial_id</t>
  </si>
  <si>
    <t>lu_final_id</t>
  </si>
  <si>
    <t>lu_initial</t>
  </si>
  <si>
    <t>lu_final</t>
  </si>
  <si>
    <t>redd_activity</t>
  </si>
  <si>
    <t>round_digits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</si>
</sst>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00"/>
  </numFmts>
  <fonts count="28" x14ac:knownFonts="1">
    <font>
      <sz val="10"/>
      <color rgb="FF000000"/>
      <name val="Arial"/>
      <scheme val="minor"/>
    </font>
    <font>
      <sz val="10"/>
      <color rgb="FF000000"/>
      <name val="Arial"/>
      <family val="2"/>
    </font>
    <font>
      <sz val="10"/>
      <color theme="1"/>
      <name val="Arial"/>
      <family val="2"/>
      <scheme val="minor"/>
    </font>
    <font>
      <b/>
      <sz val="10"/>
      <color theme="1"/>
      <name val="Arial"/>
      <family val="2"/>
    </font>
    <font>
      <sz val="10"/>
      <color theme="1"/>
      <name val="Arial"/>
      <family val="2"/>
    </font>
    <font>
      <b/>
      <sz val="12"/>
      <color theme="1"/>
      <name val="Arial"/>
      <family val="2"/>
    </font>
    <font>
      <b/>
      <sz val="12"/>
      <color theme="1"/>
      <name val="Arial"/>
      <family val="2"/>
      <scheme val="minor"/>
    </font>
    <font>
      <b/>
      <sz val="12"/>
      <color theme="0"/>
      <name val="Arial"/>
      <family val="2"/>
    </font>
    <font>
      <b/>
      <sz val="12"/>
      <color rgb="FFFFFFFF"/>
      <name val="Arial"/>
      <family val="2"/>
    </font>
    <font>
      <sz val="10"/>
      <name val="Arial"/>
      <family val="2"/>
    </font>
    <font>
      <b/>
      <sz val="10"/>
      <color theme="1"/>
      <name val="Arial"/>
      <family val="2"/>
      <scheme val="minor"/>
    </font>
    <font>
      <b/>
      <sz val="10"/>
      <color theme="0"/>
      <name val="Arial"/>
      <family val="2"/>
    </font>
    <font>
      <b/>
      <sz val="10"/>
      <color rgb="FF000000"/>
      <name val="Arial"/>
      <family val="2"/>
    </font>
    <font>
      <i/>
      <sz val="10"/>
      <color rgb="FF000000"/>
      <name val="Arial"/>
      <family val="2"/>
    </font>
    <font>
      <i/>
      <sz val="10"/>
      <color theme="1"/>
      <name val="Arial"/>
      <family val="2"/>
      <scheme val="minor"/>
    </font>
    <font>
      <i/>
      <sz val="10"/>
      <color theme="1"/>
      <name val="Arial"/>
      <family val="2"/>
      <scheme val="minor"/>
    </font>
    <font>
      <sz val="10"/>
      <color theme="1"/>
      <name val="Arial"/>
      <family val="2"/>
      <scheme val="minor"/>
    </font>
    <font>
      <sz val="10"/>
      <color theme="1"/>
      <name val="Arial"/>
      <family val="2"/>
    </font>
    <font>
      <i/>
      <sz val="10"/>
      <color rgb="FFCCCCCC"/>
      <name val="Arial"/>
      <family val="2"/>
      <scheme val="minor"/>
    </font>
    <font>
      <i/>
      <sz val="10"/>
      <color rgb="FFCCCCCC"/>
      <name val="Arial"/>
      <family val="2"/>
    </font>
    <font>
      <sz val="10"/>
      <color rgb="FF000000"/>
      <name val="Arial"/>
      <family val="2"/>
    </font>
    <font>
      <sz val="10"/>
      <color rgb="FF000000"/>
      <name val="Arial"/>
      <family val="2"/>
      <scheme val="minor"/>
    </font>
    <font>
      <i/>
      <sz val="10"/>
      <color theme="0" tint="-0.249977111117893"/>
      <name val="Arial"/>
      <family val="2"/>
      <scheme val="minor"/>
    </font>
    <font>
      <sz val="12"/>
      <color rgb="FF000000"/>
      <name val="Arial (Body)"/>
    </font>
    <font>
      <b/>
      <sz val="10"/>
      <color rgb="FF000000"/>
      <name val="Arial"/>
      <family val="2"/>
      <scheme val="minor"/>
    </font>
    <font>
      <sz val="12"/>
      <color rgb="FF000000"/>
      <name val="Arial"/>
      <family val="2"/>
      <scheme val="minor"/>
    </font>
    <font>
      <b/>
      <sz val="12"/>
      <color rgb="FF000000"/>
      <name val="Arial"/>
      <family val="2"/>
      <scheme val="minor"/>
    </font>
    <font>
      <b/>
      <sz val="12"/>
      <color rgb="FF000000"/>
      <name val="Arial (Body)"/>
    </font>
  </fonts>
  <fills count="16">
    <fill>
      <patternFill patternType="none"/>
    </fill>
    <fill>
      <patternFill patternType="gray125"/>
    </fill>
    <fill>
      <patternFill patternType="solid">
        <fgColor rgb="FFF28E85"/>
        <bgColor rgb="FFF28E85"/>
      </patternFill>
    </fill>
    <fill>
      <patternFill patternType="solid">
        <fgColor rgb="FFF6B3AE"/>
        <bgColor rgb="FFF6B3AE"/>
      </patternFill>
    </fill>
    <fill>
      <patternFill patternType="solid">
        <fgColor rgb="FFA6E3B6"/>
        <bgColor rgb="FFA6E3B6"/>
      </patternFill>
    </fill>
    <fill>
      <patternFill patternType="solid">
        <fgColor rgb="FFFEF1CC"/>
        <bgColor rgb="FFFEF1CC"/>
      </patternFill>
    </fill>
    <fill>
      <patternFill patternType="solid">
        <fgColor rgb="FFD9E6FC"/>
        <bgColor rgb="FFD9E6FC"/>
      </patternFill>
    </fill>
    <fill>
      <patternFill patternType="solid">
        <fgColor rgb="FFFEE1CC"/>
        <bgColor rgb="FFFEE1CC"/>
      </patternFill>
    </fill>
    <fill>
      <patternFill patternType="solid">
        <fgColor rgb="FFD9EAD3"/>
        <bgColor rgb="FFD9EAD3"/>
      </patternFill>
    </fill>
    <fill>
      <patternFill patternType="solid">
        <fgColor rgb="FFC00000"/>
        <bgColor rgb="FFC00000"/>
      </patternFill>
    </fill>
    <fill>
      <patternFill patternType="solid">
        <fgColor rgb="FFFFFF00"/>
        <bgColor rgb="FFFFFF00"/>
      </patternFill>
    </fill>
    <fill>
      <patternFill patternType="solid">
        <fgColor rgb="FFFFF2CC"/>
        <bgColor rgb="FFFFF2CC"/>
      </patternFill>
    </fill>
    <fill>
      <patternFill patternType="solid">
        <fgColor rgb="FF8DB5F8"/>
        <bgColor rgb="FF8DB5F8"/>
      </patternFill>
    </fill>
    <fill>
      <patternFill patternType="solid">
        <fgColor rgb="FFFFFF00"/>
        <bgColor rgb="FF8DB5F8"/>
      </patternFill>
    </fill>
    <fill>
      <patternFill patternType="solid">
        <fgColor rgb="FFFFFF00"/>
        <bgColor rgb="FFB6D7A8"/>
      </patternFill>
    </fill>
    <fill>
      <patternFill patternType="solid">
        <fgColor theme="7" tint="0.79998168889431442"/>
        <bgColor rgb="FFB6D7A8"/>
      </patternFill>
    </fill>
  </fills>
  <borders count="28">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1" fillId="0" borderId="4"/>
  </cellStyleXfs>
  <cellXfs count="153">
    <xf numFmtId="0" fontId="0" fillId="0" borderId="0" xfId="0"/>
    <xf numFmtId="0" fontId="1" fillId="0" borderId="0" xfId="0" applyFont="1"/>
    <xf numFmtId="0" fontId="2" fillId="0" borderId="0" xfId="0" applyFont="1"/>
    <xf numFmtId="0" fontId="4" fillId="2" borderId="1" xfId="0" applyFont="1" applyFill="1" applyBorder="1"/>
    <xf numFmtId="0" fontId="4" fillId="3" borderId="1" xfId="0" applyFont="1" applyFill="1" applyBorder="1"/>
    <xf numFmtId="0" fontId="4" fillId="4" borderId="1" xfId="0" applyFont="1" applyFill="1" applyBorder="1"/>
    <xf numFmtId="0" fontId="5" fillId="0" borderId="0" xfId="0" applyFont="1"/>
    <xf numFmtId="0" fontId="4" fillId="5" borderId="1" xfId="0" applyFont="1" applyFill="1" applyBorder="1"/>
    <xf numFmtId="0" fontId="4" fillId="6" borderId="1" xfId="0" applyFont="1" applyFill="1" applyBorder="1"/>
    <xf numFmtId="0" fontId="4" fillId="7" borderId="1" xfId="0" applyFont="1" applyFill="1" applyBorder="1"/>
    <xf numFmtId="0" fontId="1" fillId="7" borderId="1" xfId="0" applyFont="1" applyFill="1" applyBorder="1"/>
    <xf numFmtId="0" fontId="6" fillId="0" borderId="0" xfId="0" applyFont="1" applyAlignment="1">
      <alignment horizontal="center"/>
    </xf>
    <xf numFmtId="0" fontId="7" fillId="0" borderId="0" xfId="0" applyFont="1"/>
    <xf numFmtId="0" fontId="3" fillId="8" borderId="0" xfId="0" applyFont="1" applyFill="1"/>
    <xf numFmtId="0" fontId="11" fillId="9" borderId="1" xfId="0" applyFont="1" applyFill="1" applyBorder="1"/>
    <xf numFmtId="9" fontId="3" fillId="8" borderId="0" xfId="0" applyNumberFormat="1" applyFont="1" applyFill="1"/>
    <xf numFmtId="164" fontId="11" fillId="9" borderId="1" xfId="0" applyNumberFormat="1" applyFont="1" applyFill="1" applyBorder="1"/>
    <xf numFmtId="9" fontId="11" fillId="9" borderId="1" xfId="0" applyNumberFormat="1" applyFont="1" applyFill="1" applyBorder="1"/>
    <xf numFmtId="164" fontId="1" fillId="0" borderId="0" xfId="0" applyNumberFormat="1" applyFont="1"/>
    <xf numFmtId="0" fontId="2" fillId="0" borderId="5" xfId="0" applyFont="1" applyBorder="1"/>
    <xf numFmtId="0" fontId="2" fillId="0" borderId="6" xfId="0" applyFont="1" applyBorder="1"/>
    <xf numFmtId="0" fontId="2" fillId="10" borderId="7" xfId="0" applyFont="1" applyFill="1" applyBorder="1"/>
    <xf numFmtId="0" fontId="2" fillId="11" borderId="7" xfId="0" applyFont="1" applyFill="1" applyBorder="1"/>
    <xf numFmtId="0" fontId="2" fillId="0" borderId="7" xfId="0" applyFont="1" applyBorder="1"/>
    <xf numFmtId="0" fontId="2" fillId="0" borderId="8" xfId="0" applyFont="1" applyBorder="1"/>
    <xf numFmtId="0" fontId="12" fillId="0" borderId="9" xfId="0" applyFont="1" applyBorder="1" applyAlignment="1">
      <alignment horizontal="left"/>
    </xf>
    <xf numFmtId="0" fontId="10" fillId="0" borderId="10" xfId="0" applyFont="1" applyBorder="1"/>
    <xf numFmtId="0" fontId="10" fillId="11" borderId="0" xfId="0" applyFont="1" applyFill="1"/>
    <xf numFmtId="0" fontId="12" fillId="0" borderId="9" xfId="0" applyFont="1" applyBorder="1" applyAlignment="1">
      <alignment horizontal="center"/>
    </xf>
    <xf numFmtId="0" fontId="12" fillId="0" borderId="0" xfId="0" applyFont="1" applyAlignment="1">
      <alignment horizontal="center"/>
    </xf>
    <xf numFmtId="0" fontId="12" fillId="0" borderId="11" xfId="0" applyFont="1" applyBorder="1" applyAlignment="1">
      <alignment horizontal="center"/>
    </xf>
    <xf numFmtId="0" fontId="1" fillId="0" borderId="0" xfId="0" applyFont="1" applyAlignment="1">
      <alignment horizontal="center"/>
    </xf>
    <xf numFmtId="0" fontId="13" fillId="0" borderId="9" xfId="0" applyFont="1" applyBorder="1" applyAlignment="1">
      <alignment horizontal="center"/>
    </xf>
    <xf numFmtId="0" fontId="2" fillId="0" borderId="10" xfId="0" applyFont="1" applyBorder="1"/>
    <xf numFmtId="0" fontId="2" fillId="11" borderId="0" xfId="0" applyFont="1" applyFill="1"/>
    <xf numFmtId="0" fontId="14" fillId="0" borderId="9" xfId="0" applyFont="1" applyBorder="1" applyAlignment="1">
      <alignment horizontal="center"/>
    </xf>
    <xf numFmtId="0" fontId="14" fillId="0" borderId="0" xfId="0" applyFont="1" applyAlignment="1">
      <alignment horizontal="center"/>
    </xf>
    <xf numFmtId="0" fontId="13" fillId="0" borderId="11" xfId="0" applyFont="1" applyBorder="1" applyAlignment="1">
      <alignment horizontal="center"/>
    </xf>
    <xf numFmtId="0" fontId="15" fillId="0" borderId="0" xfId="0" applyFont="1" applyAlignment="1">
      <alignment horizontal="center"/>
    </xf>
    <xf numFmtId="0" fontId="15" fillId="0" borderId="9" xfId="0" applyFont="1" applyBorder="1" applyAlignment="1">
      <alignment horizontal="center"/>
    </xf>
    <xf numFmtId="0" fontId="15" fillId="0" borderId="11" xfId="0" applyFont="1" applyBorder="1" applyAlignment="1">
      <alignment horizontal="center"/>
    </xf>
    <xf numFmtId="0" fontId="1" fillId="0" borderId="9" xfId="0" applyFont="1" applyBorder="1" applyAlignment="1">
      <alignment horizontal="left"/>
    </xf>
    <xf numFmtId="0" fontId="10" fillId="10" borderId="10" xfId="0" applyFont="1" applyFill="1" applyBorder="1"/>
    <xf numFmtId="165" fontId="1" fillId="0" borderId="9" xfId="0" applyNumberFormat="1" applyFont="1" applyBorder="1"/>
    <xf numFmtId="165" fontId="1" fillId="0" borderId="0" xfId="0" applyNumberFormat="1" applyFont="1"/>
    <xf numFmtId="165" fontId="1" fillId="0" borderId="11" xfId="0" applyNumberFormat="1" applyFont="1" applyBorder="1"/>
    <xf numFmtId="0" fontId="2" fillId="11" borderId="10" xfId="0" applyFont="1" applyFill="1" applyBorder="1"/>
    <xf numFmtId="0" fontId="2" fillId="0" borderId="9" xfId="0" applyFont="1" applyBorder="1"/>
    <xf numFmtId="0" fontId="2" fillId="0" borderId="11" xfId="0" applyFont="1" applyBorder="1"/>
    <xf numFmtId="0" fontId="1" fillId="0" borderId="9" xfId="0" applyFont="1" applyBorder="1"/>
    <xf numFmtId="0" fontId="1" fillId="0" borderId="11" xfId="0" applyFont="1" applyBorder="1"/>
    <xf numFmtId="0" fontId="16" fillId="0" borderId="9" xfId="0" applyFont="1" applyBorder="1"/>
    <xf numFmtId="0" fontId="16" fillId="0" borderId="12" xfId="0" applyFont="1" applyBorder="1"/>
    <xf numFmtId="0" fontId="2" fillId="0" borderId="13" xfId="0" applyFont="1" applyBorder="1"/>
    <xf numFmtId="0" fontId="2" fillId="0" borderId="14" xfId="0" applyFont="1" applyBorder="1"/>
    <xf numFmtId="0" fontId="2" fillId="0" borderId="12" xfId="0" applyFont="1" applyBorder="1"/>
    <xf numFmtId="0" fontId="2" fillId="0" borderId="15" xfId="0" applyFont="1" applyBorder="1"/>
    <xf numFmtId="0" fontId="12" fillId="0" borderId="9" xfId="0" applyFont="1" applyBorder="1"/>
    <xf numFmtId="165" fontId="1" fillId="12" borderId="17" xfId="0" applyNumberFormat="1" applyFont="1" applyFill="1" applyBorder="1"/>
    <xf numFmtId="165" fontId="1" fillId="12" borderId="1" xfId="0" applyNumberFormat="1" applyFont="1" applyFill="1" applyBorder="1"/>
    <xf numFmtId="165" fontId="1" fillId="12" borderId="18" xfId="0" applyNumberFormat="1" applyFont="1" applyFill="1" applyBorder="1"/>
    <xf numFmtId="9" fontId="1" fillId="12" borderId="16" xfId="0" applyNumberFormat="1" applyFont="1" applyFill="1" applyBorder="1"/>
    <xf numFmtId="9" fontId="1" fillId="12" borderId="17" xfId="0" applyNumberFormat="1" applyFont="1" applyFill="1" applyBorder="1"/>
    <xf numFmtId="9" fontId="1" fillId="12" borderId="1" xfId="0" applyNumberFormat="1" applyFont="1" applyFill="1" applyBorder="1"/>
    <xf numFmtId="9" fontId="1" fillId="12" borderId="18" xfId="0" applyNumberFormat="1" applyFont="1" applyFill="1" applyBorder="1"/>
    <xf numFmtId="0" fontId="1" fillId="12" borderId="16" xfId="0" applyFont="1" applyFill="1" applyBorder="1"/>
    <xf numFmtId="0" fontId="1" fillId="12" borderId="17" xfId="0" applyFont="1" applyFill="1" applyBorder="1"/>
    <xf numFmtId="0" fontId="1" fillId="12" borderId="1" xfId="0" applyFont="1" applyFill="1" applyBorder="1"/>
    <xf numFmtId="0" fontId="1" fillId="12" borderId="18" xfId="0" applyFont="1" applyFill="1" applyBorder="1"/>
    <xf numFmtId="0" fontId="18" fillId="0" borderId="12" xfId="0" applyFont="1" applyBorder="1"/>
    <xf numFmtId="0" fontId="18" fillId="0" borderId="14" xfId="0" applyFont="1" applyBorder="1"/>
    <xf numFmtId="0" fontId="16" fillId="10" borderId="0" xfId="0" applyFont="1" applyFill="1"/>
    <xf numFmtId="165" fontId="1" fillId="10" borderId="0" xfId="0" applyNumberFormat="1" applyFont="1" applyFill="1"/>
    <xf numFmtId="165" fontId="17" fillId="12" borderId="1" xfId="0" applyNumberFormat="1" applyFont="1" applyFill="1" applyBorder="1" applyAlignment="1">
      <alignment horizontal="right"/>
    </xf>
    <xf numFmtId="165" fontId="17" fillId="12" borderId="18" xfId="0" applyNumberFormat="1" applyFont="1" applyFill="1" applyBorder="1" applyAlignment="1">
      <alignment horizontal="right"/>
    </xf>
    <xf numFmtId="9" fontId="17" fillId="12" borderId="1" xfId="0" applyNumberFormat="1" applyFont="1" applyFill="1" applyBorder="1" applyAlignment="1">
      <alignment horizontal="right"/>
    </xf>
    <xf numFmtId="9" fontId="17" fillId="12" borderId="18" xfId="0" applyNumberFormat="1" applyFont="1" applyFill="1" applyBorder="1" applyAlignment="1">
      <alignment horizontal="right"/>
    </xf>
    <xf numFmtId="0" fontId="2" fillId="10" borderId="5" xfId="0" applyFont="1" applyFill="1" applyBorder="1"/>
    <xf numFmtId="0" fontId="2" fillId="11" borderId="8" xfId="0" applyFont="1" applyFill="1" applyBorder="1"/>
    <xf numFmtId="0" fontId="2" fillId="11" borderId="9" xfId="0" applyFont="1" applyFill="1" applyBorder="1"/>
    <xf numFmtId="0" fontId="2" fillId="11" borderId="11" xfId="0" applyFont="1" applyFill="1" applyBorder="1"/>
    <xf numFmtId="3" fontId="2" fillId="11" borderId="9" xfId="0" applyNumberFormat="1" applyFont="1" applyFill="1" applyBorder="1"/>
    <xf numFmtId="3" fontId="2" fillId="11" borderId="0" xfId="0" applyNumberFormat="1" applyFont="1" applyFill="1"/>
    <xf numFmtId="3" fontId="2" fillId="11" borderId="11" xfId="0" applyNumberFormat="1" applyFont="1" applyFill="1" applyBorder="1"/>
    <xf numFmtId="3" fontId="17" fillId="12" borderId="17" xfId="0" applyNumberFormat="1" applyFont="1" applyFill="1" applyBorder="1" applyAlignment="1">
      <alignment horizontal="right"/>
    </xf>
    <xf numFmtId="3" fontId="17" fillId="12" borderId="4" xfId="0" applyNumberFormat="1" applyFont="1" applyFill="1" applyBorder="1" applyAlignment="1">
      <alignment horizontal="right"/>
    </xf>
    <xf numFmtId="3" fontId="17" fillId="12" borderId="19" xfId="0" applyNumberFormat="1" applyFont="1" applyFill="1" applyBorder="1" applyAlignment="1">
      <alignment horizontal="right"/>
    </xf>
    <xf numFmtId="9" fontId="17" fillId="12" borderId="17" xfId="0" applyNumberFormat="1" applyFont="1" applyFill="1" applyBorder="1" applyAlignment="1">
      <alignment horizontal="right"/>
    </xf>
    <xf numFmtId="9" fontId="17" fillId="12" borderId="4" xfId="0" applyNumberFormat="1" applyFont="1" applyFill="1" applyBorder="1" applyAlignment="1">
      <alignment horizontal="right"/>
    </xf>
    <xf numFmtId="9" fontId="17" fillId="12" borderId="19" xfId="0" applyNumberFormat="1" applyFont="1" applyFill="1" applyBorder="1" applyAlignment="1">
      <alignment horizontal="right"/>
    </xf>
    <xf numFmtId="0" fontId="17" fillId="12" borderId="17" xfId="0" applyFont="1" applyFill="1" applyBorder="1" applyAlignment="1">
      <alignment horizontal="right"/>
    </xf>
    <xf numFmtId="0" fontId="17" fillId="12" borderId="4" xfId="0" applyFont="1" applyFill="1" applyBorder="1" applyAlignment="1">
      <alignment horizontal="right"/>
    </xf>
    <xf numFmtId="0" fontId="17" fillId="12" borderId="19" xfId="0" applyFont="1" applyFill="1" applyBorder="1" applyAlignment="1">
      <alignment horizontal="right"/>
    </xf>
    <xf numFmtId="0" fontId="19" fillId="0" borderId="12" xfId="0" applyFont="1" applyBorder="1" applyAlignment="1">
      <alignment horizontal="right"/>
    </xf>
    <xf numFmtId="3" fontId="1" fillId="10" borderId="0" xfId="0" applyNumberFormat="1" applyFont="1" applyFill="1"/>
    <xf numFmtId="3" fontId="2" fillId="10" borderId="0" xfId="0" applyNumberFormat="1" applyFont="1" applyFill="1"/>
    <xf numFmtId="0" fontId="2" fillId="0" borderId="20" xfId="0" applyFont="1" applyBorder="1"/>
    <xf numFmtId="0" fontId="2" fillId="0" borderId="21" xfId="0" applyFont="1" applyBorder="1"/>
    <xf numFmtId="0" fontId="2" fillId="0" borderId="22" xfId="0" applyFont="1" applyBorder="1"/>
    <xf numFmtId="0" fontId="1" fillId="0" borderId="23" xfId="0" applyFont="1" applyBorder="1"/>
    <xf numFmtId="0" fontId="2" fillId="0" borderId="24" xfId="0" applyFont="1" applyBorder="1"/>
    <xf numFmtId="0" fontId="2" fillId="0" borderId="23" xfId="0" applyFont="1" applyBorder="1"/>
    <xf numFmtId="0" fontId="1" fillId="0" borderId="24" xfId="0" applyFont="1" applyBorder="1"/>
    <xf numFmtId="164" fontId="1" fillId="0" borderId="9" xfId="0" applyNumberFormat="1" applyFont="1" applyBorder="1"/>
    <xf numFmtId="164" fontId="1" fillId="0" borderId="23" xfId="0" applyNumberFormat="1" applyFont="1" applyBorder="1"/>
    <xf numFmtId="164" fontId="1" fillId="0" borderId="24" xfId="0" applyNumberFormat="1" applyFont="1" applyBorder="1"/>
    <xf numFmtId="0" fontId="2" fillId="0" borderId="25" xfId="0" applyFont="1" applyBorder="1"/>
    <xf numFmtId="0" fontId="2" fillId="0" borderId="26" xfId="0" applyFont="1" applyBorder="1"/>
    <xf numFmtId="0" fontId="2" fillId="0" borderId="27" xfId="0" applyFont="1" applyBorder="1"/>
    <xf numFmtId="3" fontId="17" fillId="12" borderId="1" xfId="0" applyNumberFormat="1" applyFont="1" applyFill="1" applyBorder="1" applyAlignment="1">
      <alignment horizontal="right"/>
    </xf>
    <xf numFmtId="3" fontId="17" fillId="12" borderId="18" xfId="0" applyNumberFormat="1" applyFont="1" applyFill="1" applyBorder="1" applyAlignment="1">
      <alignment horizontal="right"/>
    </xf>
    <xf numFmtId="0" fontId="17" fillId="12" borderId="1" xfId="0" applyFont="1" applyFill="1" applyBorder="1" applyAlignment="1">
      <alignment horizontal="right"/>
    </xf>
    <xf numFmtId="0" fontId="17" fillId="12" borderId="18" xfId="0" applyFont="1" applyFill="1" applyBorder="1" applyAlignment="1">
      <alignment horizontal="right"/>
    </xf>
    <xf numFmtId="164" fontId="1" fillId="0" borderId="12" xfId="0" applyNumberFormat="1" applyFont="1" applyBorder="1"/>
    <xf numFmtId="164" fontId="1" fillId="0" borderId="14" xfId="0" applyNumberFormat="1" applyFont="1" applyBorder="1"/>
    <xf numFmtId="164" fontId="1" fillId="0" borderId="15" xfId="0" applyNumberFormat="1" applyFont="1" applyBorder="1"/>
    <xf numFmtId="3" fontId="18" fillId="0" borderId="12" xfId="0" applyNumberFormat="1" applyFont="1" applyBorder="1"/>
    <xf numFmtId="164" fontId="1" fillId="10" borderId="0" xfId="0" applyNumberFormat="1" applyFont="1" applyFill="1"/>
    <xf numFmtId="0" fontId="2" fillId="10" borderId="0" xfId="0" applyFont="1" applyFill="1"/>
    <xf numFmtId="165" fontId="20" fillId="12" borderId="16" xfId="0" applyNumberFormat="1" applyFont="1" applyFill="1" applyBorder="1"/>
    <xf numFmtId="0" fontId="20" fillId="12" borderId="16" xfId="0" applyFont="1" applyFill="1" applyBorder="1"/>
    <xf numFmtId="165" fontId="20" fillId="10" borderId="0" xfId="0" applyNumberFormat="1" applyFont="1" applyFill="1"/>
    <xf numFmtId="165" fontId="21" fillId="10" borderId="0" xfId="0" applyNumberFormat="1" applyFont="1" applyFill="1"/>
    <xf numFmtId="165" fontId="17" fillId="0" borderId="0" xfId="0" applyNumberFormat="1" applyFont="1" applyAlignment="1">
      <alignment horizontal="right"/>
    </xf>
    <xf numFmtId="165" fontId="20" fillId="0" borderId="4" xfId="0" applyNumberFormat="1" applyFont="1" applyBorder="1"/>
    <xf numFmtId="9" fontId="17" fillId="0" borderId="0" xfId="0" applyNumberFormat="1" applyFont="1" applyAlignment="1">
      <alignment horizontal="right"/>
    </xf>
    <xf numFmtId="3" fontId="17" fillId="13" borderId="1" xfId="0" applyNumberFormat="1" applyFont="1" applyFill="1" applyBorder="1" applyAlignment="1">
      <alignment horizontal="right"/>
    </xf>
    <xf numFmtId="0" fontId="22" fillId="0" borderId="14" xfId="0" applyFont="1" applyBorder="1"/>
    <xf numFmtId="9" fontId="10" fillId="14" borderId="0" xfId="0" applyNumberFormat="1" applyFont="1" applyFill="1"/>
    <xf numFmtId="0" fontId="10" fillId="15" borderId="0" xfId="0" applyFont="1" applyFill="1"/>
    <xf numFmtId="0" fontId="23" fillId="0" borderId="4" xfId="1" applyFont="1" applyAlignment="1">
      <alignment horizontal="left" vertical="top" wrapText="1"/>
    </xf>
    <xf numFmtId="0" fontId="21" fillId="0" borderId="4" xfId="1"/>
    <xf numFmtId="0" fontId="24" fillId="0" borderId="4" xfId="1" applyFont="1" applyAlignment="1">
      <alignment horizontal="left" vertical="top" wrapText="1"/>
    </xf>
    <xf numFmtId="0" fontId="21" fillId="0" borderId="4" xfId="1" applyAlignment="1">
      <alignment horizontal="left" vertical="top" wrapText="1"/>
    </xf>
    <xf numFmtId="0" fontId="21" fillId="0" borderId="4" xfId="1" applyAlignment="1">
      <alignment horizontal="left" vertical="top"/>
    </xf>
    <xf numFmtId="0" fontId="24" fillId="0" borderId="4" xfId="1" applyFont="1" applyAlignment="1">
      <alignment wrapText="1"/>
    </xf>
    <xf numFmtId="0" fontId="21" fillId="0" borderId="4" xfId="1" applyAlignment="1">
      <alignment wrapText="1"/>
    </xf>
    <xf numFmtId="0" fontId="21" fillId="0" borderId="4" xfId="0" applyFont="1" applyBorder="1"/>
    <xf numFmtId="0" fontId="21" fillId="0" borderId="4" xfId="0" applyFont="1" applyBorder="1" applyAlignment="1">
      <alignment wrapText="1"/>
    </xf>
    <xf numFmtId="0" fontId="6" fillId="0" borderId="0" xfId="0" applyFont="1"/>
    <xf numFmtId="0" fontId="25" fillId="0" borderId="0" xfId="0" applyFont="1"/>
    <xf numFmtId="0" fontId="26" fillId="0" borderId="0" xfId="0" applyFont="1"/>
    <xf numFmtId="0" fontId="26" fillId="0" borderId="4" xfId="0" applyFont="1" applyBorder="1"/>
    <xf numFmtId="0" fontId="27" fillId="0" borderId="4" xfId="1" applyFont="1" applyAlignment="1">
      <alignment horizontal="left" vertical="top" wrapText="1"/>
    </xf>
    <xf numFmtId="0" fontId="5" fillId="0" borderId="0" xfId="0" applyFont="1" applyAlignment="1">
      <alignment horizontal="center"/>
    </xf>
    <xf numFmtId="0" fontId="0" fillId="0" borderId="0" xfId="0"/>
    <xf numFmtId="0" fontId="6" fillId="8" borderId="0" xfId="0" applyFont="1" applyFill="1" applyAlignment="1">
      <alignment horizontal="center"/>
    </xf>
    <xf numFmtId="0" fontId="8" fillId="9" borderId="2" xfId="0" applyFont="1" applyFill="1" applyBorder="1" applyAlignment="1">
      <alignment horizontal="center"/>
    </xf>
    <xf numFmtId="0" fontId="9" fillId="0" borderId="3" xfId="0" applyFont="1" applyBorder="1"/>
    <xf numFmtId="0" fontId="9" fillId="0" borderId="4" xfId="0" applyFont="1" applyBorder="1"/>
    <xf numFmtId="0" fontId="2" fillId="0" borderId="0" xfId="0" applyFont="1" applyAlignment="1">
      <alignment horizontal="center"/>
    </xf>
    <xf numFmtId="0" fontId="12" fillId="0" borderId="9" xfId="0" applyFont="1" applyBorder="1" applyAlignment="1">
      <alignment horizontal="center"/>
    </xf>
    <xf numFmtId="0" fontId="12" fillId="0" borderId="0" xfId="0" applyFont="1" applyAlignment="1">
      <alignment horizontal="center"/>
    </xf>
  </cellXfs>
  <cellStyles count="2">
    <cellStyle name="Normal" xfId="0" builtinId="0"/>
    <cellStyle name="Normal 2" xfId="1" xr:uid="{19AA1ED1-6DE9-F54E-8738-870F0E168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55AE-3197-7348-98BC-2DF9070133EC}">
  <dimension ref="A1:A14"/>
  <sheetViews>
    <sheetView zoomScale="184" zoomScaleNormal="184" workbookViewId="0">
      <selection activeCell="A2" sqref="A2"/>
    </sheetView>
  </sheetViews>
  <sheetFormatPr baseColWidth="10" defaultRowHeight="13" x14ac:dyDescent="0.15"/>
  <cols>
    <col min="1" max="1" width="70.5" style="136" customWidth="1"/>
    <col min="2" max="16384" width="10.83203125" style="131"/>
  </cols>
  <sheetData>
    <row r="1" spans="1:1" ht="34" x14ac:dyDescent="0.15">
      <c r="A1" s="143" t="s">
        <v>112</v>
      </c>
    </row>
    <row r="2" spans="1:1" ht="16" x14ac:dyDescent="0.15">
      <c r="A2" s="130"/>
    </row>
    <row r="3" spans="1:1" ht="28" x14ac:dyDescent="0.15">
      <c r="A3" s="132" t="s">
        <v>113</v>
      </c>
    </row>
    <row r="4" spans="1:1" ht="187" customHeight="1" x14ac:dyDescent="0.15">
      <c r="A4" s="133" t="s">
        <v>114</v>
      </c>
    </row>
    <row r="5" spans="1:1" x14ac:dyDescent="0.15">
      <c r="A5" s="134"/>
    </row>
    <row r="6" spans="1:1" ht="14" x14ac:dyDescent="0.15">
      <c r="A6" s="132" t="s">
        <v>115</v>
      </c>
    </row>
    <row r="7" spans="1:1" ht="168" x14ac:dyDescent="0.15">
      <c r="A7" s="133" t="s">
        <v>116</v>
      </c>
    </row>
    <row r="8" spans="1:1" x14ac:dyDescent="0.15">
      <c r="A8" s="133"/>
    </row>
    <row r="9" spans="1:1" ht="14" x14ac:dyDescent="0.15">
      <c r="A9" s="132" t="s">
        <v>117</v>
      </c>
    </row>
    <row r="10" spans="1:1" ht="98" x14ac:dyDescent="0.15">
      <c r="A10" s="133" t="s">
        <v>118</v>
      </c>
    </row>
    <row r="11" spans="1:1" x14ac:dyDescent="0.15">
      <c r="A11" s="133"/>
    </row>
    <row r="12" spans="1:1" ht="14" x14ac:dyDescent="0.15">
      <c r="A12" s="135" t="s">
        <v>119</v>
      </c>
    </row>
    <row r="13" spans="1:1" ht="42" x14ac:dyDescent="0.15">
      <c r="A13" s="136" t="s">
        <v>120</v>
      </c>
    </row>
    <row r="14" spans="1:1" ht="28" x14ac:dyDescent="0.15">
      <c r="A14" s="136"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141" workbookViewId="0">
      <selection sqref="A1:XFD1"/>
    </sheetView>
  </sheetViews>
  <sheetFormatPr baseColWidth="10" defaultColWidth="12.6640625" defaultRowHeight="15" customHeight="1" x14ac:dyDescent="0.15"/>
  <cols>
    <col min="1" max="1" width="17" customWidth="1"/>
    <col min="2" max="2" width="70.33203125" customWidth="1"/>
    <col min="3" max="26" width="10.6640625" customWidth="1"/>
  </cols>
  <sheetData>
    <row r="1" spans="1:2" s="140" customFormat="1" ht="16" x14ac:dyDescent="0.2">
      <c r="A1" s="142" t="s">
        <v>122</v>
      </c>
      <c r="B1" s="142" t="s">
        <v>123</v>
      </c>
    </row>
    <row r="2" spans="1:2" ht="12.75" customHeight="1" x14ac:dyDescent="0.15">
      <c r="A2" s="137" t="s">
        <v>0</v>
      </c>
      <c r="B2" s="137" t="s">
        <v>1</v>
      </c>
    </row>
    <row r="3" spans="1:2" ht="12.75" customHeight="1" x14ac:dyDescent="0.15">
      <c r="A3" s="137" t="s">
        <v>2</v>
      </c>
      <c r="B3" s="137" t="s">
        <v>3</v>
      </c>
    </row>
    <row r="4" spans="1:2" ht="12.75" customHeight="1" x14ac:dyDescent="0.15">
      <c r="A4" s="137" t="s">
        <v>4</v>
      </c>
      <c r="B4" s="137" t="s">
        <v>5</v>
      </c>
    </row>
    <row r="5" spans="1:2" ht="12.75" customHeight="1" x14ac:dyDescent="0.15">
      <c r="A5" s="137" t="s">
        <v>6</v>
      </c>
      <c r="B5" s="137" t="s">
        <v>124</v>
      </c>
    </row>
    <row r="6" spans="1:2" ht="12.75" customHeight="1" x14ac:dyDescent="0.15">
      <c r="A6" s="137" t="s">
        <v>13</v>
      </c>
      <c r="B6" s="137" t="s">
        <v>125</v>
      </c>
    </row>
    <row r="7" spans="1:2" ht="12.75" customHeight="1" x14ac:dyDescent="0.15">
      <c r="A7" s="137" t="s">
        <v>14</v>
      </c>
      <c r="B7" s="137" t="s">
        <v>126</v>
      </c>
    </row>
    <row r="8" spans="1:2" ht="12.75" customHeight="1" x14ac:dyDescent="0.15">
      <c r="A8" s="137" t="s">
        <v>15</v>
      </c>
      <c r="B8" s="137" t="s">
        <v>127</v>
      </c>
    </row>
    <row r="9" spans="1:2" ht="12.75" customHeight="1" x14ac:dyDescent="0.15">
      <c r="A9" s="137" t="s">
        <v>16</v>
      </c>
      <c r="B9" s="138" t="s">
        <v>128</v>
      </c>
    </row>
    <row r="10" spans="1:2" ht="12.75" customHeight="1" x14ac:dyDescent="0.15">
      <c r="A10" s="137" t="s">
        <v>7</v>
      </c>
      <c r="B10" s="138" t="s">
        <v>8</v>
      </c>
    </row>
    <row r="11" spans="1:2" ht="12.75" customHeight="1" x14ac:dyDescent="0.15">
      <c r="A11" s="137" t="s">
        <v>9</v>
      </c>
      <c r="B11" s="137" t="s">
        <v>10</v>
      </c>
    </row>
    <row r="12" spans="1:2" ht="12.75" customHeight="1" x14ac:dyDescent="0.15">
      <c r="A12" s="137" t="s">
        <v>11</v>
      </c>
      <c r="B12" s="137" t="s">
        <v>12</v>
      </c>
    </row>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abSelected="1" zoomScale="150" workbookViewId="0">
      <selection activeCell="C7" sqref="C7"/>
    </sheetView>
  </sheetViews>
  <sheetFormatPr baseColWidth="10" defaultColWidth="12.6640625" defaultRowHeight="15" customHeight="1" x14ac:dyDescent="0.15"/>
  <cols>
    <col min="1" max="1" width="10.33203125" bestFit="1" customWidth="1"/>
    <col min="2" max="2" width="6.6640625" bestFit="1" customWidth="1"/>
    <col min="3" max="3" width="10.1640625" bestFit="1" customWidth="1"/>
    <col min="4" max="4" width="7" bestFit="1" customWidth="1"/>
    <col min="5" max="5" width="10.83203125" bestFit="1" customWidth="1"/>
    <col min="6" max="6" width="14.33203125" bestFit="1" customWidth="1"/>
    <col min="7" max="7" width="15" bestFit="1" customWidth="1"/>
    <col min="8" max="8" width="7.6640625" bestFit="1" customWidth="1"/>
    <col min="9" max="9" width="8.83203125" bestFit="1" customWidth="1"/>
    <col min="10" max="11" width="11" bestFit="1" customWidth="1"/>
    <col min="12" max="12" width="13.1640625" bestFit="1" customWidth="1"/>
    <col min="13" max="26" width="10.6640625" customWidth="1"/>
  </cols>
  <sheetData>
    <row r="1" spans="1:12" s="141" customFormat="1" ht="16" x14ac:dyDescent="0.2">
      <c r="A1" s="141" t="s">
        <v>0</v>
      </c>
      <c r="B1" s="141" t="s">
        <v>2</v>
      </c>
      <c r="C1" s="141" t="s">
        <v>4</v>
      </c>
      <c r="D1" s="141" t="s">
        <v>6</v>
      </c>
      <c r="E1" s="141" t="s">
        <v>13</v>
      </c>
      <c r="F1" s="141" t="s">
        <v>14</v>
      </c>
      <c r="G1" s="141" t="s">
        <v>15</v>
      </c>
      <c r="H1" s="141" t="s">
        <v>16</v>
      </c>
      <c r="I1" s="141" t="s">
        <v>7</v>
      </c>
      <c r="J1" s="141" t="s">
        <v>9</v>
      </c>
      <c r="K1" s="141" t="s">
        <v>11</v>
      </c>
      <c r="L1" s="141" t="s">
        <v>139</v>
      </c>
    </row>
    <row r="2" spans="1:12" ht="12.75" customHeight="1" x14ac:dyDescent="0.15">
      <c r="A2" s="2" t="b">
        <v>0</v>
      </c>
      <c r="B2" s="2">
        <v>10000</v>
      </c>
      <c r="C2" s="1">
        <v>1</v>
      </c>
      <c r="D2" s="1" t="s">
        <v>17</v>
      </c>
      <c r="E2" s="1">
        <v>0.47</v>
      </c>
      <c r="F2" s="1">
        <v>1.2999999999999999E-2</v>
      </c>
      <c r="G2" s="1" t="s">
        <v>18</v>
      </c>
      <c r="H2" s="1" t="s">
        <v>19</v>
      </c>
      <c r="I2" s="1" t="s">
        <v>20</v>
      </c>
      <c r="J2" s="2" t="b">
        <v>0</v>
      </c>
      <c r="K2" s="2">
        <v>0.9</v>
      </c>
      <c r="L2">
        <v>3</v>
      </c>
    </row>
    <row r="3" spans="1:12" ht="12.75" customHeight="1" x14ac:dyDescent="0.15"/>
    <row r="4" spans="1:12" ht="12.75" customHeight="1" x14ac:dyDescent="0.15"/>
    <row r="5" spans="1:12" ht="12.75" customHeight="1" x14ac:dyDescent="0.15"/>
    <row r="6" spans="1:12" ht="12.75" customHeight="1" x14ac:dyDescent="0.15"/>
    <row r="7" spans="1:12" ht="12.75" customHeight="1" x14ac:dyDescent="0.15"/>
    <row r="8" spans="1:12" ht="12.75" customHeight="1" x14ac:dyDescent="0.15"/>
    <row r="9" spans="1:12" ht="12.75" customHeight="1" x14ac:dyDescent="0.15"/>
    <row r="10" spans="1:12" ht="12.75" customHeight="1" x14ac:dyDescent="0.15"/>
    <row r="11" spans="1:12" ht="12.75" customHeight="1" x14ac:dyDescent="0.15"/>
    <row r="12" spans="1:12" ht="12.75" customHeight="1" x14ac:dyDescent="0.15"/>
    <row r="13" spans="1:12" ht="12.75" customHeight="1" x14ac:dyDescent="0.15"/>
    <row r="14" spans="1:12" ht="12.75" customHeight="1" x14ac:dyDescent="0.15"/>
    <row r="15" spans="1:12" ht="12.75" customHeight="1" x14ac:dyDescent="0.15"/>
    <row r="16" spans="1: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zoomScale="137" workbookViewId="0">
      <selection activeCell="C6" sqref="C6:C7"/>
    </sheetView>
  </sheetViews>
  <sheetFormatPr baseColWidth="10" defaultColWidth="12.6640625" defaultRowHeight="15" customHeight="1" x14ac:dyDescent="0.15"/>
  <cols>
    <col min="1" max="1" width="10.6640625" customWidth="1"/>
    <col min="2" max="2" width="11.1640625" bestFit="1" customWidth="1"/>
    <col min="3" max="3" width="10.1640625" bestFit="1" customWidth="1"/>
    <col min="4" max="4" width="12.5" bestFit="1" customWidth="1"/>
    <col min="5" max="26" width="10.6640625" customWidth="1"/>
  </cols>
  <sheetData>
    <row r="1" spans="1:4" s="141" customFormat="1" ht="16" x14ac:dyDescent="0.2">
      <c r="A1" s="141" t="s">
        <v>21</v>
      </c>
      <c r="B1" s="141" t="s">
        <v>22</v>
      </c>
      <c r="C1" s="141" t="s">
        <v>23</v>
      </c>
      <c r="D1" s="141" t="s">
        <v>24</v>
      </c>
    </row>
    <row r="2" spans="1:4" ht="12.75" customHeight="1" x14ac:dyDescent="0.15">
      <c r="A2" s="1" t="s">
        <v>25</v>
      </c>
      <c r="B2" s="1">
        <v>2016</v>
      </c>
      <c r="C2" s="1">
        <v>2020</v>
      </c>
      <c r="D2" s="1" t="s">
        <v>26</v>
      </c>
    </row>
    <row r="3" spans="1:4" ht="12.75" customHeight="1" x14ac:dyDescent="0.15">
      <c r="A3" s="1" t="s">
        <v>27</v>
      </c>
      <c r="B3" s="1">
        <v>2021</v>
      </c>
      <c r="C3" s="1">
        <v>2022</v>
      </c>
      <c r="D3" s="1" t="s">
        <v>28</v>
      </c>
    </row>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000"/>
  <sheetViews>
    <sheetView topLeftCell="F1" zoomScale="126" workbookViewId="0">
      <selection activeCell="O1" sqref="O1"/>
    </sheetView>
  </sheetViews>
  <sheetFormatPr baseColWidth="10" defaultColWidth="12.6640625" defaultRowHeight="15" customHeight="1" x14ac:dyDescent="0.15"/>
  <cols>
    <col min="1" max="1" width="9.6640625" bestFit="1" customWidth="1"/>
    <col min="2" max="2" width="15.1640625" bestFit="1" customWidth="1"/>
    <col min="3" max="3" width="13.33203125" bestFit="1" customWidth="1"/>
    <col min="4" max="4" width="18.6640625" bestFit="1" customWidth="1"/>
    <col min="5" max="5" width="18.1640625" bestFit="1" customWidth="1"/>
    <col min="6" max="6" width="17.1640625" bestFit="1" customWidth="1"/>
    <col min="7" max="7" width="11.6640625" bestFit="1" customWidth="1"/>
    <col min="8" max="8" width="9.6640625" bestFit="1" customWidth="1"/>
    <col min="9" max="9" width="10.33203125" bestFit="1" customWidth="1"/>
    <col min="13" max="14" width="23" bestFit="1" customWidth="1"/>
    <col min="15" max="15" width="13.6640625" bestFit="1" customWidth="1"/>
  </cols>
  <sheetData>
    <row r="1" spans="1:15" s="140" customFormat="1" ht="16" x14ac:dyDescent="0.2">
      <c r="A1" s="139" t="s">
        <v>29</v>
      </c>
      <c r="B1" s="139" t="s">
        <v>30</v>
      </c>
      <c r="C1" s="139" t="s">
        <v>31</v>
      </c>
      <c r="D1" s="139" t="s">
        <v>130</v>
      </c>
      <c r="E1" s="139" t="s">
        <v>134</v>
      </c>
      <c r="F1" s="139" t="s">
        <v>135</v>
      </c>
      <c r="G1" s="139" t="s">
        <v>33</v>
      </c>
      <c r="H1" s="139" t="s">
        <v>34</v>
      </c>
      <c r="I1" s="139" t="s">
        <v>35</v>
      </c>
      <c r="J1" s="139" t="s">
        <v>36</v>
      </c>
      <c r="K1" s="139" t="s">
        <v>37</v>
      </c>
      <c r="L1" s="139" t="s">
        <v>38</v>
      </c>
      <c r="M1" s="139" t="s">
        <v>136</v>
      </c>
      <c r="N1" s="139" t="s">
        <v>137</v>
      </c>
      <c r="O1" s="139" t="s">
        <v>138</v>
      </c>
    </row>
    <row r="2" spans="1:15" ht="15.75" customHeight="1" x14ac:dyDescent="0.15">
      <c r="A2" s="3">
        <v>1</v>
      </c>
      <c r="B2" s="3" t="str">
        <f t="shared" ref="B2:B13" si="0">C2&amp;"_"&amp;E2&amp;"_"&amp;F2</f>
        <v>T1_EV_Crop</v>
      </c>
      <c r="C2" s="3" t="s">
        <v>25</v>
      </c>
      <c r="D2" s="3"/>
      <c r="E2" s="3" t="s">
        <v>39</v>
      </c>
      <c r="F2" s="3" t="s">
        <v>40</v>
      </c>
      <c r="G2" s="3">
        <v>22455</v>
      </c>
      <c r="H2" s="3">
        <v>7513</v>
      </c>
      <c r="I2" s="3" t="s">
        <v>18</v>
      </c>
      <c r="J2" s="3"/>
      <c r="K2" s="3"/>
      <c r="L2" s="3"/>
      <c r="M2" s="3" t="s">
        <v>41</v>
      </c>
      <c r="N2" s="3" t="s">
        <v>42</v>
      </c>
      <c r="O2" s="3" t="s">
        <v>43</v>
      </c>
    </row>
    <row r="3" spans="1:15" ht="15.75" customHeight="1" x14ac:dyDescent="0.15">
      <c r="A3" s="3">
        <v>3</v>
      </c>
      <c r="B3" s="3" t="str">
        <f t="shared" si="0"/>
        <v>T1_M_Crop</v>
      </c>
      <c r="C3" s="3" t="s">
        <v>25</v>
      </c>
      <c r="D3" s="3"/>
      <c r="E3" s="3" t="s">
        <v>44</v>
      </c>
      <c r="F3" s="3" t="s">
        <v>40</v>
      </c>
      <c r="G3" s="3">
        <v>11327</v>
      </c>
      <c r="H3" s="3">
        <v>3429</v>
      </c>
      <c r="I3" s="3" t="s">
        <v>18</v>
      </c>
      <c r="J3" s="3"/>
      <c r="K3" s="3"/>
      <c r="L3" s="3"/>
      <c r="M3" s="3" t="s">
        <v>45</v>
      </c>
      <c r="N3" s="3" t="s">
        <v>42</v>
      </c>
      <c r="O3" s="3" t="s">
        <v>43</v>
      </c>
    </row>
    <row r="4" spans="1:15" ht="15.75" customHeight="1" x14ac:dyDescent="0.15">
      <c r="A4" s="4">
        <v>16</v>
      </c>
      <c r="B4" s="4" t="str">
        <f t="shared" si="0"/>
        <v>T1_EV_deg_Crop</v>
      </c>
      <c r="C4" s="4" t="s">
        <v>25</v>
      </c>
      <c r="D4" s="4"/>
      <c r="E4" s="4" t="s">
        <v>46</v>
      </c>
      <c r="F4" s="4" t="s">
        <v>40</v>
      </c>
      <c r="G4" s="4">
        <v>55074</v>
      </c>
      <c r="H4" s="4">
        <v>16234</v>
      </c>
      <c r="I4" s="4" t="s">
        <v>18</v>
      </c>
      <c r="J4" s="4"/>
      <c r="K4" s="4"/>
      <c r="L4" s="4"/>
      <c r="M4" s="4" t="s">
        <v>47</v>
      </c>
      <c r="N4" s="4" t="s">
        <v>42</v>
      </c>
      <c r="O4" s="4" t="s">
        <v>43</v>
      </c>
    </row>
    <row r="5" spans="1:15" ht="15.75" customHeight="1" x14ac:dyDescent="0.15">
      <c r="A5" s="4">
        <v>18</v>
      </c>
      <c r="B5" s="4" t="str">
        <f t="shared" si="0"/>
        <v>T1_M_deg_Crop</v>
      </c>
      <c r="C5" s="4" t="s">
        <v>25</v>
      </c>
      <c r="D5" s="4"/>
      <c r="E5" s="4" t="s">
        <v>48</v>
      </c>
      <c r="F5" s="4" t="s">
        <v>40</v>
      </c>
      <c r="G5" s="4">
        <v>16734</v>
      </c>
      <c r="H5" s="4">
        <v>4038</v>
      </c>
      <c r="I5" s="4" t="s">
        <v>18</v>
      </c>
      <c r="J5" s="4"/>
      <c r="K5" s="4"/>
      <c r="L5" s="4"/>
      <c r="M5" s="4" t="s">
        <v>49</v>
      </c>
      <c r="N5" s="4" t="s">
        <v>42</v>
      </c>
      <c r="O5" s="4" t="s">
        <v>43</v>
      </c>
    </row>
    <row r="6" spans="1:15" ht="15.75" customHeight="1" x14ac:dyDescent="0.15">
      <c r="A6" s="5">
        <v>25</v>
      </c>
      <c r="B6" s="5" t="str">
        <f t="shared" si="0"/>
        <v>T1_EV_EV_deg</v>
      </c>
      <c r="C6" s="5" t="s">
        <v>25</v>
      </c>
      <c r="D6" s="5"/>
      <c r="E6" s="5" t="s">
        <v>39</v>
      </c>
      <c r="F6" s="5" t="s">
        <v>46</v>
      </c>
      <c r="G6" s="5">
        <v>316681</v>
      </c>
      <c r="H6" s="5">
        <v>27632</v>
      </c>
      <c r="I6" s="5" t="s">
        <v>18</v>
      </c>
      <c r="J6" s="5"/>
      <c r="K6" s="5"/>
      <c r="L6" s="5"/>
      <c r="M6" s="5" t="s">
        <v>41</v>
      </c>
      <c r="N6" s="5" t="s">
        <v>47</v>
      </c>
      <c r="O6" s="5" t="s">
        <v>50</v>
      </c>
    </row>
    <row r="7" spans="1:15" ht="15.75" customHeight="1" x14ac:dyDescent="0.15">
      <c r="A7" s="5">
        <v>27</v>
      </c>
      <c r="B7" s="5" t="str">
        <f t="shared" si="0"/>
        <v>T1_M_M_deg</v>
      </c>
      <c r="C7" s="5" t="s">
        <v>25</v>
      </c>
      <c r="D7" s="5"/>
      <c r="E7" s="5" t="s">
        <v>44</v>
      </c>
      <c r="F7" s="5" t="s">
        <v>48</v>
      </c>
      <c r="G7" s="5">
        <v>22954</v>
      </c>
      <c r="H7" s="5">
        <v>2213</v>
      </c>
      <c r="I7" s="5" t="s">
        <v>18</v>
      </c>
      <c r="J7" s="5"/>
      <c r="K7" s="5"/>
      <c r="L7" s="5"/>
      <c r="M7" s="5" t="s">
        <v>45</v>
      </c>
      <c r="N7" s="5" t="s">
        <v>49</v>
      </c>
      <c r="O7" s="5" t="s">
        <v>50</v>
      </c>
    </row>
    <row r="8" spans="1:15" ht="15.75" customHeight="1" x14ac:dyDescent="0.15">
      <c r="A8" s="3">
        <v>35</v>
      </c>
      <c r="B8" s="3" t="str">
        <f t="shared" si="0"/>
        <v>T2_EV_Crop</v>
      </c>
      <c r="C8" s="3" t="s">
        <v>27</v>
      </c>
      <c r="D8" s="3"/>
      <c r="E8" s="3" t="s">
        <v>39</v>
      </c>
      <c r="F8" s="3" t="s">
        <v>40</v>
      </c>
      <c r="G8" s="3">
        <v>2055</v>
      </c>
      <c r="H8" s="3">
        <v>512</v>
      </c>
      <c r="I8" s="3" t="s">
        <v>18</v>
      </c>
      <c r="J8" s="3"/>
      <c r="K8" s="3"/>
      <c r="L8" s="3"/>
      <c r="M8" s="3" t="s">
        <v>41</v>
      </c>
      <c r="N8" s="3" t="s">
        <v>42</v>
      </c>
      <c r="O8" s="3" t="s">
        <v>43</v>
      </c>
    </row>
    <row r="9" spans="1:15" ht="15.75" customHeight="1" x14ac:dyDescent="0.15">
      <c r="A9" s="3">
        <v>37</v>
      </c>
      <c r="B9" s="3" t="str">
        <f t="shared" si="0"/>
        <v>T2_M_Crop</v>
      </c>
      <c r="C9" s="3" t="s">
        <v>27</v>
      </c>
      <c r="D9" s="3"/>
      <c r="E9" s="3" t="s">
        <v>44</v>
      </c>
      <c r="F9" s="3" t="s">
        <v>40</v>
      </c>
      <c r="G9" s="3">
        <v>2107</v>
      </c>
      <c r="H9" s="3">
        <v>525</v>
      </c>
      <c r="I9" s="3" t="s">
        <v>18</v>
      </c>
      <c r="J9" s="3"/>
      <c r="K9" s="3"/>
      <c r="L9" s="3"/>
      <c r="M9" s="3" t="s">
        <v>45</v>
      </c>
      <c r="N9" s="3" t="s">
        <v>42</v>
      </c>
      <c r="O9" s="3" t="s">
        <v>43</v>
      </c>
    </row>
    <row r="10" spans="1:15" ht="15.75" customHeight="1" x14ac:dyDescent="0.15">
      <c r="A10" s="4">
        <v>39</v>
      </c>
      <c r="B10" s="4" t="str">
        <f t="shared" si="0"/>
        <v>T2_EV_deg_Crop</v>
      </c>
      <c r="C10" s="4" t="s">
        <v>27</v>
      </c>
      <c r="D10" s="4"/>
      <c r="E10" s="4" t="s">
        <v>46</v>
      </c>
      <c r="F10" s="4" t="s">
        <v>40</v>
      </c>
      <c r="G10" s="4">
        <v>6029</v>
      </c>
      <c r="H10" s="4">
        <v>1578</v>
      </c>
      <c r="I10" s="4" t="s">
        <v>18</v>
      </c>
      <c r="J10" s="4"/>
      <c r="K10" s="4"/>
      <c r="L10" s="4"/>
      <c r="M10" s="4" t="s">
        <v>47</v>
      </c>
      <c r="N10" s="4" t="s">
        <v>42</v>
      </c>
      <c r="O10" s="4" t="s">
        <v>43</v>
      </c>
    </row>
    <row r="11" spans="1:15" ht="15.75" customHeight="1" x14ac:dyDescent="0.15">
      <c r="A11" s="4">
        <v>40</v>
      </c>
      <c r="B11" s="4" t="str">
        <f t="shared" si="0"/>
        <v>T2_M_deg_Crop</v>
      </c>
      <c r="C11" s="4" t="s">
        <v>27</v>
      </c>
      <c r="D11" s="4"/>
      <c r="E11" s="4" t="s">
        <v>48</v>
      </c>
      <c r="F11" s="4" t="s">
        <v>40</v>
      </c>
      <c r="G11" s="4">
        <v>6195</v>
      </c>
      <c r="H11" s="4">
        <v>1467</v>
      </c>
      <c r="I11" s="4" t="s">
        <v>18</v>
      </c>
      <c r="J11" s="4"/>
      <c r="K11" s="4"/>
      <c r="L11" s="4"/>
      <c r="M11" s="4" t="s">
        <v>49</v>
      </c>
      <c r="N11" s="4" t="s">
        <v>42</v>
      </c>
      <c r="O11" s="4" t="s">
        <v>43</v>
      </c>
    </row>
    <row r="12" spans="1:15" ht="15.75" customHeight="1" x14ac:dyDescent="0.15">
      <c r="A12" s="5">
        <v>43</v>
      </c>
      <c r="B12" s="5" t="str">
        <f t="shared" si="0"/>
        <v>T2_EV_EV_deg</v>
      </c>
      <c r="C12" s="5" t="s">
        <v>27</v>
      </c>
      <c r="D12" s="5"/>
      <c r="E12" s="5" t="s">
        <v>39</v>
      </c>
      <c r="F12" s="5" t="s">
        <v>46</v>
      </c>
      <c r="G12" s="5">
        <v>44939</v>
      </c>
      <c r="H12" s="5">
        <v>3690</v>
      </c>
      <c r="I12" s="5" t="s">
        <v>18</v>
      </c>
      <c r="J12" s="5"/>
      <c r="K12" s="5"/>
      <c r="L12" s="5"/>
      <c r="M12" s="5" t="s">
        <v>41</v>
      </c>
      <c r="N12" s="5" t="s">
        <v>47</v>
      </c>
      <c r="O12" s="5" t="s">
        <v>50</v>
      </c>
    </row>
    <row r="13" spans="1:15" ht="15.75" customHeight="1" x14ac:dyDescent="0.15">
      <c r="A13" s="5">
        <v>45</v>
      </c>
      <c r="B13" s="5" t="str">
        <f t="shared" si="0"/>
        <v>T2_M_M_deg</v>
      </c>
      <c r="C13" s="5" t="s">
        <v>27</v>
      </c>
      <c r="D13" s="5"/>
      <c r="E13" s="5" t="s">
        <v>44</v>
      </c>
      <c r="F13" s="5" t="s">
        <v>48</v>
      </c>
      <c r="G13" s="5">
        <v>5633</v>
      </c>
      <c r="H13" s="5">
        <v>511</v>
      </c>
      <c r="I13" s="5" t="s">
        <v>18</v>
      </c>
      <c r="J13" s="5"/>
      <c r="K13" s="5"/>
      <c r="L13" s="5"/>
      <c r="M13" s="5" t="s">
        <v>45</v>
      </c>
      <c r="N13" s="5" t="s">
        <v>49</v>
      </c>
      <c r="O13" s="5" t="s">
        <v>50</v>
      </c>
    </row>
    <row r="14" spans="1:15" ht="15.75" customHeight="1" x14ac:dyDescent="0.15"/>
    <row r="15" spans="1:15" ht="15.75" customHeight="1" x14ac:dyDescent="0.15"/>
    <row r="16" spans="1: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8"/>
  <sheetViews>
    <sheetView zoomScale="140" workbookViewId="0">
      <selection activeCell="G18" sqref="G18"/>
    </sheetView>
  </sheetViews>
  <sheetFormatPr baseColWidth="10" defaultColWidth="12.6640625" defaultRowHeight="13" x14ac:dyDescent="0.15"/>
  <cols>
    <col min="1" max="1" width="5.83203125" customWidth="1"/>
    <col min="2" max="2" width="19.6640625" bestFit="1" customWidth="1"/>
    <col min="3" max="3" width="9.5" bestFit="1" customWidth="1"/>
    <col min="4" max="4" width="11.1640625" bestFit="1" customWidth="1"/>
    <col min="5" max="5" width="9.33203125" bestFit="1" customWidth="1"/>
    <col min="6" max="6" width="12.33203125" bestFit="1" customWidth="1"/>
    <col min="7" max="7" width="8.6640625" customWidth="1"/>
    <col min="8" max="8" width="7.1640625" bestFit="1" customWidth="1"/>
    <col min="9" max="9" width="6.5" customWidth="1"/>
    <col min="10" max="12" width="8.83203125" customWidth="1"/>
    <col min="13" max="13" width="23" bestFit="1" customWidth="1"/>
  </cols>
  <sheetData>
    <row r="1" spans="1:13" ht="16" x14ac:dyDescent="0.2">
      <c r="A1" s="6" t="s">
        <v>51</v>
      </c>
      <c r="B1" s="6" t="s">
        <v>52</v>
      </c>
      <c r="C1" s="6" t="s">
        <v>53</v>
      </c>
      <c r="D1" s="6" t="s">
        <v>32</v>
      </c>
      <c r="E1" s="6" t="s">
        <v>131</v>
      </c>
      <c r="F1" s="6" t="s">
        <v>132</v>
      </c>
      <c r="G1" s="6" t="s">
        <v>54</v>
      </c>
      <c r="H1" s="6" t="s">
        <v>55</v>
      </c>
      <c r="I1" s="6" t="s">
        <v>56</v>
      </c>
      <c r="J1" s="6" t="s">
        <v>57</v>
      </c>
      <c r="K1" s="6" t="s">
        <v>58</v>
      </c>
      <c r="L1" s="6" t="s">
        <v>59</v>
      </c>
      <c r="M1" s="6" t="s">
        <v>133</v>
      </c>
    </row>
    <row r="2" spans="1:13" x14ac:dyDescent="0.15">
      <c r="A2" s="7">
        <v>1</v>
      </c>
      <c r="B2" s="7" t="str">
        <f t="shared" ref="B2:B8" si="0">C2&amp;"_"&amp;D2&amp;"_"&amp;E2</f>
        <v>ALL_AGB_EV</v>
      </c>
      <c r="C2" s="7" t="s">
        <v>20</v>
      </c>
      <c r="D2" s="7" t="s">
        <v>60</v>
      </c>
      <c r="E2" s="7" t="s">
        <v>39</v>
      </c>
      <c r="F2" s="7"/>
      <c r="G2" s="7">
        <v>274.959</v>
      </c>
      <c r="H2" s="7">
        <v>71.765000000000001</v>
      </c>
      <c r="I2" s="7" t="s">
        <v>18</v>
      </c>
      <c r="J2" s="7"/>
      <c r="K2" s="7"/>
      <c r="L2" s="7"/>
      <c r="M2" s="7" t="s">
        <v>41</v>
      </c>
    </row>
    <row r="3" spans="1:13" x14ac:dyDescent="0.15">
      <c r="A3" s="7">
        <v>2</v>
      </c>
      <c r="B3" s="7" t="str">
        <f t="shared" si="0"/>
        <v>ALL_AGB_M</v>
      </c>
      <c r="C3" s="7" t="s">
        <v>20</v>
      </c>
      <c r="D3" s="7" t="s">
        <v>60</v>
      </c>
      <c r="E3" s="7" t="s">
        <v>44</v>
      </c>
      <c r="F3" s="7"/>
      <c r="G3" s="7">
        <v>195.58000000000004</v>
      </c>
      <c r="H3" s="7">
        <v>48.006000000000007</v>
      </c>
      <c r="I3" s="7" t="s">
        <v>18</v>
      </c>
      <c r="J3" s="7"/>
      <c r="K3" s="7"/>
      <c r="L3" s="7"/>
      <c r="M3" s="7" t="s">
        <v>45</v>
      </c>
    </row>
    <row r="4" spans="1:13" x14ac:dyDescent="0.15">
      <c r="A4" s="8">
        <v>3</v>
      </c>
      <c r="B4" s="8" t="str">
        <f t="shared" si="0"/>
        <v>ALL_RS_EV</v>
      </c>
      <c r="C4" s="8" t="s">
        <v>20</v>
      </c>
      <c r="D4" s="8" t="s">
        <v>61</v>
      </c>
      <c r="E4" s="8" t="s">
        <v>39</v>
      </c>
      <c r="F4" s="8"/>
      <c r="G4" s="8">
        <v>0.33300000000000002</v>
      </c>
      <c r="H4" s="8">
        <v>3.0800000000000004E-2</v>
      </c>
      <c r="I4" s="8" t="s">
        <v>18</v>
      </c>
      <c r="J4" s="8"/>
      <c r="K4" s="8"/>
      <c r="L4" s="8"/>
      <c r="M4" s="8" t="s">
        <v>41</v>
      </c>
    </row>
    <row r="5" spans="1:13" x14ac:dyDescent="0.15">
      <c r="A5" s="8">
        <v>4</v>
      </c>
      <c r="B5" s="8" t="str">
        <f t="shared" si="0"/>
        <v>ALL_RS_M</v>
      </c>
      <c r="C5" s="8" t="s">
        <v>20</v>
      </c>
      <c r="D5" s="8" t="s">
        <v>61</v>
      </c>
      <c r="E5" s="8" t="s">
        <v>44</v>
      </c>
      <c r="F5" s="8"/>
      <c r="G5" s="8">
        <v>0.40700000000000003</v>
      </c>
      <c r="H5" s="8">
        <v>3.0800000000000004E-2</v>
      </c>
      <c r="I5" s="8" t="s">
        <v>18</v>
      </c>
      <c r="J5" s="8"/>
      <c r="K5" s="8"/>
      <c r="L5" s="8"/>
      <c r="M5" s="8" t="s">
        <v>45</v>
      </c>
    </row>
    <row r="6" spans="1:13" x14ac:dyDescent="0.15">
      <c r="A6" s="7">
        <v>5</v>
      </c>
      <c r="B6" s="7" t="str">
        <f t="shared" si="0"/>
        <v>ALL_DG_ratio_EV_deg</v>
      </c>
      <c r="C6" s="7" t="s">
        <v>20</v>
      </c>
      <c r="D6" s="7" t="s">
        <v>62</v>
      </c>
      <c r="E6" s="7" t="s">
        <v>46</v>
      </c>
      <c r="F6" s="7"/>
      <c r="G6" s="7">
        <v>0.72</v>
      </c>
      <c r="H6" s="7">
        <v>0.16200000000000001</v>
      </c>
      <c r="I6" s="7" t="s">
        <v>63</v>
      </c>
      <c r="J6" s="7">
        <f t="shared" ref="J6:J7" si="1">ROUND((G6*(1-G6)/(H6*H6)-1)*G6,3)</f>
        <v>4.8109999999999999</v>
      </c>
      <c r="K6" s="7">
        <f t="shared" ref="K6:K7" si="2">ROUND((G6*(1-G6)/(H6*H6)-1)*(1-G6),3)</f>
        <v>1.871</v>
      </c>
      <c r="L6" s="7"/>
      <c r="M6" s="7" t="s">
        <v>47</v>
      </c>
    </row>
    <row r="7" spans="1:13" x14ac:dyDescent="0.15">
      <c r="A7" s="7">
        <v>6</v>
      </c>
      <c r="B7" s="7" t="str">
        <f t="shared" si="0"/>
        <v>ALL_DG_ratio_M_deg</v>
      </c>
      <c r="C7" s="7" t="s">
        <v>20</v>
      </c>
      <c r="D7" s="7" t="s">
        <v>62</v>
      </c>
      <c r="E7" s="7" t="s">
        <v>48</v>
      </c>
      <c r="F7" s="7"/>
      <c r="G7" s="7">
        <v>0.72</v>
      </c>
      <c r="H7" s="7">
        <v>0.20699999999999999</v>
      </c>
      <c r="I7" s="7" t="s">
        <v>63</v>
      </c>
      <c r="J7" s="7">
        <f t="shared" si="1"/>
        <v>2.6680000000000001</v>
      </c>
      <c r="K7" s="7">
        <f t="shared" si="2"/>
        <v>1.0369999999999999</v>
      </c>
      <c r="L7" s="7"/>
      <c r="M7" s="7" t="s">
        <v>49</v>
      </c>
    </row>
    <row r="8" spans="1:13" x14ac:dyDescent="0.15">
      <c r="A8" s="9">
        <v>7</v>
      </c>
      <c r="B8" s="9" t="str">
        <f t="shared" si="0"/>
        <v>ALL_ALL_Crop</v>
      </c>
      <c r="C8" s="9" t="s">
        <v>20</v>
      </c>
      <c r="D8" s="9" t="s">
        <v>20</v>
      </c>
      <c r="E8" s="9" t="s">
        <v>40</v>
      </c>
      <c r="F8" s="9"/>
      <c r="G8" s="9">
        <v>0</v>
      </c>
      <c r="H8" s="9">
        <v>0</v>
      </c>
      <c r="I8" s="9" t="s">
        <v>18</v>
      </c>
      <c r="J8" s="9"/>
      <c r="K8" s="9"/>
      <c r="L8" s="10"/>
      <c r="M8" s="9" t="s">
        <v>42</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FF"/>
    <outlinePr summaryBelow="0" summaryRight="0"/>
  </sheetPr>
  <dimension ref="B1:J15"/>
  <sheetViews>
    <sheetView zoomScale="138" workbookViewId="0">
      <selection activeCell="G11" sqref="G11"/>
    </sheetView>
  </sheetViews>
  <sheetFormatPr baseColWidth="10" defaultColWidth="12.6640625" defaultRowHeight="15" customHeight="1" x14ac:dyDescent="0.15"/>
  <cols>
    <col min="1" max="1" width="8.33203125" customWidth="1"/>
    <col min="2" max="2" width="5.5" bestFit="1" customWidth="1"/>
    <col min="3" max="3" width="9.33203125" bestFit="1" customWidth="1"/>
    <col min="4" max="5" width="11.1640625" customWidth="1"/>
    <col min="6" max="6" width="8.83203125" customWidth="1"/>
    <col min="8" max="8" width="13.33203125" customWidth="1"/>
    <col min="9" max="9" width="14.5" customWidth="1"/>
    <col min="10" max="10" width="17.83203125" customWidth="1"/>
  </cols>
  <sheetData>
    <row r="1" spans="2:10" ht="16" x14ac:dyDescent="0.2">
      <c r="B1" s="11"/>
      <c r="C1" s="11"/>
      <c r="D1" s="11"/>
      <c r="E1" s="11"/>
      <c r="F1" s="11"/>
      <c r="H1" s="12"/>
      <c r="I1" s="12"/>
      <c r="J1" s="12"/>
    </row>
    <row r="2" spans="2:10" ht="16" x14ac:dyDescent="0.2">
      <c r="B2" s="11"/>
      <c r="C2" s="11"/>
      <c r="D2" s="11"/>
      <c r="E2" s="11"/>
      <c r="F2" s="11"/>
      <c r="H2" s="144" t="s">
        <v>64</v>
      </c>
      <c r="I2" s="145"/>
      <c r="J2" s="145"/>
    </row>
    <row r="3" spans="2:10" ht="16" x14ac:dyDescent="0.2">
      <c r="B3" s="146" t="s">
        <v>65</v>
      </c>
      <c r="C3" s="145"/>
      <c r="D3" s="145"/>
      <c r="E3" s="145"/>
      <c r="F3" s="145"/>
      <c r="H3" s="147" t="s">
        <v>66</v>
      </c>
      <c r="I3" s="148"/>
      <c r="J3" s="149"/>
    </row>
    <row r="4" spans="2:10" ht="15" customHeight="1" x14ac:dyDescent="0.15">
      <c r="B4" s="13" t="s">
        <v>67</v>
      </c>
      <c r="C4" s="13" t="s">
        <v>68</v>
      </c>
      <c r="D4" s="13" t="s">
        <v>69</v>
      </c>
      <c r="E4" s="13" t="s">
        <v>70</v>
      </c>
      <c r="F4" s="129" t="s">
        <v>71</v>
      </c>
      <c r="H4" s="14" t="s">
        <v>72</v>
      </c>
      <c r="I4" s="14" t="s">
        <v>73</v>
      </c>
      <c r="J4" s="14" t="s">
        <v>74</v>
      </c>
    </row>
    <row r="5" spans="2:10" ht="15" customHeight="1" x14ac:dyDescent="0.15">
      <c r="B5" s="13">
        <v>10</v>
      </c>
      <c r="C5" s="15">
        <v>0.9</v>
      </c>
      <c r="D5" s="13">
        <v>5</v>
      </c>
      <c r="E5" s="13">
        <v>2</v>
      </c>
      <c r="F5" s="128">
        <f>1-C5</f>
        <v>9.9999999999999978E-2</v>
      </c>
      <c r="H5" s="16">
        <f>SIMS_E!W6</f>
        <v>13949096</v>
      </c>
      <c r="I5" s="16">
        <f ca="1">SIMS_E!W14</f>
        <v>13555723</v>
      </c>
      <c r="J5" s="17">
        <f ca="1">SIMS_E!W15</f>
        <v>0.56999999999999995</v>
      </c>
    </row>
    <row r="6" spans="2:10" ht="16" x14ac:dyDescent="0.2">
      <c r="B6" s="11"/>
      <c r="C6" s="11"/>
      <c r="D6" s="11"/>
      <c r="E6" s="11"/>
      <c r="F6" s="11"/>
    </row>
    <row r="7" spans="2:10" ht="16" x14ac:dyDescent="0.2">
      <c r="B7" s="11"/>
      <c r="C7" s="11"/>
      <c r="D7" s="11"/>
      <c r="E7" s="11"/>
      <c r="F7" s="11"/>
      <c r="H7" s="150" t="s">
        <v>75</v>
      </c>
      <c r="I7" s="145"/>
      <c r="J7" s="145"/>
    </row>
    <row r="8" spans="2:10" ht="16" x14ac:dyDescent="0.2">
      <c r="B8" s="11"/>
      <c r="C8" s="11"/>
      <c r="D8" s="11"/>
      <c r="E8" s="11"/>
      <c r="F8" s="11"/>
      <c r="H8" s="1" t="s">
        <v>76</v>
      </c>
      <c r="I8" s="1" t="s">
        <v>77</v>
      </c>
      <c r="J8" s="1" t="s">
        <v>78</v>
      </c>
    </row>
    <row r="9" spans="2:10" ht="16" x14ac:dyDescent="0.2">
      <c r="B9" s="11"/>
      <c r="C9" s="11"/>
      <c r="D9" s="11"/>
      <c r="E9" s="11"/>
      <c r="F9" s="11"/>
      <c r="H9" s="18">
        <f ca="1">I5* (1 - 0.524417 * J5 / 1.645006)</f>
        <v>11092482.497874251</v>
      </c>
      <c r="I9" s="18">
        <f ca="1">I5 * (1-I12)</f>
        <v>12471265.16</v>
      </c>
      <c r="J9" s="18">
        <f ca="1">I5* ( 1 - 2/44)</f>
        <v>12939553.772727273</v>
      </c>
    </row>
    <row r="10" spans="2:10" ht="16" x14ac:dyDescent="0.2">
      <c r="B10" s="11"/>
      <c r="C10" s="11"/>
      <c r="D10" s="11"/>
      <c r="E10" s="11"/>
      <c r="F10" s="11"/>
    </row>
    <row r="11" spans="2:10" ht="16" x14ac:dyDescent="0.2">
      <c r="B11" s="11"/>
      <c r="C11" s="11"/>
      <c r="D11" s="11"/>
      <c r="E11" s="11"/>
      <c r="F11" s="11"/>
      <c r="I11" s="1" t="s">
        <v>79</v>
      </c>
    </row>
    <row r="12" spans="2:10" ht="16" x14ac:dyDescent="0.2">
      <c r="B12" s="11"/>
      <c r="C12" s="11"/>
      <c r="D12" s="11"/>
      <c r="E12" s="11"/>
      <c r="F12" s="11"/>
      <c r="I12" s="2">
        <f ca="1">IF(J5&lt;= 0.15, 0, IF(J5&lt;=0.3, 0.04, IF(J5&lt;=0.6, 0.08, IF(J5&lt;=1, 0.12, 0.15))))</f>
        <v>0.08</v>
      </c>
    </row>
    <row r="13" spans="2:10" ht="16" x14ac:dyDescent="0.2">
      <c r="B13" s="11"/>
      <c r="C13" s="11"/>
      <c r="D13" s="11"/>
      <c r="E13" s="11"/>
      <c r="F13" s="11"/>
    </row>
    <row r="14" spans="2:10" ht="16" x14ac:dyDescent="0.2">
      <c r="B14" s="11"/>
      <c r="C14" s="11"/>
      <c r="D14" s="11"/>
      <c r="E14" s="11"/>
      <c r="F14" s="11"/>
    </row>
    <row r="15" spans="2:10" ht="16" x14ac:dyDescent="0.2">
      <c r="B15" s="11"/>
      <c r="C15" s="11"/>
      <c r="D15" s="11"/>
      <c r="E15" s="11"/>
      <c r="F15" s="11"/>
    </row>
  </sheetData>
  <mergeCells count="4">
    <mergeCell ref="H2:J2"/>
    <mergeCell ref="B3:F3"/>
    <mergeCell ref="H3:J3"/>
    <mergeCell ref="H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2:S29"/>
  <sheetViews>
    <sheetView workbookViewId="0">
      <selection activeCell="D37" sqref="D37"/>
    </sheetView>
  </sheetViews>
  <sheetFormatPr baseColWidth="10" defaultColWidth="12.6640625" defaultRowHeight="15" customHeight="1" x14ac:dyDescent="0.15"/>
  <cols>
    <col min="2" max="2" width="38.83203125" customWidth="1"/>
  </cols>
  <sheetData>
    <row r="2" spans="1:19" ht="15" customHeight="1" x14ac:dyDescent="0.15">
      <c r="A2" s="19" t="s">
        <v>80</v>
      </c>
      <c r="B2" s="20" t="s">
        <v>20</v>
      </c>
      <c r="C2" s="21" t="str">
        <f t="array" ref="C2:I11">TRANSPOSE(c_stocks!C2:L8)</f>
        <v>ALL</v>
      </c>
      <c r="D2" s="22" t="str">
        <v>ALL</v>
      </c>
      <c r="E2" s="22" t="str">
        <v>ALL</v>
      </c>
      <c r="F2" s="22" t="str">
        <v>ALL</v>
      </c>
      <c r="G2" s="22" t="str">
        <v>ALL</v>
      </c>
      <c r="H2" s="22" t="str">
        <v>ALL</v>
      </c>
      <c r="I2" s="22" t="str">
        <v>ALL</v>
      </c>
      <c r="J2" s="19" t="s">
        <v>20</v>
      </c>
      <c r="K2" s="23" t="s">
        <v>20</v>
      </c>
      <c r="L2" s="23" t="s">
        <v>20</v>
      </c>
      <c r="M2" s="23" t="s">
        <v>20</v>
      </c>
      <c r="N2" s="23" t="s">
        <v>20</v>
      </c>
      <c r="O2" s="23" t="s">
        <v>20</v>
      </c>
      <c r="P2" s="24" t="s">
        <v>20</v>
      </c>
      <c r="Q2" s="2"/>
    </row>
    <row r="3" spans="1:19" ht="15" customHeight="1" x14ac:dyDescent="0.15">
      <c r="A3" s="25" t="s">
        <v>81</v>
      </c>
      <c r="B3" s="26" t="s">
        <v>82</v>
      </c>
      <c r="C3" s="27" t="str">
        <v>AGB</v>
      </c>
      <c r="D3" s="27" t="str">
        <v>AGB</v>
      </c>
      <c r="E3" s="27" t="str">
        <v>RS</v>
      </c>
      <c r="F3" s="27" t="str">
        <v>RS</v>
      </c>
      <c r="G3" s="27" t="str">
        <v>DG_ratio</v>
      </c>
      <c r="H3" s="27" t="str">
        <v>DG_ratio</v>
      </c>
      <c r="I3" s="27" t="str">
        <v>ALL</v>
      </c>
      <c r="J3" s="151" t="s">
        <v>83</v>
      </c>
      <c r="K3" s="145"/>
      <c r="L3" s="152" t="s">
        <v>129</v>
      </c>
      <c r="M3" s="145"/>
      <c r="N3" s="152" t="s">
        <v>84</v>
      </c>
      <c r="O3" s="145"/>
      <c r="P3" s="30" t="s">
        <v>85</v>
      </c>
      <c r="Q3" s="31"/>
    </row>
    <row r="4" spans="1:19" ht="15" customHeight="1" x14ac:dyDescent="0.15">
      <c r="A4" s="32" t="s">
        <v>86</v>
      </c>
      <c r="B4" s="33"/>
      <c r="C4" s="34" t="str">
        <v>EV</v>
      </c>
      <c r="D4" s="34" t="str">
        <v>M</v>
      </c>
      <c r="E4" s="34" t="str">
        <v>EV</v>
      </c>
      <c r="F4" s="34" t="str">
        <v>M</v>
      </c>
      <c r="G4" s="34" t="str">
        <v>EV_deg</v>
      </c>
      <c r="H4" s="34" t="str">
        <v>M_deg</v>
      </c>
      <c r="I4" s="34" t="str">
        <v>Crop</v>
      </c>
      <c r="J4" s="35" t="s">
        <v>39</v>
      </c>
      <c r="K4" s="36" t="s">
        <v>44</v>
      </c>
      <c r="L4" s="36" t="s">
        <v>39</v>
      </c>
      <c r="M4" s="36" t="s">
        <v>44</v>
      </c>
      <c r="N4" s="36" t="s">
        <v>46</v>
      </c>
      <c r="O4" s="36" t="s">
        <v>48</v>
      </c>
      <c r="P4" s="37" t="s">
        <v>40</v>
      </c>
      <c r="Q4" s="38"/>
    </row>
    <row r="5" spans="1:19" ht="15" customHeight="1" x14ac:dyDescent="0.15">
      <c r="A5" s="32" t="s">
        <v>87</v>
      </c>
      <c r="B5" s="33"/>
      <c r="C5" s="34">
        <v>0</v>
      </c>
      <c r="D5" s="34">
        <v>0</v>
      </c>
      <c r="E5" s="34">
        <v>0</v>
      </c>
      <c r="F5" s="34">
        <v>0</v>
      </c>
      <c r="G5" s="34">
        <v>0</v>
      </c>
      <c r="H5" s="34">
        <v>0</v>
      </c>
      <c r="I5" s="34">
        <v>0</v>
      </c>
      <c r="J5" s="39"/>
      <c r="K5" s="38"/>
      <c r="L5" s="38"/>
      <c r="M5" s="38"/>
      <c r="N5" s="38"/>
      <c r="O5" s="38"/>
      <c r="P5" s="40"/>
      <c r="Q5" s="38"/>
    </row>
    <row r="6" spans="1:19" ht="15" customHeight="1" x14ac:dyDescent="0.15">
      <c r="A6" s="41" t="s">
        <v>88</v>
      </c>
      <c r="B6" s="42">
        <f t="array" ref="B6:B8">TRANSPOSE(user_inputs!E2:G2)</f>
        <v>0.47</v>
      </c>
      <c r="C6" s="34">
        <v>274.959</v>
      </c>
      <c r="D6" s="34">
        <v>195.58000000000004</v>
      </c>
      <c r="E6" s="34">
        <v>0.33300000000000002</v>
      </c>
      <c r="F6" s="34">
        <v>0.40700000000000003</v>
      </c>
      <c r="G6" s="34">
        <v>0.72</v>
      </c>
      <c r="H6" s="34">
        <v>0.72</v>
      </c>
      <c r="I6" s="34">
        <v>0</v>
      </c>
      <c r="J6" s="43">
        <f t="shared" ref="J6:K6" si="0">ROUND(C6 *E6, 3)</f>
        <v>91.561000000000007</v>
      </c>
      <c r="K6" s="44">
        <f t="shared" si="0"/>
        <v>79.600999999999999</v>
      </c>
      <c r="L6" s="44">
        <f>ROUND(C6 * (1 +E6) * $B$6, 3)</f>
        <v>172.26499999999999</v>
      </c>
      <c r="M6" s="44">
        <f>ROUND(D6 * (1 +F6) * $B$6, 3)</f>
        <v>129.33500000000001</v>
      </c>
      <c r="N6" s="44">
        <f t="shared" ref="N6:O6" si="1">ROUND(L6*G6, 3)</f>
        <v>124.03100000000001</v>
      </c>
      <c r="O6" s="44">
        <f t="shared" si="1"/>
        <v>93.120999999999995</v>
      </c>
      <c r="P6" s="45">
        <f>I6</f>
        <v>0</v>
      </c>
      <c r="Q6" s="44"/>
    </row>
    <row r="7" spans="1:19" ht="15" customHeight="1" x14ac:dyDescent="0.15">
      <c r="A7" s="41" t="s">
        <v>89</v>
      </c>
      <c r="B7" s="46">
        <v>1.2999999999999999E-2</v>
      </c>
      <c r="C7" s="34">
        <v>71.765000000000001</v>
      </c>
      <c r="D7" s="34">
        <v>48.006000000000007</v>
      </c>
      <c r="E7" s="34">
        <v>3.0800000000000004E-2</v>
      </c>
      <c r="F7" s="34">
        <v>3.0800000000000004E-2</v>
      </c>
      <c r="G7" s="34">
        <v>0.16200000000000001</v>
      </c>
      <c r="H7" s="34">
        <v>0.20699999999999999</v>
      </c>
      <c r="I7" s="34">
        <v>0</v>
      </c>
      <c r="J7" s="47"/>
      <c r="P7" s="48"/>
    </row>
    <row r="8" spans="1:19" ht="15" customHeight="1" x14ac:dyDescent="0.15">
      <c r="A8" s="41" t="s">
        <v>90</v>
      </c>
      <c r="B8" s="46" t="str">
        <v>normal</v>
      </c>
      <c r="C8" s="34" t="str">
        <v>normal</v>
      </c>
      <c r="D8" s="34" t="str">
        <v>normal</v>
      </c>
      <c r="E8" s="34" t="str">
        <v>normal</v>
      </c>
      <c r="F8" s="34" t="str">
        <v>normal</v>
      </c>
      <c r="G8" s="34" t="str">
        <v>beta</v>
      </c>
      <c r="H8" s="34" t="str">
        <v>beta</v>
      </c>
      <c r="I8" s="34" t="str">
        <v>normal</v>
      </c>
      <c r="J8" s="49" t="s">
        <v>91</v>
      </c>
      <c r="K8" s="1" t="s">
        <v>91</v>
      </c>
      <c r="L8" s="1" t="s">
        <v>91</v>
      </c>
      <c r="M8" s="1" t="s">
        <v>91</v>
      </c>
      <c r="N8" s="1" t="s">
        <v>91</v>
      </c>
      <c r="O8" s="1" t="s">
        <v>91</v>
      </c>
      <c r="P8" s="50" t="s">
        <v>91</v>
      </c>
      <c r="Q8" s="1"/>
    </row>
    <row r="9" spans="1:19" ht="15" customHeight="1" x14ac:dyDescent="0.15">
      <c r="A9" s="41" t="s">
        <v>92</v>
      </c>
      <c r="B9" s="33"/>
      <c r="C9" s="34">
        <v>0</v>
      </c>
      <c r="D9" s="34">
        <v>0</v>
      </c>
      <c r="E9" s="34">
        <v>0</v>
      </c>
      <c r="F9" s="34">
        <v>0</v>
      </c>
      <c r="G9" s="34">
        <v>4.8109999999999999</v>
      </c>
      <c r="H9" s="34">
        <v>2.6680000000000001</v>
      </c>
      <c r="I9" s="34">
        <v>0</v>
      </c>
      <c r="J9" s="47"/>
      <c r="P9" s="48"/>
    </row>
    <row r="10" spans="1:19" ht="15" customHeight="1" x14ac:dyDescent="0.15">
      <c r="A10" s="51" t="s">
        <v>93</v>
      </c>
      <c r="B10" s="33"/>
      <c r="C10" s="34">
        <v>0</v>
      </c>
      <c r="D10" s="34">
        <v>0</v>
      </c>
      <c r="E10" s="34">
        <v>0</v>
      </c>
      <c r="F10" s="34">
        <v>0</v>
      </c>
      <c r="G10" s="34">
        <v>1.871</v>
      </c>
      <c r="H10" s="34">
        <v>1.0369999999999999</v>
      </c>
      <c r="I10" s="34">
        <v>0</v>
      </c>
      <c r="J10" s="47"/>
      <c r="P10" s="48"/>
    </row>
    <row r="11" spans="1:19" ht="15" customHeight="1" x14ac:dyDescent="0.15">
      <c r="A11" s="51" t="s">
        <v>94</v>
      </c>
      <c r="B11" s="33"/>
      <c r="C11" s="34">
        <v>0</v>
      </c>
      <c r="D11" s="34">
        <v>0</v>
      </c>
      <c r="E11" s="34">
        <v>0</v>
      </c>
      <c r="F11" s="34">
        <v>0</v>
      </c>
      <c r="G11" s="34">
        <v>0</v>
      </c>
      <c r="H11" s="34">
        <v>0</v>
      </c>
      <c r="I11" s="34">
        <v>0</v>
      </c>
      <c r="J11" s="47"/>
      <c r="P11" s="48"/>
    </row>
    <row r="12" spans="1:19" ht="15" customHeight="1" x14ac:dyDescent="0.15">
      <c r="A12" s="52" t="s">
        <v>95</v>
      </c>
      <c r="B12" s="53">
        <v>1</v>
      </c>
      <c r="C12" s="54">
        <v>1</v>
      </c>
      <c r="D12" s="54">
        <v>1</v>
      </c>
      <c r="E12" s="54">
        <v>1</v>
      </c>
      <c r="F12" s="54">
        <v>1</v>
      </c>
      <c r="G12" s="54">
        <v>1</v>
      </c>
      <c r="H12" s="54">
        <v>1</v>
      </c>
      <c r="I12" s="54">
        <v>0</v>
      </c>
      <c r="J12" s="55"/>
      <c r="K12" s="54"/>
      <c r="L12" s="54"/>
      <c r="M12" s="54"/>
      <c r="N12" s="54"/>
      <c r="O12" s="54"/>
      <c r="P12" s="56"/>
    </row>
    <row r="13" spans="1:19" ht="15" customHeight="1" x14ac:dyDescent="0.15">
      <c r="A13" s="19"/>
      <c r="B13" s="20"/>
      <c r="C13" s="23"/>
      <c r="D13" s="23"/>
      <c r="E13" s="23"/>
      <c r="F13" s="23"/>
      <c r="G13" s="23"/>
      <c r="H13" s="23"/>
      <c r="I13" s="24"/>
      <c r="J13" s="47"/>
      <c r="P13" s="48"/>
    </row>
    <row r="14" spans="1:19" ht="15" customHeight="1" x14ac:dyDescent="0.15">
      <c r="A14" s="57" t="s">
        <v>96</v>
      </c>
      <c r="B14" s="119">
        <f ca="1">MEDIAN(_xlfn.ANCHORARRAY(B20))</f>
        <v>0.47499999999999998</v>
      </c>
      <c r="C14" s="58">
        <f t="shared" ref="C14:P14" ca="1" si="2">MEDIAN(_xlfn.ANCHORARRAY(C20))</f>
        <v>281.64400000000001</v>
      </c>
      <c r="D14" s="59">
        <f t="shared" ca="1" si="2"/>
        <v>205.93599999999998</v>
      </c>
      <c r="E14" s="59">
        <f t="shared" ca="1" si="2"/>
        <v>0.34450000000000003</v>
      </c>
      <c r="F14" s="59">
        <f t="shared" ca="1" si="2"/>
        <v>0.40900000000000003</v>
      </c>
      <c r="G14" s="59">
        <f t="shared" ca="1" si="2"/>
        <v>0.67900000000000005</v>
      </c>
      <c r="H14" s="59">
        <f t="shared" ca="1" si="2"/>
        <v>0.81</v>
      </c>
      <c r="I14" s="60">
        <f t="shared" ca="1" si="2"/>
        <v>0</v>
      </c>
      <c r="J14" s="58">
        <f t="shared" ca="1" si="2"/>
        <v>98.617500000000007</v>
      </c>
      <c r="K14" s="59">
        <f t="shared" ca="1" si="2"/>
        <v>82.584499999999991</v>
      </c>
      <c r="L14" s="59">
        <f t="shared" ca="1" si="2"/>
        <v>177.10249999999999</v>
      </c>
      <c r="M14" s="59">
        <f t="shared" ca="1" si="2"/>
        <v>136.60649999999998</v>
      </c>
      <c r="N14" s="59">
        <f t="shared" ca="1" si="2"/>
        <v>114.4765</v>
      </c>
      <c r="O14" s="59">
        <f t="shared" ca="1" si="2"/>
        <v>111.164</v>
      </c>
      <c r="P14" s="60">
        <f t="shared" ca="1" si="2"/>
        <v>0</v>
      </c>
      <c r="Q14" s="123"/>
      <c r="R14" s="124"/>
      <c r="S14" s="124"/>
    </row>
    <row r="15" spans="1:19" ht="15" customHeight="1" x14ac:dyDescent="0.15">
      <c r="A15" s="57" t="s">
        <v>97</v>
      </c>
      <c r="B15" s="61">
        <f t="shared" ref="B15" ca="1" si="3">ROUND(B16/B14,2)</f>
        <v>0.03</v>
      </c>
      <c r="C15" s="62">
        <f t="shared" ref="C15:P15" ca="1" si="4">ROUND(C16/C14,2)</f>
        <v>0.35</v>
      </c>
      <c r="D15" s="63">
        <f t="shared" ca="1" si="4"/>
        <v>0.28000000000000003</v>
      </c>
      <c r="E15" s="63">
        <f t="shared" ca="1" si="4"/>
        <v>0.1</v>
      </c>
      <c r="F15" s="63">
        <f t="shared" ca="1" si="4"/>
        <v>0.05</v>
      </c>
      <c r="G15" s="63">
        <f t="shared" ca="1" si="4"/>
        <v>0.2</v>
      </c>
      <c r="H15" s="63">
        <f t="shared" ca="1" si="4"/>
        <v>0.21</v>
      </c>
      <c r="I15" s="64" t="e">
        <f t="shared" ca="1" si="4"/>
        <v>#DIV/0!</v>
      </c>
      <c r="J15" s="62">
        <f t="shared" ca="1" si="4"/>
        <v>0.31</v>
      </c>
      <c r="K15" s="63">
        <f t="shared" ca="1" si="4"/>
        <v>0.28000000000000003</v>
      </c>
      <c r="L15" s="63">
        <f t="shared" ca="1" si="4"/>
        <v>0.35</v>
      </c>
      <c r="M15" s="63">
        <f t="shared" ca="1" si="4"/>
        <v>0.25</v>
      </c>
      <c r="N15" s="63">
        <f t="shared" ca="1" si="4"/>
        <v>0.35</v>
      </c>
      <c r="O15" s="63">
        <f t="shared" ca="1" si="4"/>
        <v>0.39</v>
      </c>
      <c r="P15" s="64" t="e">
        <f t="shared" ca="1" si="4"/>
        <v>#DIV/0!</v>
      </c>
      <c r="Q15" s="125"/>
      <c r="R15" s="124"/>
    </row>
    <row r="16" spans="1:19" ht="15" customHeight="1" x14ac:dyDescent="0.15">
      <c r="A16" s="57" t="s">
        <v>98</v>
      </c>
      <c r="B16" s="65">
        <f t="shared" ref="B16" ca="1" si="5">(B18-B17)/2</f>
        <v>1.4999999999999986E-2</v>
      </c>
      <c r="C16" s="66">
        <f t="shared" ref="C16:P16" ca="1" si="6">(C18-C17)/2</f>
        <v>97.86999999999999</v>
      </c>
      <c r="D16" s="67">
        <f t="shared" ca="1" si="6"/>
        <v>57.230000000000004</v>
      </c>
      <c r="E16" s="67">
        <f t="shared" ca="1" si="6"/>
        <v>3.5000000000000003E-2</v>
      </c>
      <c r="F16" s="67">
        <f t="shared" ca="1" si="6"/>
        <v>1.999999999999999E-2</v>
      </c>
      <c r="G16" s="67">
        <f t="shared" ca="1" si="6"/>
        <v>0.13499999999999995</v>
      </c>
      <c r="H16" s="67">
        <f t="shared" ca="1" si="6"/>
        <v>0.17000000000000004</v>
      </c>
      <c r="I16" s="68">
        <f t="shared" ca="1" si="6"/>
        <v>0</v>
      </c>
      <c r="J16" s="66">
        <f t="shared" ca="1" si="6"/>
        <v>30.99</v>
      </c>
      <c r="K16" s="67">
        <f t="shared" ca="1" si="6"/>
        <v>23.364999999999998</v>
      </c>
      <c r="L16" s="67">
        <f t="shared" ca="1" si="6"/>
        <v>62.440000000000005</v>
      </c>
      <c r="M16" s="67">
        <f t="shared" ca="1" si="6"/>
        <v>34.170000000000009</v>
      </c>
      <c r="N16" s="67">
        <f t="shared" ca="1" si="6"/>
        <v>39.585000000000001</v>
      </c>
      <c r="O16" s="67">
        <f t="shared" ca="1" si="6"/>
        <v>43.865000000000002</v>
      </c>
      <c r="P16" s="68">
        <f t="shared" ca="1" si="6"/>
        <v>0</v>
      </c>
      <c r="Q16" s="123"/>
      <c r="R16" s="124"/>
    </row>
    <row r="17" spans="1:18" ht="15" customHeight="1" x14ac:dyDescent="0.15">
      <c r="A17" s="57" t="s">
        <v>99</v>
      </c>
      <c r="B17" s="120">
        <f t="shared" ref="B17:P17" ca="1" si="7">ROUND(PERCENTILE(_xlfn.ANCHORARRAY(B20),ci_alpha/2),2)</f>
        <v>0.46</v>
      </c>
      <c r="C17" s="66">
        <f t="shared" ca="1" si="7"/>
        <v>146.04</v>
      </c>
      <c r="D17" s="67">
        <f t="shared" ca="1" si="7"/>
        <v>148.72</v>
      </c>
      <c r="E17" s="67">
        <f t="shared" ca="1" si="7"/>
        <v>0.3</v>
      </c>
      <c r="F17" s="67">
        <f t="shared" ca="1" si="7"/>
        <v>0.39</v>
      </c>
      <c r="G17" s="67">
        <f t="shared" ca="1" si="7"/>
        <v>0.56000000000000005</v>
      </c>
      <c r="H17" s="67">
        <f t="shared" ca="1" si="7"/>
        <v>0.57999999999999996</v>
      </c>
      <c r="I17" s="68">
        <f t="shared" ca="1" si="7"/>
        <v>0</v>
      </c>
      <c r="J17" s="66">
        <f t="shared" ca="1" si="7"/>
        <v>50.65</v>
      </c>
      <c r="K17" s="67">
        <f t="shared" ca="1" si="7"/>
        <v>59.68</v>
      </c>
      <c r="L17" s="67">
        <f t="shared" ca="1" si="7"/>
        <v>92.83</v>
      </c>
      <c r="M17" s="67">
        <f t="shared" ca="1" si="7"/>
        <v>100.77</v>
      </c>
      <c r="N17" s="67">
        <f t="shared" ca="1" si="7"/>
        <v>67.260000000000005</v>
      </c>
      <c r="O17" s="67">
        <f t="shared" ca="1" si="7"/>
        <v>63.42</v>
      </c>
      <c r="P17" s="68">
        <f t="shared" ca="1" si="7"/>
        <v>0</v>
      </c>
      <c r="Q17" s="123"/>
      <c r="R17" s="124"/>
    </row>
    <row r="18" spans="1:18" ht="15" customHeight="1" x14ac:dyDescent="0.15">
      <c r="A18" s="57" t="s">
        <v>100</v>
      </c>
      <c r="B18" s="120">
        <f t="shared" ref="B18:P18" ca="1" si="8">ROUND(PERCENTILE(_xlfn.ANCHORARRAY(B20), 1 - ci_alpha / 2), 2)</f>
        <v>0.49</v>
      </c>
      <c r="C18" s="66">
        <f t="shared" ca="1" si="8"/>
        <v>341.78</v>
      </c>
      <c r="D18" s="67">
        <f t="shared" ca="1" si="8"/>
        <v>263.18</v>
      </c>
      <c r="E18" s="67">
        <f t="shared" ca="1" si="8"/>
        <v>0.37</v>
      </c>
      <c r="F18" s="67">
        <f t="shared" ca="1" si="8"/>
        <v>0.43</v>
      </c>
      <c r="G18" s="67">
        <f t="shared" ca="1" si="8"/>
        <v>0.83</v>
      </c>
      <c r="H18" s="67">
        <f t="shared" ca="1" si="8"/>
        <v>0.92</v>
      </c>
      <c r="I18" s="68">
        <f t="shared" ca="1" si="8"/>
        <v>0</v>
      </c>
      <c r="J18" s="66">
        <f t="shared" ca="1" si="8"/>
        <v>112.63</v>
      </c>
      <c r="K18" s="67">
        <f t="shared" ca="1" si="8"/>
        <v>106.41</v>
      </c>
      <c r="L18" s="67">
        <f t="shared" ca="1" si="8"/>
        <v>217.71</v>
      </c>
      <c r="M18" s="67">
        <f t="shared" ca="1" si="8"/>
        <v>169.11</v>
      </c>
      <c r="N18" s="67">
        <f t="shared" ca="1" si="8"/>
        <v>146.43</v>
      </c>
      <c r="O18" s="67">
        <f t="shared" ca="1" si="8"/>
        <v>151.15</v>
      </c>
      <c r="P18" s="68">
        <f t="shared" ca="1" si="8"/>
        <v>0</v>
      </c>
      <c r="Q18" s="123"/>
      <c r="R18" s="124"/>
    </row>
    <row r="19" spans="1:18" ht="15" customHeight="1" x14ac:dyDescent="0.15">
      <c r="A19" s="52"/>
      <c r="B19" s="53"/>
      <c r="C19" s="55"/>
      <c r="D19" s="54"/>
      <c r="E19" s="54"/>
      <c r="F19" s="54"/>
      <c r="G19" s="54"/>
      <c r="H19" s="54"/>
      <c r="I19" s="56"/>
      <c r="J19" s="69">
        <f ca="1">ROUND(C20*E20, 3)</f>
        <v>103.562</v>
      </c>
      <c r="K19" s="54"/>
      <c r="L19" s="70">
        <f ca="1">ROUND(C20 * (1  + E20) * $B20,3)</f>
        <v>187.858</v>
      </c>
      <c r="M19" s="70"/>
      <c r="N19" s="70">
        <f ca="1">ROUND(L20*G20, 3)</f>
        <v>150.85</v>
      </c>
      <c r="O19" s="54"/>
      <c r="P19" s="56"/>
    </row>
    <row r="20" spans="1:18" ht="15" customHeight="1" x14ac:dyDescent="0.15">
      <c r="A20" s="71" cm="1">
        <f t="array" ref="A20:A29">_xlfn.SEQUENCE(n_iter, 1, 1, 1)</f>
        <v>1</v>
      </c>
      <c r="B20" s="72" cm="1">
        <f t="array" aca="1" ref="B20:B29" ca="1">IF(B12=1, ROUND(NORMINV(_xlfn.RANDARRAY(n_iter, 1),B6,B7),3),_xlfn.SEQUENCE(n_iter, 1, B6, 0))</f>
        <v>0.48699999999999999</v>
      </c>
      <c r="C20" s="72" cm="1">
        <f t="array" aca="1" ref="C20:C29" ca="1">IF(C12=1, ROUND(NORMINV(_xlfn.RANDARRAY(n_iter, 1),C6,C7),3),_xlfn.SEQUENCE(n_iter, 1, C6, 0))</f>
        <v>282.18400000000003</v>
      </c>
      <c r="D20" s="72" cm="1">
        <f t="array" aca="1" ref="D20:D29" ca="1">IF(D12=1, ROUND(NORMINV(_xlfn.RANDARRAY(n_iter, 1),D6,D7),3),_xlfn.SEQUENCE(n_iter, 1, D6, 0))</f>
        <v>184.876</v>
      </c>
      <c r="E20" s="72" cm="1">
        <f t="array" aca="1" ref="E20:E29" ca="1">IF(E12=1, ROUND(NORMINV(_xlfn.RANDARRAY(n_iter, 1),E6,E7),3),_xlfn.SEQUENCE(n_iter, 1, E6, 0))</f>
        <v>0.36699999999999999</v>
      </c>
      <c r="F20" s="72" cm="1">
        <f t="array" aca="1" ref="F20:F29" ca="1">IF(F12=1, ROUND(NORMINV(_xlfn.RANDARRAY(n_iter, 1),F6,F7),3),_xlfn.SEQUENCE(n_iter, 1, F6, 0))</f>
        <v>0.39300000000000002</v>
      </c>
      <c r="G20" s="72" cm="1">
        <f t="array" aca="1" ref="G20:G29" ca="1">IF(G12=1, ROUND(NORMINV(_xlfn.RANDARRAY(n_iter, 1),G6,G7),3),_xlfn.SEQUENCE(n_iter, 1, G6, 0))</f>
        <v>0.80300000000000005</v>
      </c>
      <c r="H20" s="72" cm="1">
        <f t="array" aca="1" ref="H20:H29" ca="1">IF(H12=1, ROUND(BETAINV(_xlfn.RANDARRAY(n_iter, 1),H9,H10),3),_xlfn.SEQUENCE(n_iter, 1, H6, 0))</f>
        <v>0.71499999999999997</v>
      </c>
      <c r="I20" s="72" cm="1">
        <f t="array" aca="1" ref="I20:I29" ca="1">IF(I12=1, ROUND(NORMINV(_xlfn.RANDARRAY(n_iter, 1),I6,I7),3),_xlfn.SEQUENCE(n_iter, 1, I6, 0))</f>
        <v>0</v>
      </c>
      <c r="J20" s="121" cm="1">
        <f t="array" aca="1" ref="J20:J29" ca="1">ROUND(_xlfn.ANCHORARRAY(C20) *_xlfn.ANCHORARRAY( E20), 3)</f>
        <v>103.562</v>
      </c>
      <c r="K20" s="121" cm="1">
        <f t="array" aca="1" ref="K20:K29" ca="1">ROUND(_xlfn.ANCHORARRAY(D20) *_xlfn.ANCHORARRAY( F20), 3)</f>
        <v>72.656000000000006</v>
      </c>
      <c r="L20" s="121" cm="1">
        <f t="array" aca="1" ref="L20:L29" ca="1">ROUND(_xlfn.ANCHORARRAY(C20) * (1 +_xlfn.ANCHORARRAY( E20)) *_xlfn.ANCHORARRAY( $B20), 3)</f>
        <v>187.858</v>
      </c>
      <c r="M20" s="121" cm="1">
        <f t="array" aca="1" ref="M20:M29" ca="1">ROUND(_xlfn.ANCHORARRAY(D20) * (1 +_xlfn.ANCHORARRAY( F20)) *_xlfn.ANCHORARRAY( $B20), 3)</f>
        <v>125.41800000000001</v>
      </c>
      <c r="N20" s="121" cm="1">
        <f t="array" aca="1" ref="N20:N29" ca="1">ROUND(_xlfn.ANCHORARRAY(L20) *_xlfn.ANCHORARRAY( G20), 3)</f>
        <v>150.85</v>
      </c>
      <c r="O20" s="121" cm="1">
        <f t="array" aca="1" ref="O20:O29" ca="1">ROUND(_xlfn.ANCHORARRAY(M20) *_xlfn.ANCHORARRAY( H20), 3)</f>
        <v>89.674000000000007</v>
      </c>
      <c r="P20" s="122" cm="1">
        <f t="array" aca="1" ref="P20:P29" ca="1">_xlfn.ANCHORARRAY(I20)</f>
        <v>0</v>
      </c>
      <c r="Q20" s="44"/>
    </row>
    <row r="21" spans="1:18" ht="15" customHeight="1" x14ac:dyDescent="0.15">
      <c r="A21">
        <v>2</v>
      </c>
      <c r="B21">
        <f ca="1"/>
        <v>0.46300000000000002</v>
      </c>
      <c r="C21">
        <f ca="1"/>
        <v>281.10399999999998</v>
      </c>
      <c r="D21">
        <f ca="1"/>
        <v>261.017</v>
      </c>
      <c r="E21">
        <f ca="1"/>
        <v>0.35499999999999998</v>
      </c>
      <c r="F21">
        <f ca="1"/>
        <v>0.41399999999999998</v>
      </c>
      <c r="G21">
        <f ca="1"/>
        <v>0.64600000000000002</v>
      </c>
      <c r="H21">
        <f ca="1"/>
        <v>0.91200000000000003</v>
      </c>
      <c r="I21">
        <f ca="1"/>
        <v>0</v>
      </c>
      <c r="J21">
        <f ca="1"/>
        <v>99.792000000000002</v>
      </c>
      <c r="K21">
        <f ca="1"/>
        <v>108.06100000000001</v>
      </c>
      <c r="L21">
        <f ca="1"/>
        <v>176.35499999999999</v>
      </c>
      <c r="M21">
        <f ca="1"/>
        <v>170.88300000000001</v>
      </c>
      <c r="N21">
        <f ca="1"/>
        <v>113.925</v>
      </c>
      <c r="O21">
        <f ca="1"/>
        <v>155.845</v>
      </c>
      <c r="P21">
        <f ca="1"/>
        <v>0</v>
      </c>
    </row>
    <row r="22" spans="1:18" ht="15" customHeight="1" x14ac:dyDescent="0.15">
      <c r="A22">
        <v>3</v>
      </c>
      <c r="B22">
        <f ca="1"/>
        <v>0.47</v>
      </c>
      <c r="C22">
        <f ca="1"/>
        <v>328.07299999999998</v>
      </c>
      <c r="D22">
        <f ca="1"/>
        <v>206.78299999999999</v>
      </c>
      <c r="E22">
        <f ca="1"/>
        <v>0.34899999999999998</v>
      </c>
      <c r="F22">
        <f ca="1"/>
        <v>0.40600000000000003</v>
      </c>
      <c r="G22">
        <f ca="1"/>
        <v>0.55300000000000005</v>
      </c>
      <c r="H22">
        <f ca="1"/>
        <v>0.81599999999999995</v>
      </c>
      <c r="I22">
        <f ca="1"/>
        <v>0</v>
      </c>
      <c r="J22">
        <f ca="1"/>
        <v>114.497</v>
      </c>
      <c r="K22">
        <f ca="1"/>
        <v>83.953999999999994</v>
      </c>
      <c r="L22">
        <f ca="1"/>
        <v>208.00800000000001</v>
      </c>
      <c r="M22">
        <f ca="1"/>
        <v>136.64599999999999</v>
      </c>
      <c r="N22">
        <f ca="1"/>
        <v>115.02800000000001</v>
      </c>
      <c r="O22">
        <f ca="1"/>
        <v>111.503</v>
      </c>
      <c r="P22">
        <f ca="1"/>
        <v>0</v>
      </c>
    </row>
    <row r="23" spans="1:18" ht="15" customHeight="1" x14ac:dyDescent="0.15">
      <c r="A23">
        <v>4</v>
      </c>
      <c r="B23">
        <f ca="1"/>
        <v>0.47</v>
      </c>
      <c r="C23">
        <f ca="1"/>
        <v>165.93100000000001</v>
      </c>
      <c r="D23">
        <f ca="1"/>
        <v>241.24100000000001</v>
      </c>
      <c r="E23">
        <f ca="1"/>
        <v>0.34</v>
      </c>
      <c r="F23">
        <f ca="1"/>
        <v>0.41399999999999998</v>
      </c>
      <c r="G23">
        <f ca="1"/>
        <v>0.84599999999999997</v>
      </c>
      <c r="H23">
        <f ca="1"/>
        <v>0.79200000000000004</v>
      </c>
      <c r="I23">
        <f ca="1"/>
        <v>0</v>
      </c>
      <c r="J23">
        <f ca="1"/>
        <v>56.417000000000002</v>
      </c>
      <c r="K23">
        <f ca="1"/>
        <v>99.873999999999995</v>
      </c>
      <c r="L23">
        <f ca="1"/>
        <v>104.503</v>
      </c>
      <c r="M23">
        <f ca="1"/>
        <v>160.32400000000001</v>
      </c>
      <c r="N23">
        <f ca="1"/>
        <v>88.41</v>
      </c>
      <c r="O23">
        <f ca="1"/>
        <v>126.977</v>
      </c>
      <c r="P23">
        <f ca="1"/>
        <v>0</v>
      </c>
    </row>
    <row r="24" spans="1:18" ht="15" customHeight="1" x14ac:dyDescent="0.15">
      <c r="A24">
        <v>5</v>
      </c>
      <c r="B24">
        <f ca="1"/>
        <v>0.49099999999999999</v>
      </c>
      <c r="C24">
        <f ca="1"/>
        <v>349.22699999999998</v>
      </c>
      <c r="D24">
        <f ca="1"/>
        <v>163.87</v>
      </c>
      <c r="E24">
        <f ca="1"/>
        <v>0.316</v>
      </c>
      <c r="F24">
        <f ca="1"/>
        <v>0.42199999999999999</v>
      </c>
      <c r="G24">
        <f ca="1"/>
        <v>0.56799999999999995</v>
      </c>
      <c r="H24">
        <f ca="1"/>
        <v>0.88</v>
      </c>
      <c r="I24">
        <f ca="1"/>
        <v>0</v>
      </c>
      <c r="J24">
        <f ca="1"/>
        <v>110.35599999999999</v>
      </c>
      <c r="K24">
        <f ca="1"/>
        <v>69.153000000000006</v>
      </c>
      <c r="L24">
        <f ca="1"/>
        <v>225.655</v>
      </c>
      <c r="M24">
        <f ca="1"/>
        <v>114.414</v>
      </c>
      <c r="N24">
        <f ca="1"/>
        <v>128.172</v>
      </c>
      <c r="O24">
        <f ca="1"/>
        <v>100.684</v>
      </c>
      <c r="P24">
        <f ca="1"/>
        <v>0</v>
      </c>
    </row>
    <row r="25" spans="1:18" ht="15" customHeight="1" x14ac:dyDescent="0.15">
      <c r="A25">
        <v>6</v>
      </c>
      <c r="B25">
        <f ca="1"/>
        <v>0.47899999999999998</v>
      </c>
      <c r="C25">
        <f ca="1"/>
        <v>186.12799999999999</v>
      </c>
      <c r="D25">
        <f ca="1"/>
        <v>176.761</v>
      </c>
      <c r="E25">
        <f ca="1"/>
        <v>0.32600000000000001</v>
      </c>
      <c r="F25">
        <f ca="1"/>
        <v>0.41199999999999998</v>
      </c>
      <c r="G25">
        <f ca="1"/>
        <v>0.61</v>
      </c>
      <c r="H25">
        <f ca="1"/>
        <v>0.92700000000000005</v>
      </c>
      <c r="I25">
        <f ca="1"/>
        <v>0</v>
      </c>
      <c r="J25">
        <f ca="1"/>
        <v>60.677999999999997</v>
      </c>
      <c r="K25">
        <f ca="1"/>
        <v>72.825999999999993</v>
      </c>
      <c r="L25">
        <f ca="1"/>
        <v>118.22</v>
      </c>
      <c r="M25">
        <f ca="1"/>
        <v>119.55200000000001</v>
      </c>
      <c r="N25">
        <f ca="1"/>
        <v>72.114000000000004</v>
      </c>
      <c r="O25">
        <f ca="1"/>
        <v>110.825</v>
      </c>
      <c r="P25">
        <f ca="1"/>
        <v>0</v>
      </c>
    </row>
    <row r="26" spans="1:18" ht="15" customHeight="1" x14ac:dyDescent="0.15">
      <c r="A26">
        <v>7</v>
      </c>
      <c r="B26">
        <f ca="1"/>
        <v>0.47699999999999998</v>
      </c>
      <c r="C26">
        <f ca="1"/>
        <v>332.685</v>
      </c>
      <c r="D26">
        <f ca="1"/>
        <v>205.089</v>
      </c>
      <c r="E26">
        <f ca="1"/>
        <v>0.30499999999999999</v>
      </c>
      <c r="F26">
        <f ca="1"/>
        <v>0.39600000000000002</v>
      </c>
      <c r="G26">
        <f ca="1"/>
        <v>0.68100000000000005</v>
      </c>
      <c r="H26">
        <f ca="1"/>
        <v>0.71199999999999997</v>
      </c>
      <c r="I26">
        <f ca="1"/>
        <v>0</v>
      </c>
      <c r="J26">
        <f ca="1"/>
        <v>101.46899999999999</v>
      </c>
      <c r="K26">
        <f ca="1"/>
        <v>81.215000000000003</v>
      </c>
      <c r="L26">
        <f ca="1"/>
        <v>207.09100000000001</v>
      </c>
      <c r="M26">
        <f ca="1"/>
        <v>136.56700000000001</v>
      </c>
      <c r="N26">
        <f ca="1"/>
        <v>141.029</v>
      </c>
      <c r="O26">
        <f ca="1"/>
        <v>97.236000000000004</v>
      </c>
      <c r="P26">
        <f ca="1"/>
        <v>0</v>
      </c>
    </row>
    <row r="27" spans="1:18" ht="15" customHeight="1" x14ac:dyDescent="0.15">
      <c r="A27">
        <v>8</v>
      </c>
      <c r="B27">
        <f ca="1"/>
        <v>0.47399999999999998</v>
      </c>
      <c r="C27">
        <f ca="1"/>
        <v>129.75800000000001</v>
      </c>
      <c r="D27">
        <f ca="1"/>
        <v>230.589</v>
      </c>
      <c r="E27">
        <f ca="1"/>
        <v>0.35399999999999998</v>
      </c>
      <c r="F27">
        <f ca="1"/>
        <v>0.433</v>
      </c>
      <c r="G27">
        <f ca="1"/>
        <v>0.76</v>
      </c>
      <c r="H27">
        <f ca="1"/>
        <v>0.80400000000000005</v>
      </c>
      <c r="I27">
        <f ca="1"/>
        <v>0</v>
      </c>
      <c r="J27">
        <f ca="1"/>
        <v>45.933999999999997</v>
      </c>
      <c r="K27">
        <f ca="1"/>
        <v>99.844999999999999</v>
      </c>
      <c r="L27">
        <f ca="1"/>
        <v>83.278000000000006</v>
      </c>
      <c r="M27">
        <f ca="1"/>
        <v>156.626</v>
      </c>
      <c r="N27">
        <f ca="1"/>
        <v>63.290999999999997</v>
      </c>
      <c r="O27">
        <f ca="1"/>
        <v>125.92700000000001</v>
      </c>
      <c r="P27">
        <f ca="1"/>
        <v>0</v>
      </c>
    </row>
    <row r="28" spans="1:18" ht="15" customHeight="1" x14ac:dyDescent="0.15">
      <c r="A28">
        <v>9</v>
      </c>
      <c r="B28">
        <f ca="1"/>
        <v>0.45200000000000001</v>
      </c>
      <c r="C28">
        <f ca="1"/>
        <v>266.96699999999998</v>
      </c>
      <c r="D28">
        <f ca="1"/>
        <v>264.94799999999998</v>
      </c>
      <c r="E28">
        <f ca="1"/>
        <v>0.36499999999999999</v>
      </c>
      <c r="F28">
        <f ca="1"/>
        <v>0.39400000000000002</v>
      </c>
      <c r="G28">
        <f ca="1"/>
        <v>0.67700000000000005</v>
      </c>
      <c r="H28">
        <f ca="1"/>
        <v>0.871</v>
      </c>
      <c r="I28">
        <f ca="1"/>
        <v>0</v>
      </c>
      <c r="J28">
        <f ca="1"/>
        <v>97.442999999999998</v>
      </c>
      <c r="K28">
        <f ca="1"/>
        <v>104.39</v>
      </c>
      <c r="L28">
        <f ca="1"/>
        <v>164.71299999999999</v>
      </c>
      <c r="M28">
        <f ca="1"/>
        <v>166.941</v>
      </c>
      <c r="N28">
        <f ca="1"/>
        <v>111.511</v>
      </c>
      <c r="O28">
        <f ca="1"/>
        <v>145.40600000000001</v>
      </c>
      <c r="P28">
        <f ca="1"/>
        <v>0</v>
      </c>
    </row>
    <row r="29" spans="1:18" ht="15" customHeight="1" x14ac:dyDescent="0.15">
      <c r="A29">
        <v>10</v>
      </c>
      <c r="B29">
        <f ca="1"/>
        <v>0.47599999999999998</v>
      </c>
      <c r="C29">
        <f ca="1"/>
        <v>287.63299999999998</v>
      </c>
      <c r="D29">
        <f ca="1"/>
        <v>136.31800000000001</v>
      </c>
      <c r="E29">
        <f ca="1"/>
        <v>0.29899999999999999</v>
      </c>
      <c r="F29">
        <f ca="1"/>
        <v>0.38100000000000001</v>
      </c>
      <c r="G29">
        <f ca="1"/>
        <v>0.746</v>
      </c>
      <c r="H29">
        <f ca="1"/>
        <v>0.46800000000000003</v>
      </c>
      <c r="I29">
        <f ca="1"/>
        <v>0</v>
      </c>
      <c r="J29">
        <f ca="1"/>
        <v>86.001999999999995</v>
      </c>
      <c r="K29">
        <f ca="1"/>
        <v>51.936999999999998</v>
      </c>
      <c r="L29">
        <f ca="1"/>
        <v>177.85</v>
      </c>
      <c r="M29">
        <f ca="1"/>
        <v>89.608999999999995</v>
      </c>
      <c r="N29">
        <f ca="1"/>
        <v>132.67599999999999</v>
      </c>
      <c r="O29">
        <f ca="1"/>
        <v>41.936999999999998</v>
      </c>
      <c r="P29">
        <f ca="1"/>
        <v>0</v>
      </c>
    </row>
  </sheetData>
  <mergeCells count="3">
    <mergeCell ref="J3:K3"/>
    <mergeCell ref="L3:M3"/>
    <mergeCell ref="N3: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2:M29"/>
  <sheetViews>
    <sheetView workbookViewId="0">
      <selection activeCell="D25" sqref="D25"/>
    </sheetView>
  </sheetViews>
  <sheetFormatPr baseColWidth="10" defaultColWidth="12.6640625" defaultRowHeight="15" customHeight="1" x14ac:dyDescent="0.15"/>
  <sheetData>
    <row r="2" spans="1:1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4" t="s">
        <v>27</v>
      </c>
    </row>
    <row r="3" spans="1:13" ht="15" customHeight="1" x14ac:dyDescent="0.15">
      <c r="A3" s="25" t="s">
        <v>81</v>
      </c>
      <c r="B3" s="28" t="s">
        <v>101</v>
      </c>
      <c r="C3" s="29" t="s">
        <v>101</v>
      </c>
      <c r="D3" s="29" t="s">
        <v>101</v>
      </c>
      <c r="E3" s="29" t="s">
        <v>101</v>
      </c>
      <c r="F3" s="29" t="s">
        <v>101</v>
      </c>
      <c r="G3" s="29" t="s">
        <v>101</v>
      </c>
      <c r="H3" s="29" t="s">
        <v>102</v>
      </c>
      <c r="I3" s="29" t="s">
        <v>102</v>
      </c>
      <c r="J3" s="29" t="s">
        <v>102</v>
      </c>
      <c r="K3" s="29" t="s">
        <v>102</v>
      </c>
      <c r="L3" s="29" t="s">
        <v>102</v>
      </c>
      <c r="M3" s="30" t="s">
        <v>102</v>
      </c>
    </row>
    <row r="4" spans="1:1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40" t="s">
        <v>44</v>
      </c>
    </row>
    <row r="5" spans="1:1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40" t="s">
        <v>48</v>
      </c>
    </row>
    <row r="6" spans="1:13" ht="15" customHeight="1" x14ac:dyDescent="0.15">
      <c r="A6" s="41" t="s">
        <v>88</v>
      </c>
      <c r="B6" s="43" cm="1">
        <f t="array" ref="B6">ROUND((_xlfn.XLOOKUP(B$4, SIMS_EF_preparation!$L$4:$P$4, SIMS_EF_preparation!$L6:'SIMS_EF_preparation'!$P6,0) - _xlfn.XLOOKUP(B$5, SIMS_EF_preparation!$L$4:$P$4, SIMS_EF_preparation!$L6:'SIMS_EF_preparation'!$P6,0)) * 44/12, 3)</f>
        <v>631.63800000000003</v>
      </c>
      <c r="C6" s="44" cm="1">
        <f t="array" ref="C6">ROUND((_xlfn.XLOOKUP(C$4, SIMS_EF_preparation!$L$4:$P$4, SIMS_EF_preparation!$L6:'SIMS_EF_preparation'!$P6,0) - _xlfn.XLOOKUP(C$5, SIMS_EF_preparation!$L$4:$P$4, SIMS_EF_preparation!$L6:'SIMS_EF_preparation'!$P6,0)) * 44/12, 3)</f>
        <v>474.22800000000001</v>
      </c>
      <c r="D6" s="44" cm="1">
        <f t="array" ref="D6">ROUND((_xlfn.XLOOKUP(D$4, SIMS_EF_preparation!$L$4:$P$4, SIMS_EF_preparation!$L6:'SIMS_EF_preparation'!$P6,0) - _xlfn.XLOOKUP(D$5, SIMS_EF_preparation!$L$4:$P$4, SIMS_EF_preparation!$L6:'SIMS_EF_preparation'!$P6,0)) * 44/12, 3)</f>
        <v>454.78</v>
      </c>
      <c r="E6" s="44" cm="1">
        <f t="array" ref="E6">ROUND((_xlfn.XLOOKUP(E$4, SIMS_EF_preparation!$L$4:$P$4, SIMS_EF_preparation!$L6:'SIMS_EF_preparation'!$P6,0) - _xlfn.XLOOKUP(E$5, SIMS_EF_preparation!$L$4:$P$4, SIMS_EF_preparation!$L6:'SIMS_EF_preparation'!$P6,0)) * 44/12, 3)</f>
        <v>341.44400000000002</v>
      </c>
      <c r="F6" s="44" cm="1">
        <f t="array" ref="F6">ROUND((_xlfn.XLOOKUP(F$4, SIMS_EF_preparation!$L$4:$P$4, SIMS_EF_preparation!$L6:'SIMS_EF_preparation'!$P6,0) - _xlfn.XLOOKUP(F$5, SIMS_EF_preparation!$L$4:$P$4, SIMS_EF_preparation!$L6:'SIMS_EF_preparation'!$P6,0)) * 44/12, 3)</f>
        <v>176.858</v>
      </c>
      <c r="G6" s="44" cm="1">
        <f t="array" ref="G6">ROUND((_xlfn.XLOOKUP(G$4, SIMS_EF_preparation!$L$4:$P$4, SIMS_EF_preparation!$L6:'SIMS_EF_preparation'!$P6,0) - _xlfn.XLOOKUP(G$5, SIMS_EF_preparation!$L$4:$P$4, SIMS_EF_preparation!$L6:'SIMS_EF_preparation'!$P6,0)) * 44/12, 3)</f>
        <v>132.785</v>
      </c>
      <c r="H6" s="44" cm="1">
        <f t="array" ref="H6">ROUND((_xlfn.XLOOKUP(H$4, SIMS_EF_preparation!$L$4:$P$4, SIMS_EF_preparation!$L6:'SIMS_EF_preparation'!$P6,0) - _xlfn.XLOOKUP(H$5, SIMS_EF_preparation!$L$4:$P$4, SIMS_EF_preparation!$L6:'SIMS_EF_preparation'!$P6,0)) * 44/12, 3)</f>
        <v>631.63800000000003</v>
      </c>
      <c r="I6" s="44" cm="1">
        <f t="array" ref="I6">ROUND((_xlfn.XLOOKUP(I$4, SIMS_EF_preparation!$L$4:$P$4, SIMS_EF_preparation!$L6:'SIMS_EF_preparation'!$P6,0) - _xlfn.XLOOKUP(I$5, SIMS_EF_preparation!$L$4:$P$4, SIMS_EF_preparation!$L6:'SIMS_EF_preparation'!$P6,0)) * 44/12, 3)</f>
        <v>474.22800000000001</v>
      </c>
      <c r="J6" s="44" cm="1">
        <f t="array" ref="J6">ROUND((_xlfn.XLOOKUP(J$4, SIMS_EF_preparation!$L$4:$P$4, SIMS_EF_preparation!$L6:'SIMS_EF_preparation'!$P6,0) - _xlfn.XLOOKUP(J$5, SIMS_EF_preparation!$L$4:$P$4, SIMS_EF_preparation!$L6:'SIMS_EF_preparation'!$P6,0)) * 44/12, 3)</f>
        <v>454.78</v>
      </c>
      <c r="K6" s="44" cm="1">
        <f t="array" ref="K6">ROUND((_xlfn.XLOOKUP(K$4, SIMS_EF_preparation!$L$4:$P$4, SIMS_EF_preparation!$L6:'SIMS_EF_preparation'!$P6,0) - _xlfn.XLOOKUP(K$5, SIMS_EF_preparation!$L$4:$P$4, SIMS_EF_preparation!$L6:'SIMS_EF_preparation'!$P6,0)) * 44/12, 3)</f>
        <v>341.44400000000002</v>
      </c>
      <c r="L6" s="44" cm="1">
        <f t="array" ref="L6">ROUND((_xlfn.XLOOKUP(L$4, SIMS_EF_preparation!$L$4:$P$4, SIMS_EF_preparation!$L6:'SIMS_EF_preparation'!$P6,0) - _xlfn.XLOOKUP(L$5, SIMS_EF_preparation!$L$4:$P$4, SIMS_EF_preparation!$L6:'SIMS_EF_preparation'!$P6,0)) * 44/12, 3)</f>
        <v>176.858</v>
      </c>
      <c r="M6" s="45" cm="1">
        <f t="array" ref="M6">ROUND((_xlfn.XLOOKUP(M$4, SIMS_EF_preparation!$L$4:$P$4, SIMS_EF_preparation!$L6:'SIMS_EF_preparation'!$P6,0) - _xlfn.XLOOKUP(M$5, SIMS_EF_preparation!$L$4:$P$4, SIMS_EF_preparation!$L6:'SIMS_EF_preparation'!$P6,0)) * 44/12, 3)</f>
        <v>132.785</v>
      </c>
    </row>
    <row r="7" spans="1:13" ht="15" customHeight="1" x14ac:dyDescent="0.15">
      <c r="A7" s="41" t="s">
        <v>89</v>
      </c>
      <c r="B7" s="47"/>
      <c r="M7" s="48"/>
    </row>
    <row r="8" spans="1:13" ht="15" customHeight="1" x14ac:dyDescent="0.15">
      <c r="A8" s="41" t="s">
        <v>90</v>
      </c>
      <c r="B8" s="49" t="s">
        <v>91</v>
      </c>
      <c r="C8" s="1" t="s">
        <v>91</v>
      </c>
      <c r="D8" s="1" t="s">
        <v>91</v>
      </c>
      <c r="E8" s="1" t="s">
        <v>91</v>
      </c>
      <c r="F8" s="1" t="s">
        <v>91</v>
      </c>
      <c r="G8" s="1" t="s">
        <v>91</v>
      </c>
      <c r="H8" s="1" t="s">
        <v>91</v>
      </c>
      <c r="I8" s="1" t="s">
        <v>91</v>
      </c>
      <c r="J8" s="1" t="s">
        <v>91</v>
      </c>
      <c r="K8" s="1" t="s">
        <v>91</v>
      </c>
      <c r="L8" s="1" t="s">
        <v>91</v>
      </c>
      <c r="M8" s="50" t="s">
        <v>91</v>
      </c>
    </row>
    <row r="9" spans="1:13" ht="15" customHeight="1" x14ac:dyDescent="0.15">
      <c r="A9" s="41" t="s">
        <v>92</v>
      </c>
      <c r="B9" s="47"/>
      <c r="M9" s="48"/>
    </row>
    <row r="10" spans="1:13" ht="15" customHeight="1" x14ac:dyDescent="0.15">
      <c r="A10" s="51" t="s">
        <v>93</v>
      </c>
      <c r="B10" s="47"/>
      <c r="M10" s="48"/>
    </row>
    <row r="11" spans="1:13" ht="15" customHeight="1" x14ac:dyDescent="0.15">
      <c r="A11" s="51" t="s">
        <v>94</v>
      </c>
      <c r="B11" s="47"/>
      <c r="M11" s="48"/>
    </row>
    <row r="12" spans="1:13" ht="15" customHeight="1" x14ac:dyDescent="0.15">
      <c r="A12" s="52" t="s">
        <v>95</v>
      </c>
      <c r="B12" s="55"/>
      <c r="C12" s="54"/>
      <c r="D12" s="54"/>
      <c r="E12" s="54"/>
      <c r="F12" s="54"/>
      <c r="G12" s="54"/>
      <c r="H12" s="54"/>
      <c r="I12" s="54"/>
      <c r="J12" s="54"/>
      <c r="K12" s="54"/>
      <c r="L12" s="54"/>
      <c r="M12" s="56"/>
    </row>
    <row r="13" spans="1:13" ht="15" customHeight="1" x14ac:dyDescent="0.15">
      <c r="A13" s="19"/>
      <c r="B13" s="47"/>
      <c r="M13" s="48"/>
    </row>
    <row r="14" spans="1:13" ht="15" customHeight="1" x14ac:dyDescent="0.15">
      <c r="A14" s="57" t="s">
        <v>96</v>
      </c>
      <c r="B14" s="58">
        <f t="shared" ref="B14:M14" ca="1" si="0">MEDIAN(_xlfn.ANCHORARRAY(B20))</f>
        <v>649.37599999999998</v>
      </c>
      <c r="C14" s="73">
        <f t="shared" ca="1" si="0"/>
        <v>500.89049999999997</v>
      </c>
      <c r="D14" s="73">
        <f t="shared" ca="1" si="0"/>
        <v>419.74700000000001</v>
      </c>
      <c r="E14" s="73">
        <f t="shared" ca="1" si="0"/>
        <v>407.601</v>
      </c>
      <c r="F14" s="73">
        <f t="shared" ca="1" si="0"/>
        <v>182.06450000000001</v>
      </c>
      <c r="G14" s="73">
        <f t="shared" ca="1" si="0"/>
        <v>102.37700000000001</v>
      </c>
      <c r="H14" s="73">
        <f t="shared" ca="1" si="0"/>
        <v>649.37599999999998</v>
      </c>
      <c r="I14" s="73">
        <f t="shared" ca="1" si="0"/>
        <v>500.89049999999997</v>
      </c>
      <c r="J14" s="73">
        <f t="shared" ca="1" si="0"/>
        <v>419.74700000000001</v>
      </c>
      <c r="K14" s="73">
        <f t="shared" ca="1" si="0"/>
        <v>407.601</v>
      </c>
      <c r="L14" s="73">
        <f t="shared" ca="1" si="0"/>
        <v>182.06450000000001</v>
      </c>
      <c r="M14" s="74">
        <f t="shared" ca="1" si="0"/>
        <v>102.37700000000001</v>
      </c>
    </row>
    <row r="15" spans="1:13" ht="15" customHeight="1" x14ac:dyDescent="0.15">
      <c r="A15" s="57" t="s">
        <v>97</v>
      </c>
      <c r="B15" s="62">
        <f t="shared" ref="B15:M15" ca="1" si="1">ROUND(B16/B14,2)</f>
        <v>0.35</v>
      </c>
      <c r="C15" s="75">
        <f t="shared" ca="1" si="1"/>
        <v>0.25</v>
      </c>
      <c r="D15" s="75">
        <f t="shared" ca="1" si="1"/>
        <v>0.35</v>
      </c>
      <c r="E15" s="75">
        <f t="shared" ca="1" si="1"/>
        <v>0.39</v>
      </c>
      <c r="F15" s="75">
        <f t="shared" ca="1" si="1"/>
        <v>0.78</v>
      </c>
      <c r="G15" s="75">
        <f t="shared" ca="1" si="1"/>
        <v>0.59</v>
      </c>
      <c r="H15" s="75">
        <f t="shared" ca="1" si="1"/>
        <v>0.35</v>
      </c>
      <c r="I15" s="75">
        <f t="shared" ca="1" si="1"/>
        <v>0.25</v>
      </c>
      <c r="J15" s="75">
        <f t="shared" ca="1" si="1"/>
        <v>0.35</v>
      </c>
      <c r="K15" s="75">
        <f t="shared" ca="1" si="1"/>
        <v>0.39</v>
      </c>
      <c r="L15" s="75">
        <f t="shared" ca="1" si="1"/>
        <v>0.78</v>
      </c>
      <c r="M15" s="76">
        <f t="shared" ca="1" si="1"/>
        <v>0.59</v>
      </c>
    </row>
    <row r="16" spans="1:13" ht="15" customHeight="1" x14ac:dyDescent="0.15">
      <c r="A16" s="57" t="s">
        <v>98</v>
      </c>
      <c r="B16" s="58">
        <f t="shared" ref="B16:M16" ca="1" si="2">(B18-B17)/2</f>
        <v>228.95499999999998</v>
      </c>
      <c r="C16" s="73">
        <f t="shared" ca="1" si="2"/>
        <v>125.29000000000002</v>
      </c>
      <c r="D16" s="73">
        <f t="shared" ca="1" si="2"/>
        <v>145.14499999999998</v>
      </c>
      <c r="E16" s="73">
        <f t="shared" ca="1" si="2"/>
        <v>160.83500000000004</v>
      </c>
      <c r="F16" s="73">
        <f t="shared" ca="1" si="2"/>
        <v>142.29</v>
      </c>
      <c r="G16" s="73">
        <f t="shared" ca="1" si="2"/>
        <v>60.39</v>
      </c>
      <c r="H16" s="73">
        <f t="shared" ca="1" si="2"/>
        <v>228.95499999999998</v>
      </c>
      <c r="I16" s="73">
        <f t="shared" ca="1" si="2"/>
        <v>125.29000000000002</v>
      </c>
      <c r="J16" s="73">
        <f t="shared" ca="1" si="2"/>
        <v>145.14499999999998</v>
      </c>
      <c r="K16" s="73">
        <f t="shared" ca="1" si="2"/>
        <v>160.83500000000004</v>
      </c>
      <c r="L16" s="73">
        <f t="shared" ca="1" si="2"/>
        <v>142.29</v>
      </c>
      <c r="M16" s="74">
        <f t="shared" ca="1" si="2"/>
        <v>60.39</v>
      </c>
    </row>
    <row r="17" spans="1:13" ht="15" customHeight="1" x14ac:dyDescent="0.15">
      <c r="A17" s="57" t="s">
        <v>99</v>
      </c>
      <c r="B17" s="58">
        <f t="shared" ref="B17:M17" ca="1" si="3">ROUND(PERCENTILE(_xlfn.ANCHORARRAY(B20),ci_alpha/2),2)</f>
        <v>340.37</v>
      </c>
      <c r="C17" s="73">
        <f t="shared" ca="1" si="3"/>
        <v>369.49</v>
      </c>
      <c r="D17" s="73">
        <f t="shared" ca="1" si="3"/>
        <v>246.62</v>
      </c>
      <c r="E17" s="73">
        <f t="shared" ca="1" si="3"/>
        <v>232.54</v>
      </c>
      <c r="F17" s="73">
        <f t="shared" ca="1" si="3"/>
        <v>65.430000000000007</v>
      </c>
      <c r="G17" s="73">
        <f t="shared" ca="1" si="3"/>
        <v>40.25</v>
      </c>
      <c r="H17" s="73">
        <f t="shared" ca="1" si="3"/>
        <v>340.37</v>
      </c>
      <c r="I17" s="73">
        <f t="shared" ca="1" si="3"/>
        <v>369.49</v>
      </c>
      <c r="J17" s="73">
        <f t="shared" ca="1" si="3"/>
        <v>246.62</v>
      </c>
      <c r="K17" s="73">
        <f t="shared" ca="1" si="3"/>
        <v>232.54</v>
      </c>
      <c r="L17" s="73">
        <f t="shared" ca="1" si="3"/>
        <v>65.430000000000007</v>
      </c>
      <c r="M17" s="74">
        <f t="shared" ca="1" si="3"/>
        <v>40.25</v>
      </c>
    </row>
    <row r="18" spans="1:13" ht="15" customHeight="1" x14ac:dyDescent="0.15">
      <c r="A18" s="57" t="s">
        <v>100</v>
      </c>
      <c r="B18" s="58">
        <f t="shared" ref="B18:M18" ca="1" si="4">ROUND(PERCENTILE(_xlfn.ANCHORARRAY(B20), 1 - ci_alpha / 2), 2)</f>
        <v>798.28</v>
      </c>
      <c r="C18" s="73">
        <f t="shared" ca="1" si="4"/>
        <v>620.07000000000005</v>
      </c>
      <c r="D18" s="73">
        <f t="shared" ca="1" si="4"/>
        <v>536.91</v>
      </c>
      <c r="E18" s="73">
        <f t="shared" ca="1" si="4"/>
        <v>554.21</v>
      </c>
      <c r="F18" s="73">
        <f t="shared" ca="1" si="4"/>
        <v>350.01</v>
      </c>
      <c r="G18" s="73">
        <f t="shared" ca="1" si="4"/>
        <v>161.03</v>
      </c>
      <c r="H18" s="73">
        <f t="shared" ca="1" si="4"/>
        <v>798.28</v>
      </c>
      <c r="I18" s="73">
        <f t="shared" ca="1" si="4"/>
        <v>620.07000000000005</v>
      </c>
      <c r="J18" s="73">
        <f t="shared" ca="1" si="4"/>
        <v>536.91</v>
      </c>
      <c r="K18" s="73">
        <f t="shared" ca="1" si="4"/>
        <v>554.21</v>
      </c>
      <c r="L18" s="73">
        <f t="shared" ca="1" si="4"/>
        <v>350.01</v>
      </c>
      <c r="M18" s="74">
        <f t="shared" ca="1" si="4"/>
        <v>161.03</v>
      </c>
    </row>
    <row r="19" spans="1:13" ht="15" customHeight="1" x14ac:dyDescent="0.15">
      <c r="A19" s="52"/>
      <c r="B19" s="69">
        <f ca="1">ROUND((SIMS_EF_preparation!L20 - SIMS_EF_preparation!P20) * 44 / 12, 3)</f>
        <v>688.81299999999999</v>
      </c>
      <c r="C19" s="127">
        <f ca="1">ROUND((SIMS_EF_preparation!M20 - SIMS_EF_preparation!P20) * 44 / 12, 3)</f>
        <v>459.86599999999999</v>
      </c>
      <c r="D19" s="54"/>
      <c r="E19" s="54"/>
      <c r="F19" s="54"/>
      <c r="G19" s="54"/>
      <c r="H19" s="54"/>
      <c r="I19" s="54"/>
      <c r="J19" s="54"/>
      <c r="K19" s="54"/>
      <c r="L19" s="54"/>
      <c r="M19" s="56"/>
    </row>
    <row r="20" spans="1:13" ht="15" customHeight="1" x14ac:dyDescent="0.15">
      <c r="A20" s="71" cm="1">
        <f t="array" ref="A20:A29">_xlfn.SEQUENCE(n_iter, 1, 1, 1)</f>
        <v>1</v>
      </c>
      <c r="B20" s="72" cm="1">
        <f t="array" aca="1" ref="B20:B29" ca="1">ROUND((_xlfn.XLOOKUP(B$4, SIMS_EF_preparation!$L$4:$P$4,_xlfn.ANCHORARRAY( SIMS_EF_preparation!$L20):_xlfn.ANCHORARRAY(SIMS_EF_preparation!$P20),0) - _xlfn.XLOOKUP(B$5, SIMS_EF_preparation!$L$4:$P$4,_xlfn.ANCHORARRAY( SIMS_EF_preparation!$L20):_xlfn.ANCHORARRAY(SIMS_EF_preparation!$P20),0)) * 44/12, 3)</f>
        <v>688.81299999999999</v>
      </c>
      <c r="C20" s="72" cm="1">
        <f t="array" aca="1" ref="C20:C29" ca="1">ROUND((_xlfn.XLOOKUP(C$4, SIMS_EF_preparation!$L$4:$P$4,_xlfn.ANCHORARRAY( SIMS_EF_preparation!$L20):_xlfn.ANCHORARRAY(SIMS_EF_preparation!$P20),0) - _xlfn.XLOOKUP(C$5, SIMS_EF_preparation!$L$4:$P$4,_xlfn.ANCHORARRAY( SIMS_EF_preparation!$L20):_xlfn.ANCHORARRAY(SIMS_EF_preparation!$P20),0)) * 44/12, 3)</f>
        <v>459.86599999999999</v>
      </c>
      <c r="D20" s="72" cm="1">
        <f t="array" aca="1" ref="D20:D29" ca="1">ROUND((_xlfn.XLOOKUP(D$4, SIMS_EF_preparation!$L$4:$P$4,_xlfn.ANCHORARRAY( SIMS_EF_preparation!$L20):_xlfn.ANCHORARRAY(SIMS_EF_preparation!$P20),0) - _xlfn.XLOOKUP(D$5, SIMS_EF_preparation!$L$4:$P$4,_xlfn.ANCHORARRAY( SIMS_EF_preparation!$L20):_xlfn.ANCHORARRAY(SIMS_EF_preparation!$P20),0)) * 44/12, 3)</f>
        <v>553.11699999999996</v>
      </c>
      <c r="E20" s="72" cm="1">
        <f t="array" aca="1" ref="E20:E29" ca="1">ROUND((_xlfn.XLOOKUP(E$4, SIMS_EF_preparation!$L$4:$P$4,_xlfn.ANCHORARRAY( SIMS_EF_preparation!$L20):_xlfn.ANCHORARRAY(SIMS_EF_preparation!$P20),0) - _xlfn.XLOOKUP(E$5, SIMS_EF_preparation!$L$4:$P$4,_xlfn.ANCHORARRAY( SIMS_EF_preparation!$L20):_xlfn.ANCHORARRAY(SIMS_EF_preparation!$P20),0)) * 44/12, 3)</f>
        <v>328.80500000000001</v>
      </c>
      <c r="F20" s="72" cm="1">
        <f t="array" aca="1" ref="F20:F29" ca="1">ROUND((_xlfn.XLOOKUP(F$4, SIMS_EF_preparation!$L$4:$P$4,_xlfn.ANCHORARRAY( SIMS_EF_preparation!$L20):_xlfn.ANCHORARRAY(SIMS_EF_preparation!$P20),0) - _xlfn.XLOOKUP(F$5, SIMS_EF_preparation!$L$4:$P$4,_xlfn.ANCHORARRAY( SIMS_EF_preparation!$L20):_xlfn.ANCHORARRAY(SIMS_EF_preparation!$P20),0)) * 44/12, 3)</f>
        <v>135.696</v>
      </c>
      <c r="G20" s="72" cm="1">
        <f t="array" aca="1" ref="G20:G29" ca="1">ROUND((_xlfn.XLOOKUP(G$4, SIMS_EF_preparation!$L$4:$P$4,_xlfn.ANCHORARRAY( SIMS_EF_preparation!$L20):_xlfn.ANCHORARRAY(SIMS_EF_preparation!$P20),0) - _xlfn.XLOOKUP(G$5, SIMS_EF_preparation!$L$4:$P$4,_xlfn.ANCHORARRAY( SIMS_EF_preparation!$L20):_xlfn.ANCHORARRAY(SIMS_EF_preparation!$P20),0)) * 44/12, 3)</f>
        <v>131.06100000000001</v>
      </c>
      <c r="H20" s="72" cm="1">
        <f t="array" aca="1" ref="H20:H29" ca="1">ROUND((_xlfn.XLOOKUP(H$4, SIMS_EF_preparation!$L$4:$P$4,_xlfn.ANCHORARRAY( SIMS_EF_preparation!$L20):_xlfn.ANCHORARRAY(SIMS_EF_preparation!$P20),0) - _xlfn.XLOOKUP(H$5, SIMS_EF_preparation!$L$4:$P$4,_xlfn.ANCHORARRAY( SIMS_EF_preparation!$L20):_xlfn.ANCHORARRAY(SIMS_EF_preparation!$P20),0)) * 44/12, 3)</f>
        <v>688.81299999999999</v>
      </c>
      <c r="I20" s="72" cm="1">
        <f t="array" aca="1" ref="I20:I29" ca="1">ROUND((_xlfn.XLOOKUP(I$4, SIMS_EF_preparation!$L$4:$P$4,_xlfn.ANCHORARRAY( SIMS_EF_preparation!$L20):_xlfn.ANCHORARRAY(SIMS_EF_preparation!$P20),0) - _xlfn.XLOOKUP(I$5, SIMS_EF_preparation!$L$4:$P$4,_xlfn.ANCHORARRAY( SIMS_EF_preparation!$L20):_xlfn.ANCHORARRAY(SIMS_EF_preparation!$P20),0)) * 44/12, 3)</f>
        <v>459.86599999999999</v>
      </c>
      <c r="J20" s="72" cm="1">
        <f t="array" aca="1" ref="J20:J29" ca="1">ROUND((_xlfn.XLOOKUP(J$4, SIMS_EF_preparation!$L$4:$P$4,_xlfn.ANCHORARRAY( SIMS_EF_preparation!$L20):_xlfn.ANCHORARRAY(SIMS_EF_preparation!$P20),0) - _xlfn.XLOOKUP(J$5, SIMS_EF_preparation!$L$4:$P$4,_xlfn.ANCHORARRAY( SIMS_EF_preparation!$L20):_xlfn.ANCHORARRAY(SIMS_EF_preparation!$P20),0)) * 44/12, 3)</f>
        <v>553.11699999999996</v>
      </c>
      <c r="K20" s="72" cm="1">
        <f t="array" aca="1" ref="K20:K29" ca="1">ROUND((_xlfn.XLOOKUP(K$4, SIMS_EF_preparation!$L$4:$P$4,_xlfn.ANCHORARRAY( SIMS_EF_preparation!$L20):_xlfn.ANCHORARRAY(SIMS_EF_preparation!$P20),0) - _xlfn.XLOOKUP(K$5, SIMS_EF_preparation!$L$4:$P$4,_xlfn.ANCHORARRAY( SIMS_EF_preparation!$L20):_xlfn.ANCHORARRAY(SIMS_EF_preparation!$P20),0)) * 44/12, 3)</f>
        <v>328.80500000000001</v>
      </c>
      <c r="L20" s="72" cm="1">
        <f t="array" aca="1" ref="L20:L29" ca="1">ROUND((_xlfn.XLOOKUP(L$4, SIMS_EF_preparation!$L$4:$P$4,_xlfn.ANCHORARRAY( SIMS_EF_preparation!$L20):_xlfn.ANCHORARRAY(SIMS_EF_preparation!$P20),0) - _xlfn.XLOOKUP(L$5, SIMS_EF_preparation!$L$4:$P$4,_xlfn.ANCHORARRAY( SIMS_EF_preparation!$L20):_xlfn.ANCHORARRAY(SIMS_EF_preparation!$P20),0)) * 44/12, 3)</f>
        <v>135.696</v>
      </c>
      <c r="M20" s="72" cm="1">
        <f t="array" aca="1" ref="M20:M29" ca="1">ROUND((_xlfn.XLOOKUP(M$4, SIMS_EF_preparation!$L$4:$P$4,_xlfn.ANCHORARRAY( SIMS_EF_preparation!$L20):_xlfn.ANCHORARRAY(SIMS_EF_preparation!$P20),0) - _xlfn.XLOOKUP(M$5, SIMS_EF_preparation!$L$4:$P$4,_xlfn.ANCHORARRAY( SIMS_EF_preparation!$L20):_xlfn.ANCHORARRAY(SIMS_EF_preparation!$P20),0)) * 44/12, 3)</f>
        <v>131.06100000000001</v>
      </c>
    </row>
    <row r="21" spans="1:13" ht="15" customHeight="1" x14ac:dyDescent="0.15">
      <c r="A21">
        <v>2</v>
      </c>
      <c r="B21">
        <f ca="1"/>
        <v>646.63499999999999</v>
      </c>
      <c r="C21">
        <f ca="1"/>
        <v>626.57100000000003</v>
      </c>
      <c r="D21">
        <f ca="1"/>
        <v>417.72500000000002</v>
      </c>
      <c r="E21">
        <f ca="1"/>
        <v>571.43200000000002</v>
      </c>
      <c r="F21">
        <f ca="1"/>
        <v>228.91</v>
      </c>
      <c r="G21">
        <f ca="1"/>
        <v>55.139000000000003</v>
      </c>
      <c r="H21">
        <f ca="1"/>
        <v>646.63499999999999</v>
      </c>
      <c r="I21">
        <f ca="1"/>
        <v>626.57100000000003</v>
      </c>
      <c r="J21">
        <f ca="1"/>
        <v>417.72500000000002</v>
      </c>
      <c r="K21">
        <f ca="1"/>
        <v>571.43200000000002</v>
      </c>
      <c r="L21">
        <f ca="1"/>
        <v>228.91</v>
      </c>
      <c r="M21">
        <f ca="1"/>
        <v>55.139000000000003</v>
      </c>
    </row>
    <row r="22" spans="1:13" ht="15" customHeight="1" x14ac:dyDescent="0.15">
      <c r="A22">
        <v>3</v>
      </c>
      <c r="B22">
        <f ca="1"/>
        <v>762.69600000000003</v>
      </c>
      <c r="C22">
        <f ca="1"/>
        <v>501.03500000000003</v>
      </c>
      <c r="D22">
        <f ca="1"/>
        <v>421.76900000000001</v>
      </c>
      <c r="E22">
        <f ca="1"/>
        <v>408.84399999999999</v>
      </c>
      <c r="F22">
        <f ca="1"/>
        <v>340.92700000000002</v>
      </c>
      <c r="G22">
        <f ca="1"/>
        <v>92.191000000000003</v>
      </c>
      <c r="H22">
        <f ca="1"/>
        <v>762.69600000000003</v>
      </c>
      <c r="I22">
        <f ca="1"/>
        <v>501.03500000000003</v>
      </c>
      <c r="J22">
        <f ca="1"/>
        <v>421.76900000000001</v>
      </c>
      <c r="K22">
        <f ca="1"/>
        <v>408.84399999999999</v>
      </c>
      <c r="L22">
        <f ca="1"/>
        <v>340.92700000000002</v>
      </c>
      <c r="M22">
        <f ca="1"/>
        <v>92.191000000000003</v>
      </c>
    </row>
    <row r="23" spans="1:13" ht="15" customHeight="1" x14ac:dyDescent="0.15">
      <c r="A23">
        <v>4</v>
      </c>
      <c r="B23">
        <f ca="1"/>
        <v>383.178</v>
      </c>
      <c r="C23">
        <f ca="1"/>
        <v>587.85500000000002</v>
      </c>
      <c r="D23">
        <f ca="1"/>
        <v>324.17</v>
      </c>
      <c r="E23">
        <f ca="1"/>
        <v>465.58199999999999</v>
      </c>
      <c r="F23">
        <f ca="1"/>
        <v>59.008000000000003</v>
      </c>
      <c r="G23">
        <f ca="1"/>
        <v>122.27200000000001</v>
      </c>
      <c r="H23">
        <f ca="1"/>
        <v>383.178</v>
      </c>
      <c r="I23">
        <f ca="1"/>
        <v>587.85500000000002</v>
      </c>
      <c r="J23">
        <f ca="1"/>
        <v>324.17</v>
      </c>
      <c r="K23">
        <f ca="1"/>
        <v>465.58199999999999</v>
      </c>
      <c r="L23">
        <f ca="1"/>
        <v>59.008000000000003</v>
      </c>
      <c r="M23">
        <f ca="1"/>
        <v>122.27200000000001</v>
      </c>
    </row>
    <row r="24" spans="1:13" ht="15" customHeight="1" x14ac:dyDescent="0.15">
      <c r="A24">
        <v>5</v>
      </c>
      <c r="B24">
        <f ca="1"/>
        <v>827.40200000000004</v>
      </c>
      <c r="C24">
        <f ca="1"/>
        <v>419.51799999999997</v>
      </c>
      <c r="D24">
        <f ca="1"/>
        <v>469.964</v>
      </c>
      <c r="E24">
        <f ca="1"/>
        <v>369.17500000000001</v>
      </c>
      <c r="F24">
        <f ca="1"/>
        <v>357.43799999999999</v>
      </c>
      <c r="G24">
        <f ca="1"/>
        <v>50.343000000000004</v>
      </c>
      <c r="H24">
        <f ca="1"/>
        <v>827.40200000000004</v>
      </c>
      <c r="I24">
        <f ca="1"/>
        <v>419.51799999999997</v>
      </c>
      <c r="J24">
        <f ca="1"/>
        <v>469.964</v>
      </c>
      <c r="K24">
        <f ca="1"/>
        <v>369.17500000000001</v>
      </c>
      <c r="L24">
        <f ca="1"/>
        <v>357.43799999999999</v>
      </c>
      <c r="M24">
        <f ca="1"/>
        <v>50.343000000000004</v>
      </c>
    </row>
    <row r="25" spans="1:13" ht="15" customHeight="1" x14ac:dyDescent="0.15">
      <c r="A25">
        <v>6</v>
      </c>
      <c r="B25">
        <f ca="1"/>
        <v>433.47300000000001</v>
      </c>
      <c r="C25">
        <f ca="1"/>
        <v>438.35700000000003</v>
      </c>
      <c r="D25">
        <f ca="1"/>
        <v>264.41800000000001</v>
      </c>
      <c r="E25">
        <f ca="1"/>
        <v>406.358</v>
      </c>
      <c r="F25">
        <f ca="1"/>
        <v>169.05500000000001</v>
      </c>
      <c r="G25">
        <f ca="1"/>
        <v>31.998999999999999</v>
      </c>
      <c r="H25">
        <f ca="1"/>
        <v>433.47300000000001</v>
      </c>
      <c r="I25">
        <f ca="1"/>
        <v>438.35700000000003</v>
      </c>
      <c r="J25">
        <f ca="1"/>
        <v>264.41800000000001</v>
      </c>
      <c r="K25">
        <f ca="1"/>
        <v>406.358</v>
      </c>
      <c r="L25">
        <f ca="1"/>
        <v>169.05500000000001</v>
      </c>
      <c r="M25">
        <f ca="1"/>
        <v>31.998999999999999</v>
      </c>
    </row>
    <row r="26" spans="1:13" ht="15" customHeight="1" x14ac:dyDescent="0.15">
      <c r="A26">
        <v>7</v>
      </c>
      <c r="B26">
        <f ca="1"/>
        <v>759.33399999999995</v>
      </c>
      <c r="C26">
        <f ca="1"/>
        <v>500.74599999999998</v>
      </c>
      <c r="D26">
        <f ca="1"/>
        <v>517.10599999999999</v>
      </c>
      <c r="E26">
        <f ca="1"/>
        <v>356.53199999999998</v>
      </c>
      <c r="F26">
        <f ca="1"/>
        <v>242.227</v>
      </c>
      <c r="G26">
        <f ca="1"/>
        <v>144.214</v>
      </c>
      <c r="H26">
        <f ca="1"/>
        <v>759.33399999999995</v>
      </c>
      <c r="I26">
        <f ca="1"/>
        <v>500.74599999999998</v>
      </c>
      <c r="J26">
        <f ca="1"/>
        <v>517.10599999999999</v>
      </c>
      <c r="K26">
        <f ca="1"/>
        <v>356.53199999999998</v>
      </c>
      <c r="L26">
        <f ca="1"/>
        <v>242.227</v>
      </c>
      <c r="M26">
        <f ca="1"/>
        <v>144.214</v>
      </c>
    </row>
    <row r="27" spans="1:13" ht="15" customHeight="1" x14ac:dyDescent="0.15">
      <c r="A27">
        <v>8</v>
      </c>
      <c r="B27">
        <f ca="1"/>
        <v>305.35300000000001</v>
      </c>
      <c r="C27">
        <f ca="1"/>
        <v>574.29499999999996</v>
      </c>
      <c r="D27">
        <f ca="1"/>
        <v>232.06700000000001</v>
      </c>
      <c r="E27">
        <f ca="1"/>
        <v>461.73200000000003</v>
      </c>
      <c r="F27">
        <f ca="1"/>
        <v>73.286000000000001</v>
      </c>
      <c r="G27">
        <f ca="1"/>
        <v>112.563</v>
      </c>
      <c r="H27">
        <f ca="1"/>
        <v>305.35300000000001</v>
      </c>
      <c r="I27">
        <f ca="1"/>
        <v>574.29499999999996</v>
      </c>
      <c r="J27">
        <f ca="1"/>
        <v>232.06700000000001</v>
      </c>
      <c r="K27">
        <f ca="1"/>
        <v>461.73200000000003</v>
      </c>
      <c r="L27">
        <f ca="1"/>
        <v>73.286000000000001</v>
      </c>
      <c r="M27">
        <f ca="1"/>
        <v>112.563</v>
      </c>
    </row>
    <row r="28" spans="1:13" ht="15" customHeight="1" x14ac:dyDescent="0.15">
      <c r="A28">
        <v>9</v>
      </c>
      <c r="B28">
        <f ca="1"/>
        <v>603.94799999999998</v>
      </c>
      <c r="C28">
        <f ca="1"/>
        <v>612.11699999999996</v>
      </c>
      <c r="D28">
        <f ca="1"/>
        <v>408.87400000000002</v>
      </c>
      <c r="E28">
        <f ca="1"/>
        <v>533.15499999999997</v>
      </c>
      <c r="F28">
        <f ca="1"/>
        <v>195.07400000000001</v>
      </c>
      <c r="G28">
        <f ca="1"/>
        <v>78.962000000000003</v>
      </c>
      <c r="H28">
        <f ca="1"/>
        <v>603.94799999999998</v>
      </c>
      <c r="I28">
        <f ca="1"/>
        <v>612.11699999999996</v>
      </c>
      <c r="J28">
        <f ca="1"/>
        <v>408.87400000000002</v>
      </c>
      <c r="K28">
        <f ca="1"/>
        <v>533.15499999999997</v>
      </c>
      <c r="L28">
        <f ca="1"/>
        <v>195.07400000000001</v>
      </c>
      <c r="M28">
        <f ca="1"/>
        <v>78.962000000000003</v>
      </c>
    </row>
    <row r="29" spans="1:13" ht="15" customHeight="1" x14ac:dyDescent="0.15">
      <c r="A29">
        <v>10</v>
      </c>
      <c r="B29">
        <f ca="1"/>
        <v>652.11699999999996</v>
      </c>
      <c r="C29">
        <f ca="1"/>
        <v>328.56599999999997</v>
      </c>
      <c r="D29">
        <f ca="1"/>
        <v>486.47899999999998</v>
      </c>
      <c r="E29">
        <f ca="1"/>
        <v>153.76900000000001</v>
      </c>
      <c r="F29">
        <f ca="1"/>
        <v>165.63800000000001</v>
      </c>
      <c r="G29">
        <f ca="1"/>
        <v>174.797</v>
      </c>
      <c r="H29">
        <f ca="1"/>
        <v>652.11699999999996</v>
      </c>
      <c r="I29">
        <f ca="1"/>
        <v>328.56599999999997</v>
      </c>
      <c r="J29">
        <f ca="1"/>
        <v>486.47899999999998</v>
      </c>
      <c r="K29">
        <f ca="1"/>
        <v>153.76900000000001</v>
      </c>
      <c r="L29">
        <f ca="1"/>
        <v>165.63800000000001</v>
      </c>
      <c r="M29">
        <f ca="1"/>
        <v>174.797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2:M29"/>
  <sheetViews>
    <sheetView workbookViewId="0">
      <selection activeCell="J46" sqref="J46"/>
    </sheetView>
  </sheetViews>
  <sheetFormatPr baseColWidth="10" defaultColWidth="12.6640625" defaultRowHeight="15" customHeight="1" x14ac:dyDescent="0.15"/>
  <sheetData>
    <row r="2" spans="1:13" ht="15" customHeight="1" x14ac:dyDescent="0.15">
      <c r="A2" s="19" t="s">
        <v>80</v>
      </c>
      <c r="B2" s="77" t="str">
        <f t="array" ref="B2:M11">TRANSPOSE(AD_lu_transitions!C2:L13)</f>
        <v>T1</v>
      </c>
      <c r="C2" s="22" t="str">
        <v>T1</v>
      </c>
      <c r="D2" s="22" t="str">
        <v>T1</v>
      </c>
      <c r="E2" s="22" t="str">
        <v>T1</v>
      </c>
      <c r="F2" s="22" t="str">
        <v>T1</v>
      </c>
      <c r="G2" s="22" t="str">
        <v>T1</v>
      </c>
      <c r="H2" s="22" t="str">
        <v>T2</v>
      </c>
      <c r="I2" s="22" t="str">
        <v>T2</v>
      </c>
      <c r="J2" s="22" t="str">
        <v>T2</v>
      </c>
      <c r="K2" s="22" t="str">
        <v>T2</v>
      </c>
      <c r="L2" s="22" t="str">
        <v>T2</v>
      </c>
      <c r="M2" s="78" t="str">
        <v>T2</v>
      </c>
    </row>
    <row r="3" spans="1:13" ht="15" customHeight="1" x14ac:dyDescent="0.15">
      <c r="A3" s="25" t="s">
        <v>81</v>
      </c>
      <c r="B3" s="79">
        <v>0</v>
      </c>
      <c r="C3" s="34">
        <v>0</v>
      </c>
      <c r="D3" s="34">
        <v>0</v>
      </c>
      <c r="E3" s="34">
        <v>0</v>
      </c>
      <c r="F3" s="34">
        <v>0</v>
      </c>
      <c r="G3" s="34">
        <v>0</v>
      </c>
      <c r="H3" s="34">
        <v>0</v>
      </c>
      <c r="I3" s="34">
        <v>0</v>
      </c>
      <c r="J3" s="34">
        <v>0</v>
      </c>
      <c r="K3" s="34">
        <v>0</v>
      </c>
      <c r="L3" s="34">
        <v>0</v>
      </c>
      <c r="M3" s="80">
        <v>0</v>
      </c>
    </row>
    <row r="4" spans="1:13" ht="15" customHeight="1" x14ac:dyDescent="0.15">
      <c r="A4" s="32" t="s">
        <v>86</v>
      </c>
      <c r="B4" s="79" t="str">
        <v>EV</v>
      </c>
      <c r="C4" s="34" t="str">
        <v>M</v>
      </c>
      <c r="D4" s="34" t="str">
        <v>EV_deg</v>
      </c>
      <c r="E4" s="34" t="str">
        <v>M_deg</v>
      </c>
      <c r="F4" s="34" t="str">
        <v>EV</v>
      </c>
      <c r="G4" s="34" t="str">
        <v>M</v>
      </c>
      <c r="H4" s="34" t="str">
        <v>EV</v>
      </c>
      <c r="I4" s="34" t="str">
        <v>M</v>
      </c>
      <c r="J4" s="34" t="str">
        <v>EV_deg</v>
      </c>
      <c r="K4" s="34" t="str">
        <v>M_deg</v>
      </c>
      <c r="L4" s="34" t="str">
        <v>EV</v>
      </c>
      <c r="M4" s="80" t="str">
        <v>M</v>
      </c>
    </row>
    <row r="5" spans="1:13" ht="15" customHeight="1" x14ac:dyDescent="0.15">
      <c r="A5" s="32" t="s">
        <v>87</v>
      </c>
      <c r="B5" s="79" t="str">
        <v>Crop</v>
      </c>
      <c r="C5" s="34" t="str">
        <v>Crop</v>
      </c>
      <c r="D5" s="34" t="str">
        <v>Crop</v>
      </c>
      <c r="E5" s="34" t="str">
        <v>Crop</v>
      </c>
      <c r="F5" s="34" t="str">
        <v>EV_deg</v>
      </c>
      <c r="G5" s="34" t="str">
        <v>M_deg</v>
      </c>
      <c r="H5" s="34" t="str">
        <v>Crop</v>
      </c>
      <c r="I5" s="34" t="str">
        <v>Crop</v>
      </c>
      <c r="J5" s="34" t="str">
        <v>Crop</v>
      </c>
      <c r="K5" s="34" t="str">
        <v>Crop</v>
      </c>
      <c r="L5" s="34" t="str">
        <v>EV_deg</v>
      </c>
      <c r="M5" s="80" t="str">
        <v>M_deg</v>
      </c>
    </row>
    <row r="6" spans="1:13" ht="15" customHeight="1" x14ac:dyDescent="0.15">
      <c r="A6" s="41" t="s">
        <v>88</v>
      </c>
      <c r="B6" s="81">
        <v>22455</v>
      </c>
      <c r="C6" s="82">
        <v>11327</v>
      </c>
      <c r="D6" s="82">
        <v>55074</v>
      </c>
      <c r="E6" s="82">
        <v>16734</v>
      </c>
      <c r="F6" s="82">
        <v>316681</v>
      </c>
      <c r="G6" s="82">
        <v>22954</v>
      </c>
      <c r="H6" s="82">
        <v>2055</v>
      </c>
      <c r="I6" s="82">
        <v>2107</v>
      </c>
      <c r="J6" s="82">
        <v>6029</v>
      </c>
      <c r="K6" s="82">
        <v>6195</v>
      </c>
      <c r="L6" s="82">
        <v>44939</v>
      </c>
      <c r="M6" s="83">
        <v>5633</v>
      </c>
    </row>
    <row r="7" spans="1:13" ht="15" customHeight="1" x14ac:dyDescent="0.15">
      <c r="A7" s="41" t="s">
        <v>89</v>
      </c>
      <c r="B7" s="79">
        <v>7513</v>
      </c>
      <c r="C7" s="34">
        <v>3429</v>
      </c>
      <c r="D7" s="34">
        <v>16234</v>
      </c>
      <c r="E7" s="34">
        <v>4038</v>
      </c>
      <c r="F7" s="34">
        <v>27632</v>
      </c>
      <c r="G7" s="34">
        <v>2213</v>
      </c>
      <c r="H7" s="34">
        <v>512</v>
      </c>
      <c r="I7" s="34">
        <v>525</v>
      </c>
      <c r="J7" s="34">
        <v>1578</v>
      </c>
      <c r="K7" s="34">
        <v>1467</v>
      </c>
      <c r="L7" s="34">
        <v>3690</v>
      </c>
      <c r="M7" s="80">
        <v>511</v>
      </c>
    </row>
    <row r="8" spans="1:13" ht="15" customHeight="1" x14ac:dyDescent="0.15">
      <c r="A8" s="41" t="s">
        <v>90</v>
      </c>
      <c r="B8" s="79" t="str">
        <v>normal</v>
      </c>
      <c r="C8" s="34" t="str">
        <v>normal</v>
      </c>
      <c r="D8" s="34" t="str">
        <v>normal</v>
      </c>
      <c r="E8" s="34" t="str">
        <v>normal</v>
      </c>
      <c r="F8" s="34" t="str">
        <v>normal</v>
      </c>
      <c r="G8" s="34" t="str">
        <v>normal</v>
      </c>
      <c r="H8" s="34" t="str">
        <v>normal</v>
      </c>
      <c r="I8" s="34" t="str">
        <v>normal</v>
      </c>
      <c r="J8" s="34" t="str">
        <v>normal</v>
      </c>
      <c r="K8" s="34" t="str">
        <v>normal</v>
      </c>
      <c r="L8" s="34" t="str">
        <v>normal</v>
      </c>
      <c r="M8" s="80" t="str">
        <v>normal</v>
      </c>
    </row>
    <row r="9" spans="1:13" ht="15" customHeight="1" x14ac:dyDescent="0.15">
      <c r="A9" s="41" t="s">
        <v>92</v>
      </c>
      <c r="B9" s="79">
        <v>0</v>
      </c>
      <c r="C9" s="34">
        <v>0</v>
      </c>
      <c r="D9" s="34">
        <v>0</v>
      </c>
      <c r="E9" s="34">
        <v>0</v>
      </c>
      <c r="F9" s="34">
        <v>0</v>
      </c>
      <c r="G9" s="34">
        <v>0</v>
      </c>
      <c r="H9" s="34">
        <v>0</v>
      </c>
      <c r="I9" s="34">
        <v>0</v>
      </c>
      <c r="J9" s="34">
        <v>0</v>
      </c>
      <c r="K9" s="34">
        <v>0</v>
      </c>
      <c r="L9" s="34">
        <v>0</v>
      </c>
      <c r="M9" s="80">
        <v>0</v>
      </c>
    </row>
    <row r="10" spans="1:13" ht="15" customHeight="1" x14ac:dyDescent="0.15">
      <c r="A10" s="51" t="s">
        <v>93</v>
      </c>
      <c r="B10" s="79">
        <v>0</v>
      </c>
      <c r="C10" s="34">
        <v>0</v>
      </c>
      <c r="D10" s="34">
        <v>0</v>
      </c>
      <c r="E10" s="34">
        <v>0</v>
      </c>
      <c r="F10" s="34">
        <v>0</v>
      </c>
      <c r="G10" s="34">
        <v>0</v>
      </c>
      <c r="H10" s="34">
        <v>0</v>
      </c>
      <c r="I10" s="34">
        <v>0</v>
      </c>
      <c r="J10" s="34">
        <v>0</v>
      </c>
      <c r="K10" s="34">
        <v>0</v>
      </c>
      <c r="L10" s="34">
        <v>0</v>
      </c>
      <c r="M10" s="80">
        <v>0</v>
      </c>
    </row>
    <row r="11" spans="1:13" ht="15" customHeight="1" x14ac:dyDescent="0.15">
      <c r="A11" s="51" t="s">
        <v>94</v>
      </c>
      <c r="B11" s="79">
        <v>0</v>
      </c>
      <c r="C11" s="34">
        <v>0</v>
      </c>
      <c r="D11" s="34">
        <v>0</v>
      </c>
      <c r="E11" s="34">
        <v>0</v>
      </c>
      <c r="F11" s="34">
        <v>0</v>
      </c>
      <c r="G11" s="34">
        <v>0</v>
      </c>
      <c r="H11" s="34">
        <v>0</v>
      </c>
      <c r="I11" s="34">
        <v>0</v>
      </c>
      <c r="J11" s="34">
        <v>0</v>
      </c>
      <c r="K11" s="34">
        <v>0</v>
      </c>
      <c r="L11" s="34">
        <v>0</v>
      </c>
      <c r="M11" s="80">
        <v>0</v>
      </c>
    </row>
    <row r="12" spans="1:13" ht="15" customHeight="1" x14ac:dyDescent="0.15">
      <c r="A12" s="52" t="s">
        <v>95</v>
      </c>
      <c r="B12" s="55">
        <v>1</v>
      </c>
      <c r="C12" s="54">
        <v>1</v>
      </c>
      <c r="D12" s="54">
        <v>1</v>
      </c>
      <c r="E12" s="54">
        <v>1</v>
      </c>
      <c r="F12" s="54">
        <v>1</v>
      </c>
      <c r="G12" s="54">
        <v>1</v>
      </c>
      <c r="H12" s="54">
        <v>1</v>
      </c>
      <c r="I12" s="54">
        <v>1</v>
      </c>
      <c r="J12" s="54">
        <v>1</v>
      </c>
      <c r="K12" s="54">
        <v>1</v>
      </c>
      <c r="L12" s="54">
        <v>1</v>
      </c>
      <c r="M12" s="56">
        <v>1</v>
      </c>
    </row>
    <row r="13" spans="1:13" ht="15" customHeight="1" x14ac:dyDescent="0.15">
      <c r="A13" s="19"/>
      <c r="B13" s="19"/>
      <c r="C13" s="23"/>
      <c r="D13" s="23"/>
      <c r="E13" s="23"/>
      <c r="F13" s="23"/>
      <c r="G13" s="23"/>
      <c r="H13" s="23"/>
      <c r="I13" s="23"/>
      <c r="J13" s="23"/>
      <c r="K13" s="23"/>
      <c r="L13" s="23"/>
      <c r="M13" s="24"/>
    </row>
    <row r="14" spans="1:13" ht="15" customHeight="1" x14ac:dyDescent="0.15">
      <c r="A14" s="57" t="s">
        <v>96</v>
      </c>
      <c r="B14" s="84">
        <f t="shared" ref="B14:M14" ca="1" si="0">MEDIAN(_xlfn.ANCHORARRAY(B20))</f>
        <v>21640.5</v>
      </c>
      <c r="C14" s="85">
        <f t="shared" ca="1" si="0"/>
        <v>10820</v>
      </c>
      <c r="D14" s="85">
        <f t="shared" ca="1" si="0"/>
        <v>44513</v>
      </c>
      <c r="E14" s="85">
        <f t="shared" ca="1" si="0"/>
        <v>17368</v>
      </c>
      <c r="F14" s="85">
        <f t="shared" ca="1" si="0"/>
        <v>306375.5</v>
      </c>
      <c r="G14" s="85">
        <f t="shared" ca="1" si="0"/>
        <v>22113</v>
      </c>
      <c r="H14" s="85">
        <f t="shared" ca="1" si="0"/>
        <v>1870</v>
      </c>
      <c r="I14" s="85">
        <f t="shared" ca="1" si="0"/>
        <v>2530</v>
      </c>
      <c r="J14" s="85">
        <f t="shared" ca="1" si="0"/>
        <v>5963.5</v>
      </c>
      <c r="K14" s="85">
        <f t="shared" ca="1" si="0"/>
        <v>5845</v>
      </c>
      <c r="L14" s="85">
        <f t="shared" ca="1" si="0"/>
        <v>45583.5</v>
      </c>
      <c r="M14" s="86">
        <f t="shared" ca="1" si="0"/>
        <v>5614.5</v>
      </c>
    </row>
    <row r="15" spans="1:13" ht="15" customHeight="1" x14ac:dyDescent="0.15">
      <c r="A15" s="57" t="s">
        <v>97</v>
      </c>
      <c r="B15" s="87">
        <f t="shared" ref="B15:M15" ca="1" si="1">ROUND(B16/B14,2)</f>
        <v>0.28999999999999998</v>
      </c>
      <c r="C15" s="88">
        <f t="shared" ca="1" si="1"/>
        <v>0.6</v>
      </c>
      <c r="D15" s="88">
        <f t="shared" ca="1" si="1"/>
        <v>0.47</v>
      </c>
      <c r="E15" s="88">
        <f t="shared" ca="1" si="1"/>
        <v>0.27</v>
      </c>
      <c r="F15" s="88">
        <f t="shared" ca="1" si="1"/>
        <v>0.09</v>
      </c>
      <c r="G15" s="88">
        <f t="shared" ca="1" si="1"/>
        <v>0.1</v>
      </c>
      <c r="H15" s="88">
        <f t="shared" ca="1" si="1"/>
        <v>0.35</v>
      </c>
      <c r="I15" s="88">
        <f t="shared" ca="1" si="1"/>
        <v>0.36</v>
      </c>
      <c r="J15" s="88">
        <f t="shared" ca="1" si="1"/>
        <v>0.21</v>
      </c>
      <c r="K15" s="88">
        <f t="shared" ca="1" si="1"/>
        <v>0.34</v>
      </c>
      <c r="L15" s="88">
        <f t="shared" ca="1" si="1"/>
        <v>0.14000000000000001</v>
      </c>
      <c r="M15" s="89">
        <f t="shared" ca="1" si="1"/>
        <v>0.19</v>
      </c>
    </row>
    <row r="16" spans="1:13" ht="15" customHeight="1" x14ac:dyDescent="0.15">
      <c r="A16" s="57" t="s">
        <v>98</v>
      </c>
      <c r="B16" s="90">
        <f t="shared" ref="B16:M16" ca="1" si="2">(B18-B17)/2</f>
        <v>6318.5499999999993</v>
      </c>
      <c r="C16" s="91">
        <f t="shared" ca="1" si="2"/>
        <v>6524.6749999999993</v>
      </c>
      <c r="D16" s="91">
        <f t="shared" ca="1" si="2"/>
        <v>20988.424999999996</v>
      </c>
      <c r="E16" s="91">
        <f t="shared" ca="1" si="2"/>
        <v>4714.4500000000007</v>
      </c>
      <c r="F16" s="91">
        <f t="shared" ca="1" si="2"/>
        <v>26833.324999999983</v>
      </c>
      <c r="G16" s="91">
        <f t="shared" ca="1" si="2"/>
        <v>2240.625</v>
      </c>
      <c r="H16" s="91">
        <f t="shared" ca="1" si="2"/>
        <v>659.35</v>
      </c>
      <c r="I16" s="91">
        <f t="shared" ca="1" si="2"/>
        <v>909.35000000000014</v>
      </c>
      <c r="J16" s="91">
        <f t="shared" ca="1" si="2"/>
        <v>1261.9499999999998</v>
      </c>
      <c r="K16" s="91">
        <f t="shared" ca="1" si="2"/>
        <v>1982.7750000000001</v>
      </c>
      <c r="L16" s="91">
        <f t="shared" ca="1" si="2"/>
        <v>6275.2750000000015</v>
      </c>
      <c r="M16" s="92">
        <f t="shared" ca="1" si="2"/>
        <v>1058.1500000000001</v>
      </c>
    </row>
    <row r="17" spans="1:13" ht="15" customHeight="1" x14ac:dyDescent="0.15">
      <c r="A17" s="57" t="s">
        <v>99</v>
      </c>
      <c r="B17" s="90">
        <f t="shared" ref="B17:M17" ca="1" si="3">ROUND(PERCENTILE(_xlfn.ANCHORARRAY(B20),ci_alpha/2),2)</f>
        <v>13030.95</v>
      </c>
      <c r="C17" s="91">
        <f t="shared" ca="1" si="3"/>
        <v>5265.95</v>
      </c>
      <c r="D17" s="91">
        <f t="shared" ca="1" si="3"/>
        <v>29176.799999999999</v>
      </c>
      <c r="E17" s="91">
        <f t="shared" ca="1" si="3"/>
        <v>12154.8</v>
      </c>
      <c r="F17" s="91">
        <f t="shared" ca="1" si="3"/>
        <v>287474.95</v>
      </c>
      <c r="G17" s="91">
        <f t="shared" ca="1" si="3"/>
        <v>21057.65</v>
      </c>
      <c r="H17" s="91">
        <f t="shared" ca="1" si="3"/>
        <v>1409.95</v>
      </c>
      <c r="I17" s="91">
        <f t="shared" ca="1" si="3"/>
        <v>1579.35</v>
      </c>
      <c r="J17" s="91">
        <f t="shared" ca="1" si="3"/>
        <v>4660.5</v>
      </c>
      <c r="K17" s="91">
        <f t="shared" ca="1" si="3"/>
        <v>3267</v>
      </c>
      <c r="L17" s="91">
        <f t="shared" ca="1" si="3"/>
        <v>39690.75</v>
      </c>
      <c r="M17" s="92">
        <f t="shared" ca="1" si="3"/>
        <v>4280.95</v>
      </c>
    </row>
    <row r="18" spans="1:13" ht="15" customHeight="1" x14ac:dyDescent="0.15">
      <c r="A18" s="57" t="s">
        <v>100</v>
      </c>
      <c r="B18" s="90">
        <f t="shared" ref="B18:M18" ca="1" si="4">ROUND(PERCENTILE(_xlfn.ANCHORARRAY(B20), 1 - ci_alpha / 2), 2)</f>
        <v>25668.05</v>
      </c>
      <c r="C18" s="91">
        <f t="shared" ca="1" si="4"/>
        <v>18315.3</v>
      </c>
      <c r="D18" s="91">
        <f t="shared" ca="1" si="4"/>
        <v>71153.649999999994</v>
      </c>
      <c r="E18" s="91">
        <f t="shared" ca="1" si="4"/>
        <v>21583.7</v>
      </c>
      <c r="F18" s="91">
        <f t="shared" ca="1" si="4"/>
        <v>341141.6</v>
      </c>
      <c r="G18" s="91">
        <f t="shared" ca="1" si="4"/>
        <v>25538.9</v>
      </c>
      <c r="H18" s="91">
        <f t="shared" ca="1" si="4"/>
        <v>2728.65</v>
      </c>
      <c r="I18" s="91">
        <f t="shared" ca="1" si="4"/>
        <v>3398.05</v>
      </c>
      <c r="J18" s="91">
        <f t="shared" ca="1" si="4"/>
        <v>7184.4</v>
      </c>
      <c r="K18" s="91">
        <f t="shared" ca="1" si="4"/>
        <v>7232.55</v>
      </c>
      <c r="L18" s="91">
        <f t="shared" ca="1" si="4"/>
        <v>52241.3</v>
      </c>
      <c r="M18" s="92">
        <f t="shared" ca="1" si="4"/>
        <v>6397.25</v>
      </c>
    </row>
    <row r="19" spans="1:13" ht="15" customHeight="1" x14ac:dyDescent="0.15">
      <c r="A19" s="52"/>
      <c r="B19" s="93"/>
      <c r="C19" s="54"/>
      <c r="D19" s="54"/>
      <c r="E19" s="54"/>
      <c r="F19" s="54"/>
      <c r="G19" s="54"/>
      <c r="H19" s="54"/>
      <c r="I19" s="54"/>
      <c r="J19" s="54"/>
      <c r="K19" s="54"/>
      <c r="L19" s="54"/>
      <c r="M19" s="56"/>
    </row>
    <row r="20" spans="1:13" ht="15" customHeight="1" x14ac:dyDescent="0.15">
      <c r="A20" s="71" cm="1">
        <f t="array" ref="A20:A29">_xlfn.SEQUENCE(n_iter, 1, 1, 1)</f>
        <v>1</v>
      </c>
      <c r="B20" s="94" cm="1">
        <f t="array" aca="1" ref="B20:B29" ca="1">IF(B12=1, ROUND(NORMINV(_xlfn.RANDARRAY(n_iter, 1),B6,B7),0),_xlfn.SEQUENCE(n_iter, 1, B6, 0))</f>
        <v>25618</v>
      </c>
      <c r="C20" s="95" cm="1">
        <f t="array" aca="1" ref="C20:C29" ca="1">IF(C12=1, ROUND(NORMINV(_xlfn.RANDARRAY(n_iter, 1),C6,C7),0),_xlfn.SEQUENCE(n_iter, 1, C6, 0))</f>
        <v>16178</v>
      </c>
      <c r="D20" s="95" cm="1">
        <f t="array" aca="1" ref="D20:D29" ca="1">IF(D12=1, ROUND(NORMINV(_xlfn.RANDARRAY(n_iter, 1),D6,D7),0),_xlfn.SEQUENCE(n_iter, 1, D6, 0))</f>
        <v>56612</v>
      </c>
      <c r="E20" s="95" cm="1">
        <f t="array" aca="1" ref="E20:E29" ca="1">IF(E12=1, ROUND(NORMINV(_xlfn.RANDARRAY(n_iter, 1),E6,E7),0),_xlfn.SEQUENCE(n_iter, 1, E6, 0))</f>
        <v>10263</v>
      </c>
      <c r="F20" s="95" cm="1">
        <f t="array" aca="1" ref="F20:F29" ca="1">IF(F12=1, ROUND(NORMINV(_xlfn.RANDARRAY(n_iter, 1),F6,F7),0),_xlfn.SEQUENCE(n_iter, 1, F6, 0))</f>
        <v>318552</v>
      </c>
      <c r="G20" s="95" cm="1">
        <f t="array" aca="1" ref="G20:G29" ca="1">IF(G12=1, ROUND(NORMINV(_xlfn.RANDARRAY(n_iter, 1),G6,G7),0),_xlfn.SEQUENCE(n_iter, 1, G6, 0))</f>
        <v>21423</v>
      </c>
      <c r="H20" s="95" cm="1">
        <f t="array" aca="1" ref="H20:H29" ca="1">IF(H12=1, ROUND(NORMINV(_xlfn.RANDARRAY(n_iter, 1),H6,H7),0),_xlfn.SEQUENCE(n_iter, 1, H6, 0))</f>
        <v>1849</v>
      </c>
      <c r="I20" s="95" cm="1">
        <f t="array" aca="1" ref="I20:I29" ca="1">IF(I12=1, ROUND(NORMINV(_xlfn.RANDARRAY(n_iter, 1),I6,I7),0),_xlfn.SEQUENCE(n_iter, 1, I6, 0))</f>
        <v>1664</v>
      </c>
      <c r="J20" s="95" cm="1">
        <f t="array" aca="1" ref="J20:J29" ca="1">IF(J12=1, ROUND(NORMINV(_xlfn.RANDARRAY(n_iter, 1),J6,J7),0),_xlfn.SEQUENCE(n_iter, 1, J6, 0))</f>
        <v>6230</v>
      </c>
      <c r="K20" s="95" cm="1">
        <f t="array" aca="1" ref="K20:K29" ca="1">IF(K12=1, ROUND(NORMINV(_xlfn.RANDARRAY(n_iter, 1),K6,K7),0),_xlfn.SEQUENCE(n_iter, 1, K6, 0))</f>
        <v>4379</v>
      </c>
      <c r="L20" s="95" cm="1">
        <f t="array" aca="1" ref="L20:L29" ca="1">IF(L12=1, ROUND(NORMINV(_xlfn.RANDARRAY(n_iter, 1),L6,L7),0),_xlfn.SEQUENCE(n_iter, 1, L6, 0))</f>
        <v>40128</v>
      </c>
      <c r="M20" s="95" cm="1">
        <f t="array" aca="1" ref="M20:M29" ca="1">IF(M12=1, ROUND(NORMINV(_xlfn.RANDARRAY(n_iter, 1),M6,M7),0),_xlfn.SEQUENCE(n_iter, 1, M6, 0))</f>
        <v>5487</v>
      </c>
    </row>
    <row r="21" spans="1:13" ht="15" customHeight="1" x14ac:dyDescent="0.15">
      <c r="A21">
        <v>2</v>
      </c>
      <c r="B21">
        <f ca="1"/>
        <v>21726</v>
      </c>
      <c r="C21">
        <f ca="1"/>
        <v>11697</v>
      </c>
      <c r="D21">
        <f ca="1"/>
        <v>40741</v>
      </c>
      <c r="E21">
        <f ca="1"/>
        <v>18914</v>
      </c>
      <c r="F21">
        <f ca="1"/>
        <v>299981</v>
      </c>
      <c r="G21">
        <f ca="1"/>
        <v>22334</v>
      </c>
      <c r="H21">
        <f ca="1"/>
        <v>1603</v>
      </c>
      <c r="I21">
        <f ca="1"/>
        <v>2747</v>
      </c>
      <c r="J21">
        <f ca="1"/>
        <v>4842</v>
      </c>
      <c r="K21">
        <f ca="1"/>
        <v>5977</v>
      </c>
      <c r="L21">
        <f ca="1"/>
        <v>44126</v>
      </c>
      <c r="M21">
        <f ca="1"/>
        <v>6312</v>
      </c>
    </row>
    <row r="22" spans="1:13" ht="15" customHeight="1" x14ac:dyDescent="0.15">
      <c r="A22">
        <v>3</v>
      </c>
      <c r="B22">
        <f ca="1"/>
        <v>18633</v>
      </c>
      <c r="C22">
        <f ca="1"/>
        <v>7071</v>
      </c>
      <c r="D22">
        <f ca="1"/>
        <v>61703</v>
      </c>
      <c r="E22">
        <f ca="1"/>
        <v>23120</v>
      </c>
      <c r="F22">
        <f ca="1"/>
        <v>347825</v>
      </c>
      <c r="G22">
        <f ca="1"/>
        <v>25144</v>
      </c>
      <c r="H22">
        <f ca="1"/>
        <v>1853</v>
      </c>
      <c r="I22">
        <f ca="1"/>
        <v>1542</v>
      </c>
      <c r="J22">
        <f ca="1"/>
        <v>6786</v>
      </c>
      <c r="K22">
        <f ca="1"/>
        <v>6869</v>
      </c>
      <c r="L22">
        <f ca="1"/>
        <v>45219</v>
      </c>
      <c r="M22">
        <f ca="1"/>
        <v>4738</v>
      </c>
    </row>
    <row r="23" spans="1:13" ht="15" customHeight="1" x14ac:dyDescent="0.15">
      <c r="A23">
        <v>4</v>
      </c>
      <c r="B23">
        <f ca="1"/>
        <v>19072</v>
      </c>
      <c r="C23">
        <f ca="1"/>
        <v>5180</v>
      </c>
      <c r="D23">
        <f ca="1"/>
        <v>39678</v>
      </c>
      <c r="E23">
        <f ca="1"/>
        <v>18432</v>
      </c>
      <c r="F23">
        <f ca="1"/>
        <v>295500</v>
      </c>
      <c r="G23">
        <f ca="1"/>
        <v>23054</v>
      </c>
      <c r="H23">
        <f ca="1"/>
        <v>2694</v>
      </c>
      <c r="I23">
        <f ca="1"/>
        <v>2004</v>
      </c>
      <c r="J23">
        <f ca="1"/>
        <v>5915</v>
      </c>
      <c r="K23">
        <f ca="1"/>
        <v>3597</v>
      </c>
      <c r="L23">
        <f ca="1"/>
        <v>46012</v>
      </c>
      <c r="M23">
        <f ca="1"/>
        <v>3979</v>
      </c>
    </row>
    <row r="24" spans="1:13" ht="15" customHeight="1" x14ac:dyDescent="0.15">
      <c r="A24">
        <v>5</v>
      </c>
      <c r="B24">
        <f ca="1"/>
        <v>18053</v>
      </c>
      <c r="C24">
        <f ca="1"/>
        <v>10295</v>
      </c>
      <c r="D24">
        <f ca="1"/>
        <v>53552</v>
      </c>
      <c r="E24">
        <f ca="1"/>
        <v>14467</v>
      </c>
      <c r="F24">
        <f ca="1"/>
        <v>309936</v>
      </c>
      <c r="G24">
        <f ca="1"/>
        <v>21892</v>
      </c>
      <c r="H24">
        <f ca="1"/>
        <v>1697</v>
      </c>
      <c r="I24">
        <f ca="1"/>
        <v>3160</v>
      </c>
      <c r="J24">
        <f ca="1"/>
        <v>6012</v>
      </c>
      <c r="K24">
        <f ca="1"/>
        <v>6062</v>
      </c>
      <c r="L24">
        <f ca="1"/>
        <v>56402</v>
      </c>
      <c r="M24">
        <f ca="1"/>
        <v>5762</v>
      </c>
    </row>
    <row r="25" spans="1:13" ht="15" customHeight="1" x14ac:dyDescent="0.15">
      <c r="A25">
        <v>6</v>
      </c>
      <c r="B25">
        <f ca="1"/>
        <v>8922</v>
      </c>
      <c r="C25">
        <f ca="1"/>
        <v>9575</v>
      </c>
      <c r="D25">
        <f ca="1"/>
        <v>22848</v>
      </c>
      <c r="E25">
        <f ca="1"/>
        <v>16089</v>
      </c>
      <c r="F25">
        <f ca="1"/>
        <v>332973</v>
      </c>
      <c r="G25">
        <f ca="1"/>
        <v>20816</v>
      </c>
      <c r="H25">
        <f ca="1"/>
        <v>1887</v>
      </c>
      <c r="I25">
        <f ca="1"/>
        <v>2851</v>
      </c>
      <c r="J25">
        <f ca="1"/>
        <v>7136</v>
      </c>
      <c r="K25">
        <f ca="1"/>
        <v>4914</v>
      </c>
      <c r="L25">
        <f ca="1"/>
        <v>45982</v>
      </c>
      <c r="M25">
        <f ca="1"/>
        <v>6467</v>
      </c>
    </row>
    <row r="26" spans="1:13" ht="15" customHeight="1" x14ac:dyDescent="0.15">
      <c r="A26">
        <v>7</v>
      </c>
      <c r="B26">
        <f ca="1"/>
        <v>21555</v>
      </c>
      <c r="C26">
        <f ca="1"/>
        <v>12152</v>
      </c>
      <c r="D26">
        <f ca="1"/>
        <v>78886</v>
      </c>
      <c r="E26">
        <f ca="1"/>
        <v>16775</v>
      </c>
      <c r="F26">
        <f ca="1"/>
        <v>323838</v>
      </c>
      <c r="G26">
        <f ca="1"/>
        <v>21707</v>
      </c>
      <c r="H26">
        <f ca="1"/>
        <v>2152</v>
      </c>
      <c r="I26">
        <f ca="1"/>
        <v>1625</v>
      </c>
      <c r="J26">
        <f ca="1"/>
        <v>4943</v>
      </c>
      <c r="K26">
        <f ca="1"/>
        <v>6644</v>
      </c>
      <c r="L26">
        <f ca="1"/>
        <v>44889</v>
      </c>
      <c r="M26">
        <f ca="1"/>
        <v>5742</v>
      </c>
    </row>
    <row r="27" spans="1:13" ht="15" customHeight="1" x14ac:dyDescent="0.15">
      <c r="A27">
        <v>8</v>
      </c>
      <c r="B27">
        <f ca="1"/>
        <v>22072</v>
      </c>
      <c r="C27">
        <f ca="1"/>
        <v>11345</v>
      </c>
      <c r="D27">
        <f ca="1"/>
        <v>45154</v>
      </c>
      <c r="E27">
        <f ca="1"/>
        <v>17961</v>
      </c>
      <c r="F27">
        <f ca="1"/>
        <v>280909</v>
      </c>
      <c r="G27">
        <f ca="1"/>
        <v>21353</v>
      </c>
      <c r="H27">
        <f ca="1"/>
        <v>1252</v>
      </c>
      <c r="I27">
        <f ca="1"/>
        <v>2313</v>
      </c>
      <c r="J27">
        <f ca="1"/>
        <v>4831</v>
      </c>
      <c r="K27">
        <f ca="1"/>
        <v>2997</v>
      </c>
      <c r="L27">
        <f ca="1"/>
        <v>39333</v>
      </c>
      <c r="M27">
        <f ca="1"/>
        <v>5749</v>
      </c>
    </row>
    <row r="28" spans="1:13" ht="15" customHeight="1" x14ac:dyDescent="0.15">
      <c r="A28">
        <v>9</v>
      </c>
      <c r="B28">
        <f ca="1"/>
        <v>25709</v>
      </c>
      <c r="C28">
        <f ca="1"/>
        <v>5371</v>
      </c>
      <c r="D28">
        <f ca="1"/>
        <v>43872</v>
      </c>
      <c r="E28">
        <f ca="1"/>
        <v>19706</v>
      </c>
      <c r="F28">
        <f ca="1"/>
        <v>299929</v>
      </c>
      <c r="G28">
        <f ca="1"/>
        <v>25862</v>
      </c>
      <c r="H28">
        <f ca="1"/>
        <v>2757</v>
      </c>
      <c r="I28">
        <f ca="1"/>
        <v>3205</v>
      </c>
      <c r="J28">
        <f ca="1"/>
        <v>4521</v>
      </c>
      <c r="K28">
        <f ca="1"/>
        <v>5713</v>
      </c>
      <c r="L28">
        <f ca="1"/>
        <v>45948</v>
      </c>
      <c r="M28">
        <f ca="1"/>
        <v>5235</v>
      </c>
    </row>
    <row r="29" spans="1:13" ht="15" customHeight="1" x14ac:dyDescent="0.15">
      <c r="A29">
        <v>10</v>
      </c>
      <c r="B29">
        <f ca="1"/>
        <v>25350</v>
      </c>
      <c r="C29">
        <f ca="1"/>
        <v>20064</v>
      </c>
      <c r="D29">
        <f ca="1"/>
        <v>36912</v>
      </c>
      <c r="E29">
        <f ca="1"/>
        <v>14548</v>
      </c>
      <c r="F29">
        <f ca="1"/>
        <v>302815</v>
      </c>
      <c r="G29">
        <f ca="1"/>
        <v>24257</v>
      </c>
      <c r="H29">
        <f ca="1"/>
        <v>2044</v>
      </c>
      <c r="I29">
        <f ca="1"/>
        <v>3556</v>
      </c>
      <c r="J29">
        <f ca="1"/>
        <v>7224</v>
      </c>
      <c r="K29">
        <f ca="1"/>
        <v>7530</v>
      </c>
      <c r="L29">
        <f ca="1"/>
        <v>47156</v>
      </c>
      <c r="M29">
        <f ca="1"/>
        <v>4650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2:W29"/>
  <sheetViews>
    <sheetView workbookViewId="0">
      <selection activeCell="Q37" sqref="Q37"/>
    </sheetView>
  </sheetViews>
  <sheetFormatPr baseColWidth="10" defaultColWidth="12.6640625" defaultRowHeight="15" customHeight="1" x14ac:dyDescent="0.15"/>
  <sheetData>
    <row r="2" spans="1:2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3" t="s">
        <v>27</v>
      </c>
      <c r="N2" s="96"/>
      <c r="O2" s="97"/>
      <c r="P2" s="97"/>
      <c r="Q2" s="97"/>
      <c r="R2" s="97"/>
      <c r="S2" s="97"/>
      <c r="T2" s="97"/>
      <c r="U2" s="97"/>
      <c r="V2" s="97"/>
      <c r="W2" s="98"/>
    </row>
    <row r="3" spans="1:23" ht="15" customHeight="1" x14ac:dyDescent="0.15">
      <c r="A3" s="25" t="s">
        <v>81</v>
      </c>
      <c r="B3" s="49" t="s">
        <v>103</v>
      </c>
      <c r="C3" s="1" t="s">
        <v>103</v>
      </c>
      <c r="D3" s="1" t="s">
        <v>103</v>
      </c>
      <c r="E3" s="1" t="s">
        <v>103</v>
      </c>
      <c r="F3" s="1" t="s">
        <v>103</v>
      </c>
      <c r="G3" s="1" t="s">
        <v>103</v>
      </c>
      <c r="H3" s="1" t="s">
        <v>104</v>
      </c>
      <c r="I3" s="1" t="s">
        <v>104</v>
      </c>
      <c r="J3" s="1" t="s">
        <v>104</v>
      </c>
      <c r="K3" s="1" t="s">
        <v>104</v>
      </c>
      <c r="L3" s="1" t="s">
        <v>104</v>
      </c>
      <c r="M3" s="1" t="s">
        <v>104</v>
      </c>
      <c r="N3" s="99" t="s">
        <v>105</v>
      </c>
      <c r="O3" s="1" t="s">
        <v>106</v>
      </c>
      <c r="W3" s="100"/>
    </row>
    <row r="4" spans="1:2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38" t="s">
        <v>44</v>
      </c>
      <c r="N4" s="101"/>
      <c r="W4" s="100"/>
    </row>
    <row r="5" spans="1:2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38" t="s">
        <v>48</v>
      </c>
      <c r="N5" s="99" t="s">
        <v>107</v>
      </c>
      <c r="O5" s="1" t="s">
        <v>108</v>
      </c>
      <c r="Q5" s="1" t="s">
        <v>109</v>
      </c>
      <c r="R5" s="1" t="s">
        <v>110</v>
      </c>
      <c r="T5" s="1" t="s">
        <v>103</v>
      </c>
      <c r="U5" s="1" t="s">
        <v>104</v>
      </c>
      <c r="W5" s="102" t="s">
        <v>111</v>
      </c>
    </row>
    <row r="6" spans="1:23" ht="15" customHeight="1" x14ac:dyDescent="0.15">
      <c r="A6" s="41" t="s">
        <v>88</v>
      </c>
      <c r="B6" s="103">
        <f>ROUND(SIMS_EF!B6 * SIMS_AD!B6,0)</f>
        <v>14183431</v>
      </c>
      <c r="C6" s="18">
        <f>ROUND(SIMS_EF!C6 * SIMS_AD!C6,0)</f>
        <v>5371581</v>
      </c>
      <c r="D6" s="18">
        <f>ROUND(SIMS_EF!D6 * SIMS_AD!D6,0)</f>
        <v>25046554</v>
      </c>
      <c r="E6" s="18">
        <f>ROUND(SIMS_EF!E6 * SIMS_AD!E6,0)</f>
        <v>5713724</v>
      </c>
      <c r="F6" s="18">
        <f>ROUND(SIMS_EF!F6 * SIMS_AD!F6,0)</f>
        <v>56007568</v>
      </c>
      <c r="G6" s="18">
        <f>ROUND(SIMS_EF!G6 * SIMS_AD!G6,0)</f>
        <v>3047947</v>
      </c>
      <c r="H6" s="18">
        <f>ROUND(SIMS_EF!H6 * SIMS_AD!H6,0)</f>
        <v>1298016</v>
      </c>
      <c r="I6" s="18">
        <f>ROUND(SIMS_EF!I6 * SIMS_AD!I6,0)</f>
        <v>999198</v>
      </c>
      <c r="J6" s="18">
        <f>ROUND(SIMS_EF!J6 * SIMS_AD!J6,0)</f>
        <v>2741869</v>
      </c>
      <c r="K6" s="18">
        <f>ROUND(SIMS_EF!K6 * SIMS_AD!K6,0)</f>
        <v>2115246</v>
      </c>
      <c r="L6" s="18">
        <f>ROUND(SIMS_EF!L6 * SIMS_AD!L6,0)</f>
        <v>7947822</v>
      </c>
      <c r="M6" s="18">
        <f>ROUND(SIMS_EF!M6 * SIMS_AD!M6,0)</f>
        <v>747978</v>
      </c>
      <c r="N6" s="104">
        <f>ROUND(SUM(B6:E6)/year_ref,0)</f>
        <v>10063058</v>
      </c>
      <c r="O6" s="18">
        <f>ROUND(SUM(F6:G6)/year_ref,0)</f>
        <v>11811103</v>
      </c>
      <c r="Q6" s="18">
        <f>ROUND(SUM(H6:K6)/year_mon,0)</f>
        <v>3577165</v>
      </c>
      <c r="R6" s="18">
        <f>ROUND(SUM(L6:M6)/year_mon,0)</f>
        <v>4347900</v>
      </c>
      <c r="T6" s="18">
        <f>SUM(N6:O6)</f>
        <v>21874161</v>
      </c>
      <c r="U6" s="18">
        <f>SUM(Q6:R6)</f>
        <v>7925065</v>
      </c>
      <c r="W6" s="105">
        <f>T6-U6</f>
        <v>13949096</v>
      </c>
    </row>
    <row r="7" spans="1:23" ht="15" customHeight="1" x14ac:dyDescent="0.15">
      <c r="A7" s="41" t="s">
        <v>89</v>
      </c>
      <c r="B7" s="47"/>
      <c r="N7" s="101"/>
      <c r="W7" s="100"/>
    </row>
    <row r="8" spans="1:23" ht="15" customHeight="1" x14ac:dyDescent="0.15">
      <c r="A8" s="41" t="s">
        <v>90</v>
      </c>
      <c r="B8" s="49" t="s">
        <v>91</v>
      </c>
      <c r="C8" s="1" t="s">
        <v>91</v>
      </c>
      <c r="D8" s="1" t="s">
        <v>91</v>
      </c>
      <c r="E8" s="1" t="s">
        <v>91</v>
      </c>
      <c r="F8" s="1" t="s">
        <v>91</v>
      </c>
      <c r="G8" s="1" t="s">
        <v>91</v>
      </c>
      <c r="H8" s="1" t="s">
        <v>91</v>
      </c>
      <c r="I8" s="1" t="s">
        <v>91</v>
      </c>
      <c r="J8" s="1" t="s">
        <v>91</v>
      </c>
      <c r="K8" s="1" t="s">
        <v>91</v>
      </c>
      <c r="L8" s="1" t="s">
        <v>91</v>
      </c>
      <c r="M8" s="1" t="s">
        <v>91</v>
      </c>
      <c r="N8" s="99" t="s">
        <v>91</v>
      </c>
      <c r="O8" s="1" t="s">
        <v>91</v>
      </c>
      <c r="P8" s="1"/>
      <c r="Q8" s="1" t="s">
        <v>91</v>
      </c>
      <c r="R8" s="1" t="s">
        <v>91</v>
      </c>
      <c r="S8" s="1"/>
      <c r="T8" s="1" t="s">
        <v>91</v>
      </c>
      <c r="U8" s="1" t="s">
        <v>91</v>
      </c>
      <c r="V8" s="1"/>
      <c r="W8" s="102" t="s">
        <v>91</v>
      </c>
    </row>
    <row r="9" spans="1:23" ht="15" customHeight="1" x14ac:dyDescent="0.15">
      <c r="A9" s="41" t="s">
        <v>92</v>
      </c>
      <c r="B9" s="47"/>
      <c r="N9" s="101"/>
      <c r="W9" s="100"/>
    </row>
    <row r="10" spans="1:23" ht="15" customHeight="1" x14ac:dyDescent="0.15">
      <c r="A10" s="51" t="s">
        <v>93</v>
      </c>
      <c r="B10" s="47"/>
      <c r="N10" s="101"/>
      <c r="W10" s="100"/>
    </row>
    <row r="11" spans="1:23" ht="15" customHeight="1" x14ac:dyDescent="0.15">
      <c r="A11" s="51" t="s">
        <v>94</v>
      </c>
      <c r="B11" s="47"/>
      <c r="N11" s="101"/>
      <c r="W11" s="100"/>
    </row>
    <row r="12" spans="1:23" ht="15" customHeight="1" x14ac:dyDescent="0.15">
      <c r="A12" s="52" t="s">
        <v>95</v>
      </c>
      <c r="B12" s="55"/>
      <c r="C12" s="54"/>
      <c r="D12" s="54"/>
      <c r="E12" s="54"/>
      <c r="F12" s="54"/>
      <c r="G12" s="54"/>
      <c r="H12" s="54"/>
      <c r="I12" s="54"/>
      <c r="J12" s="54"/>
      <c r="K12" s="54"/>
      <c r="L12" s="54"/>
      <c r="M12" s="54"/>
      <c r="N12" s="106"/>
      <c r="O12" s="107"/>
      <c r="P12" s="107"/>
      <c r="Q12" s="107"/>
      <c r="R12" s="107"/>
      <c r="S12" s="107"/>
      <c r="T12" s="107"/>
      <c r="U12" s="107"/>
      <c r="V12" s="107"/>
      <c r="W12" s="108"/>
    </row>
    <row r="13" spans="1:23" ht="15" customHeight="1" x14ac:dyDescent="0.15">
      <c r="A13" s="19"/>
      <c r="B13" s="47"/>
      <c r="M13" s="48"/>
      <c r="N13" s="47"/>
      <c r="W13" s="48"/>
    </row>
    <row r="14" spans="1:23" ht="15" customHeight="1" x14ac:dyDescent="0.15">
      <c r="A14" s="57" t="s">
        <v>96</v>
      </c>
      <c r="B14" s="84">
        <f t="shared" ref="B14:W14" ca="1" si="0">MEDIAN(_xlfn.ANCHORARRAY(B20))</f>
        <v>14574201.5</v>
      </c>
      <c r="C14" s="109">
        <f t="shared" ca="1" si="0"/>
        <v>5202001.5</v>
      </c>
      <c r="D14" s="109">
        <f t="shared" ca="1" si="0"/>
        <v>17947516.5</v>
      </c>
      <c r="E14" s="109">
        <f t="shared" ca="1" si="0"/>
        <v>7415531</v>
      </c>
      <c r="F14" s="109">
        <f t="shared" ca="1" si="0"/>
        <v>57399550.5</v>
      </c>
      <c r="G14" s="109">
        <f t="shared" ca="1" si="0"/>
        <v>2360804.5</v>
      </c>
      <c r="H14" s="109">
        <f t="shared" ca="1" si="0"/>
        <v>1303271</v>
      </c>
      <c r="I14" s="109">
        <f t="shared" ca="1" si="0"/>
        <v>1213908.5</v>
      </c>
      <c r="J14" s="109">
        <f t="shared" ca="1" si="0"/>
        <v>2289339.5</v>
      </c>
      <c r="K14" s="109">
        <f t="shared" ca="1" si="0"/>
        <v>2117391</v>
      </c>
      <c r="L14" s="109">
        <f t="shared" ca="1" si="0"/>
        <v>8387043</v>
      </c>
      <c r="M14" s="110">
        <f t="shared" ca="1" si="0"/>
        <v>461660.5</v>
      </c>
      <c r="N14" s="84">
        <f t="shared" ca="1" si="0"/>
        <v>9646344</v>
      </c>
      <c r="O14" s="109">
        <f t="shared" ca="1" si="0"/>
        <v>11750730.5</v>
      </c>
      <c r="P14" s="109"/>
      <c r="Q14" s="109">
        <f t="shared" ca="1" si="0"/>
        <v>3636542</v>
      </c>
      <c r="R14" s="109">
        <f t="shared" ca="1" si="0"/>
        <v>4500064.5</v>
      </c>
      <c r="S14" s="109"/>
      <c r="T14" s="109">
        <f t="shared" ca="1" si="0"/>
        <v>21361677.5</v>
      </c>
      <c r="U14" s="109">
        <f t="shared" ca="1" si="0"/>
        <v>8423781.5</v>
      </c>
      <c r="V14" s="109"/>
      <c r="W14" s="110">
        <f t="shared" ca="1" si="0"/>
        <v>13555723</v>
      </c>
    </row>
    <row r="15" spans="1:23" ht="15" customHeight="1" x14ac:dyDescent="0.15">
      <c r="A15" s="57" t="s">
        <v>97</v>
      </c>
      <c r="B15" s="87">
        <f t="shared" ref="B15:W15" ca="1" si="1">ROUND(B16/B14,2)</f>
        <v>0.41</v>
      </c>
      <c r="C15" s="75">
        <f t="shared" ca="1" si="1"/>
        <v>0.41</v>
      </c>
      <c r="D15" s="75">
        <f t="shared" ca="1" si="1"/>
        <v>0.79</v>
      </c>
      <c r="E15" s="75">
        <f t="shared" ca="1" si="1"/>
        <v>0.53</v>
      </c>
      <c r="F15" s="75">
        <f t="shared" ca="1" si="1"/>
        <v>0.84</v>
      </c>
      <c r="G15" s="75">
        <f t="shared" ca="1" si="1"/>
        <v>0.61</v>
      </c>
      <c r="H15" s="75">
        <f t="shared" ca="1" si="1"/>
        <v>0.41</v>
      </c>
      <c r="I15" s="75">
        <f t="shared" ca="1" si="1"/>
        <v>0.45</v>
      </c>
      <c r="J15" s="75">
        <f t="shared" ca="1" si="1"/>
        <v>0.44</v>
      </c>
      <c r="K15" s="75">
        <f t="shared" ca="1" si="1"/>
        <v>0.47</v>
      </c>
      <c r="L15" s="75">
        <f t="shared" ca="1" si="1"/>
        <v>0.91</v>
      </c>
      <c r="M15" s="76">
        <f t="shared" ca="1" si="1"/>
        <v>0.62</v>
      </c>
      <c r="N15" s="87">
        <f t="shared" ca="1" si="1"/>
        <v>0.41</v>
      </c>
      <c r="O15" s="75">
        <f t="shared" ca="1" si="1"/>
        <v>0.81</v>
      </c>
      <c r="P15" s="75"/>
      <c r="Q15" s="75">
        <f t="shared" ca="1" si="1"/>
        <v>0.24</v>
      </c>
      <c r="R15" s="75">
        <f t="shared" ca="1" si="1"/>
        <v>0.84</v>
      </c>
      <c r="S15" s="75"/>
      <c r="T15" s="75">
        <f t="shared" ca="1" si="1"/>
        <v>0.54</v>
      </c>
      <c r="U15" s="75">
        <f t="shared" ca="1" si="1"/>
        <v>0.53</v>
      </c>
      <c r="V15" s="75"/>
      <c r="W15" s="76">
        <f t="shared" ca="1" si="1"/>
        <v>0.56999999999999995</v>
      </c>
    </row>
    <row r="16" spans="1:23" ht="15" customHeight="1" x14ac:dyDescent="0.15">
      <c r="A16" s="57" t="s">
        <v>98</v>
      </c>
      <c r="B16" s="84">
        <f t="shared" ref="B16:W16" ca="1" si="2">(B18-B17)/2</f>
        <v>5992173.75</v>
      </c>
      <c r="C16" s="109">
        <f t="shared" ca="1" si="2"/>
        <v>2117818.5499999998</v>
      </c>
      <c r="D16" s="109">
        <f t="shared" ca="1" si="2"/>
        <v>14244244.625000002</v>
      </c>
      <c r="E16" s="109">
        <f t="shared" ca="1" si="2"/>
        <v>3961695.2</v>
      </c>
      <c r="F16" s="109">
        <f t="shared" ca="1" si="2"/>
        <v>48109315.825000003</v>
      </c>
      <c r="G16" s="109">
        <f t="shared" ca="1" si="2"/>
        <v>1439216.4</v>
      </c>
      <c r="H16" s="109">
        <f t="shared" ca="1" si="2"/>
        <v>536393</v>
      </c>
      <c r="I16" s="109">
        <f t="shared" ca="1" si="2"/>
        <v>542503.82499999995</v>
      </c>
      <c r="J16" s="109">
        <f t="shared" ca="1" si="2"/>
        <v>1017547.2</v>
      </c>
      <c r="K16" s="109">
        <f t="shared" ca="1" si="2"/>
        <v>994804.60000000009</v>
      </c>
      <c r="L16" s="109">
        <f t="shared" ca="1" si="2"/>
        <v>7617523.5499999998</v>
      </c>
      <c r="M16" s="110">
        <f t="shared" ca="1" si="2"/>
        <v>288427.47500000003</v>
      </c>
      <c r="N16" s="90">
        <f t="shared" ca="1" si="2"/>
        <v>3930924.9999999995</v>
      </c>
      <c r="O16" s="111">
        <f t="shared" ca="1" si="2"/>
        <v>9535753.5</v>
      </c>
      <c r="P16" s="111"/>
      <c r="Q16" s="111">
        <f t="shared" ca="1" si="2"/>
        <v>861292.35000000009</v>
      </c>
      <c r="R16" s="111">
        <f ca="1">(R18-R17)/2</f>
        <v>3758089.2749999999</v>
      </c>
      <c r="S16" s="111"/>
      <c r="T16" s="111">
        <f t="shared" ca="1" si="2"/>
        <v>11512800.450000001</v>
      </c>
      <c r="U16" s="111">
        <f t="shared" ca="1" si="2"/>
        <v>4472859.45</v>
      </c>
      <c r="V16" s="111"/>
      <c r="W16" s="112">
        <f t="shared" ca="1" si="2"/>
        <v>7728024.4249999998</v>
      </c>
    </row>
    <row r="17" spans="1:23" ht="15" customHeight="1" x14ac:dyDescent="0.15">
      <c r="A17" s="57" t="s">
        <v>99</v>
      </c>
      <c r="B17" s="84">
        <f t="shared" ref="B17:O17" ca="1" si="3">ROUND(PERCENTILE(_xlfn.ANCHORARRAY(B20),ci_alpha/2),2)</f>
        <v>5159983.25</v>
      </c>
      <c r="C17" s="109">
        <f t="shared" ca="1" si="3"/>
        <v>3154254.95</v>
      </c>
      <c r="D17" s="109">
        <f t="shared" ca="1" si="3"/>
        <v>8038220.9500000002</v>
      </c>
      <c r="E17" s="109">
        <f t="shared" ca="1" si="3"/>
        <v>2748903.75</v>
      </c>
      <c r="F17" s="109">
        <f t="shared" ca="1" si="3"/>
        <v>18854288.850000001</v>
      </c>
      <c r="G17" s="109">
        <f t="shared" ca="1" si="3"/>
        <v>862299.1</v>
      </c>
      <c r="H17" s="109">
        <f t="shared" ca="1" si="3"/>
        <v>578349.9</v>
      </c>
      <c r="I17" s="109">
        <f t="shared" ca="1" si="3"/>
        <v>768537.55</v>
      </c>
      <c r="J17" s="109">
        <f t="shared" ca="1" si="3"/>
        <v>1448447.35</v>
      </c>
      <c r="K17" s="109">
        <f t="shared" ca="1" si="3"/>
        <v>1259549.5</v>
      </c>
      <c r="L17" s="109">
        <f t="shared" ca="1" si="3"/>
        <v>2790442.9</v>
      </c>
      <c r="M17" s="110">
        <f t="shared" ca="1" si="3"/>
        <v>244350.1</v>
      </c>
      <c r="N17" s="90">
        <f t="shared" ca="1" si="3"/>
        <v>5132580.95</v>
      </c>
      <c r="O17" s="111">
        <f t="shared" ca="1" si="3"/>
        <v>4297252.7</v>
      </c>
      <c r="P17" s="111"/>
      <c r="Q17" s="111">
        <f ca="1">ROUND(PERCENTILE(_xlfn.ANCHORARRAY(Q20),ci_alpha/2),2)</f>
        <v>2464847.15</v>
      </c>
      <c r="R17" s="111">
        <f ca="1">ROUND(PERCENTILE(_xlfn.ANCHORARRAY(R20),ci_alpha/2),2)</f>
        <v>1674617.8</v>
      </c>
      <c r="S17" s="111"/>
      <c r="T17" s="111">
        <f ca="1">ROUND(PERCENTILE(_xlfn.ANCHORARRAY(T20),ci_alpha/2),2)</f>
        <v>10677366.550000001</v>
      </c>
      <c r="U17" s="111">
        <f ca="1">ROUND(PERCENTILE(_xlfn.ANCHORARRAY(U20),ci_alpha/2),2)</f>
        <v>4155869.35</v>
      </c>
      <c r="V17" s="111"/>
      <c r="W17" s="112">
        <f ca="1">ROUND(PERCENTILE(_xlfn.ANCHORARRAY(W20),ci_alpha/2),2)</f>
        <v>6458554.9000000004</v>
      </c>
    </row>
    <row r="18" spans="1:23" ht="15" customHeight="1" x14ac:dyDescent="0.15">
      <c r="A18" s="57" t="s">
        <v>100</v>
      </c>
      <c r="B18" s="84">
        <f t="shared" ref="B18:O18" ca="1" si="4">ROUND(PERCENTILE(_xlfn.ANCHORARRAY(B20), 1 - ci_alpha / 2), 2)</f>
        <v>17144330.75</v>
      </c>
      <c r="C18" s="109">
        <f t="shared" ca="1" si="4"/>
        <v>7389892.0499999998</v>
      </c>
      <c r="D18" s="109">
        <f t="shared" ca="1" si="4"/>
        <v>36526710.200000003</v>
      </c>
      <c r="E18" s="109">
        <f t="shared" ca="1" si="4"/>
        <v>10672294.15</v>
      </c>
      <c r="F18" s="109">
        <f t="shared" ca="1" si="4"/>
        <v>115072920.5</v>
      </c>
      <c r="G18" s="109">
        <f t="shared" ca="1" si="4"/>
        <v>3740731.9</v>
      </c>
      <c r="H18" s="109">
        <f t="shared" ca="1" si="4"/>
        <v>1651135.9</v>
      </c>
      <c r="I18" s="109">
        <f t="shared" ca="1" si="4"/>
        <v>1853545.2</v>
      </c>
      <c r="J18" s="109">
        <f t="shared" ca="1" si="4"/>
        <v>3483541.75</v>
      </c>
      <c r="K18" s="109">
        <f t="shared" ca="1" si="4"/>
        <v>3249158.7</v>
      </c>
      <c r="L18" s="109">
        <f t="shared" ca="1" si="4"/>
        <v>18025490</v>
      </c>
      <c r="M18" s="110">
        <f t="shared" ca="1" si="4"/>
        <v>821205.05</v>
      </c>
      <c r="N18" s="90">
        <f t="shared" ca="1" si="4"/>
        <v>12994430.949999999</v>
      </c>
      <c r="O18" s="111">
        <f t="shared" ca="1" si="4"/>
        <v>23368759.699999999</v>
      </c>
      <c r="P18" s="111"/>
      <c r="Q18" s="111">
        <f ca="1">ROUND(PERCENTILE(_xlfn.ANCHORARRAY(Q20), 1 - ci_alpha / 2), 2)</f>
        <v>4187431.85</v>
      </c>
      <c r="R18" s="111">
        <f ca="1">ROUND(PERCENTILE(_xlfn.ANCHORARRAY(R20), 1 - ci_alpha / 2), 2)</f>
        <v>9190796.3499999996</v>
      </c>
      <c r="S18" s="111"/>
      <c r="T18" s="111">
        <f ca="1">ROUND(PERCENTILE(_xlfn.ANCHORARRAY(T20), 1 - ci_alpha / 2), 2)</f>
        <v>33702967.450000003</v>
      </c>
      <c r="U18" s="111">
        <f ca="1">ROUND(PERCENTILE(_xlfn.ANCHORARRAY(U20), 1 - ci_alpha / 2), 2)</f>
        <v>13101588.25</v>
      </c>
      <c r="V18" s="111"/>
      <c r="W18" s="112">
        <f ca="1">ROUND(PERCENTILE(_xlfn.ANCHORARRAY(W20), 1 - ci_alpha / 2), 2)</f>
        <v>21914603.75</v>
      </c>
    </row>
    <row r="19" spans="1:23" ht="15" customHeight="1" x14ac:dyDescent="0.15">
      <c r="A19" s="52"/>
      <c r="B19" s="113"/>
      <c r="C19" s="114"/>
      <c r="D19" s="114"/>
      <c r="E19" s="114"/>
      <c r="F19" s="114"/>
      <c r="G19" s="114"/>
      <c r="H19" s="114"/>
      <c r="I19" s="114"/>
      <c r="J19" s="114"/>
      <c r="K19" s="114"/>
      <c r="L19" s="114"/>
      <c r="M19" s="115"/>
      <c r="N19" s="116">
        <f ca="1">ROUND(SUM(B20:E20) / year_ref,0)</f>
        <v>11954662</v>
      </c>
      <c r="O19" s="114"/>
      <c r="P19" s="54"/>
      <c r="Q19" s="114"/>
      <c r="R19" s="114"/>
      <c r="S19" s="54"/>
      <c r="T19" s="114"/>
      <c r="U19" s="114"/>
      <c r="V19" s="54"/>
      <c r="W19" s="115"/>
    </row>
    <row r="20" spans="1:23" ht="15" customHeight="1" x14ac:dyDescent="0.15">
      <c r="A20" s="71" cm="1">
        <f t="array" ref="A20:A29">_xlfn.SEQUENCE(n_iter, 1, 1, 1)</f>
        <v>1</v>
      </c>
      <c r="B20" s="126" cm="1">
        <f t="array" aca="1" ref="B20:B29" ca="1">ROUND(_xlfn.ANCHORARRAY(SIMS_AD!B20) *_xlfn.ANCHORARRAY( SIMS_EF!B20), 0)</f>
        <v>17646011</v>
      </c>
      <c r="C20" s="126" cm="1">
        <f t="array" aca="1" ref="C20:C29" ca="1">ROUND(_xlfn.ANCHORARRAY(SIMS_AD!C20) *_xlfn.ANCHORARRAY( SIMS_EF!C20), 0)</f>
        <v>7439712</v>
      </c>
      <c r="D20" s="126" cm="1">
        <f t="array" aca="1" ref="D20:D29" ca="1">ROUND(_xlfn.ANCHORARRAY(SIMS_AD!D20) *_xlfn.ANCHORARRAY( SIMS_EF!D20), 0)</f>
        <v>31313060</v>
      </c>
      <c r="E20" s="126" cm="1">
        <f t="array" aca="1" ref="E20:E29" ca="1">ROUND(_xlfn.ANCHORARRAY(SIMS_AD!E20) *_xlfn.ANCHORARRAY( SIMS_EF!E20), 0)</f>
        <v>3374526</v>
      </c>
      <c r="F20" s="126" cm="1">
        <f t="array" aca="1" ref="F20:F29" ca="1">ROUND(_xlfn.ANCHORARRAY(SIMS_AD!F20) *_xlfn.ANCHORARRAY( SIMS_EF!F20), 0)</f>
        <v>43226232</v>
      </c>
      <c r="G20" s="126" cm="1">
        <f t="array" aca="1" ref="G20:G29" ca="1">ROUND(_xlfn.ANCHORARRAY(SIMS_AD!G20) *_xlfn.ANCHORARRAY( SIMS_EF!G20), 0)</f>
        <v>2807720</v>
      </c>
      <c r="H20" s="126" cm="1">
        <f t="array" aca="1" ref="H20:H29" ca="1">ROUND(_xlfn.ANCHORARRAY(SIMS_AD!H20) *_xlfn.ANCHORARRAY( SIMS_EF!H20), 0)</f>
        <v>1273615</v>
      </c>
      <c r="I20" s="126" cm="1">
        <f t="array" aca="1" ref="I20:I29" ca="1">ROUND(_xlfn.ANCHORARRAY(SIMS_AD!I20) *_xlfn.ANCHORARRAY( SIMS_EF!I20), 0)</f>
        <v>765217</v>
      </c>
      <c r="J20" s="126" cm="1">
        <f t="array" aca="1" ref="J20:J29" ca="1">ROUND(_xlfn.ANCHORARRAY(SIMS_AD!J20) *_xlfn.ANCHORARRAY( SIMS_EF!J20), 0)</f>
        <v>3445919</v>
      </c>
      <c r="K20" s="126" cm="1">
        <f t="array" aca="1" ref="K20:K29" ca="1">ROUND(_xlfn.ANCHORARRAY(SIMS_AD!K20) *_xlfn.ANCHORARRAY( SIMS_EF!K20), 0)</f>
        <v>1439837</v>
      </c>
      <c r="L20" s="126" cm="1">
        <f t="array" aca="1" ref="L20:L29" ca="1">ROUND(_xlfn.ANCHORARRAY(SIMS_AD!L20) *_xlfn.ANCHORARRAY( SIMS_EF!L20), 0)</f>
        <v>5445209</v>
      </c>
      <c r="M20" s="126" cm="1">
        <f t="array" aca="1" ref="M20:M29" ca="1">ROUND(_xlfn.ANCHORARRAY(SIMS_AD!M20) *_xlfn.ANCHORARRAY( SIMS_EF!M20), 0)</f>
        <v>719132</v>
      </c>
      <c r="N20" s="117" cm="1">
        <f t="array" aca="1" ref="N20:N29" ca="1">_xlfn.BYROW(_xlfn.ANCHORARRAY(B20):_xlfn.ANCHORARRAY(E20),_xlfn.LAMBDA(_xlpm.x, ROUND(SUM(_xlpm.x)/year_ref,0)))</f>
        <v>11954662</v>
      </c>
      <c r="O20" s="117" cm="1">
        <f t="array" aca="1" ref="O20:O29" ca="1">_xlfn.BYROW(_xlfn.ANCHORARRAY(F20):_xlfn.ANCHORARRAY(G20),_xlfn.LAMBDA(_xlpm.x, ROUND(SUM(_xlpm.x)/year_ref,0)))</f>
        <v>9206790</v>
      </c>
      <c r="P20" s="118"/>
      <c r="Q20" s="117" cm="1">
        <f t="array" aca="1" ref="Q20:Q29" ca="1">_xlfn.BYROW(_xlfn.ANCHORARRAY(H20):_xlfn.ANCHORARRAY(K20),_xlfn.LAMBDA(_xlpm.x, ROUND(SUM(_xlpm.x)/year_mon,0)))</f>
        <v>3462294</v>
      </c>
      <c r="R20" s="117" cm="1">
        <f t="array" aca="1" ref="R20:R29" ca="1">_xlfn.BYROW(_xlfn.ANCHORARRAY(L20):_xlfn.ANCHORARRAY(M20),_xlfn.LAMBDA(_xlpm.x, ROUND(SUM(_xlpm.x)/year_mon,0)))</f>
        <v>3082171</v>
      </c>
      <c r="S20" s="118"/>
      <c r="T20" s="117" cm="1">
        <f t="array" aca="1" ref="T20:T29" ca="1">_xlfn.ANCHORARRAY(N20) +_xlfn.ANCHORARRAY( O20)</f>
        <v>21161452</v>
      </c>
      <c r="U20" s="117" cm="1">
        <f t="array" aca="1" ref="U20:U29" ca="1">_xlfn.ANCHORARRAY(Q20) +_xlfn.ANCHORARRAY( R20)</f>
        <v>6544465</v>
      </c>
      <c r="V20" s="118"/>
      <c r="W20" s="117" cm="1">
        <f t="array" aca="1" ref="W20:W29" ca="1">_xlfn.ANCHORARRAY(T20) -_xlfn.ANCHORARRAY( U20)</f>
        <v>14616987</v>
      </c>
    </row>
    <row r="21" spans="1:23" ht="15" customHeight="1" x14ac:dyDescent="0.15">
      <c r="A21">
        <v>2</v>
      </c>
      <c r="B21">
        <f ca="1"/>
        <v>14048792</v>
      </c>
      <c r="C21">
        <f ca="1"/>
        <v>7329001</v>
      </c>
      <c r="D21">
        <f ca="1"/>
        <v>17018534</v>
      </c>
      <c r="E21">
        <f ca="1"/>
        <v>10808065</v>
      </c>
      <c r="F21">
        <f ca="1"/>
        <v>68668651</v>
      </c>
      <c r="G21">
        <f ca="1"/>
        <v>1231474</v>
      </c>
      <c r="H21">
        <f ca="1"/>
        <v>1036556</v>
      </c>
      <c r="I21">
        <f ca="1"/>
        <v>1721191</v>
      </c>
      <c r="J21">
        <f ca="1"/>
        <v>2022624</v>
      </c>
      <c r="K21">
        <f ca="1"/>
        <v>3415449</v>
      </c>
      <c r="L21">
        <f ca="1"/>
        <v>10100883</v>
      </c>
      <c r="M21">
        <f ca="1"/>
        <v>348037</v>
      </c>
      <c r="N21">
        <f ca="1"/>
        <v>9840878</v>
      </c>
      <c r="O21">
        <f ca="1"/>
        <v>13980025</v>
      </c>
      <c r="Q21">
        <f ca="1"/>
        <v>4097910</v>
      </c>
      <c r="R21">
        <f ca="1"/>
        <v>5224460</v>
      </c>
      <c r="T21">
        <f ca="1"/>
        <v>23820903</v>
      </c>
      <c r="U21">
        <f ca="1"/>
        <v>9322370</v>
      </c>
      <c r="W21">
        <f ca="1"/>
        <v>14498533</v>
      </c>
    </row>
    <row r="22" spans="1:23" ht="15" customHeight="1" x14ac:dyDescent="0.15">
      <c r="A22">
        <v>3</v>
      </c>
      <c r="B22">
        <f ca="1"/>
        <v>14211315</v>
      </c>
      <c r="C22">
        <f ca="1"/>
        <v>3542818</v>
      </c>
      <c r="D22">
        <f ca="1"/>
        <v>26024413</v>
      </c>
      <c r="E22">
        <f ca="1"/>
        <v>9452473</v>
      </c>
      <c r="F22">
        <f ca="1"/>
        <v>118582934</v>
      </c>
      <c r="G22">
        <f ca="1"/>
        <v>2318051</v>
      </c>
      <c r="H22">
        <f ca="1"/>
        <v>1413276</v>
      </c>
      <c r="I22">
        <f ca="1"/>
        <v>772596</v>
      </c>
      <c r="J22">
        <f ca="1"/>
        <v>2862124</v>
      </c>
      <c r="K22">
        <f ca="1"/>
        <v>2808349</v>
      </c>
      <c r="L22">
        <f ca="1"/>
        <v>15416378</v>
      </c>
      <c r="M22">
        <f ca="1"/>
        <v>436801</v>
      </c>
      <c r="N22">
        <f ca="1"/>
        <v>10646204</v>
      </c>
      <c r="O22">
        <f ca="1"/>
        <v>24180197</v>
      </c>
      <c r="Q22">
        <f ca="1"/>
        <v>3928173</v>
      </c>
      <c r="R22">
        <f ca="1"/>
        <v>7926590</v>
      </c>
      <c r="T22">
        <f ca="1"/>
        <v>34826401</v>
      </c>
      <c r="U22">
        <f ca="1"/>
        <v>11854763</v>
      </c>
      <c r="W22">
        <f ca="1"/>
        <v>22971638</v>
      </c>
    </row>
    <row r="23" spans="1:23" ht="15" customHeight="1" x14ac:dyDescent="0.15">
      <c r="A23">
        <v>4</v>
      </c>
      <c r="B23">
        <f ca="1"/>
        <v>7307971</v>
      </c>
      <c r="C23">
        <f ca="1"/>
        <v>3045089</v>
      </c>
      <c r="D23">
        <f ca="1"/>
        <v>12862417</v>
      </c>
      <c r="E23">
        <f ca="1"/>
        <v>8581607</v>
      </c>
      <c r="F23">
        <f ca="1"/>
        <v>17436864</v>
      </c>
      <c r="G23">
        <f ca="1"/>
        <v>2818859</v>
      </c>
      <c r="H23">
        <f ca="1"/>
        <v>1032282</v>
      </c>
      <c r="I23">
        <f ca="1"/>
        <v>1178061</v>
      </c>
      <c r="J23">
        <f ca="1"/>
        <v>1917466</v>
      </c>
      <c r="K23">
        <f ca="1"/>
        <v>1674698</v>
      </c>
      <c r="L23">
        <f ca="1"/>
        <v>2715076</v>
      </c>
      <c r="M23">
        <f ca="1"/>
        <v>486520</v>
      </c>
      <c r="N23">
        <f ca="1"/>
        <v>6359417</v>
      </c>
      <c r="O23">
        <f ca="1"/>
        <v>4051145</v>
      </c>
      <c r="Q23">
        <f ca="1"/>
        <v>2901254</v>
      </c>
      <c r="R23">
        <f ca="1"/>
        <v>1600798</v>
      </c>
      <c r="T23">
        <f ca="1"/>
        <v>10410562</v>
      </c>
      <c r="U23">
        <f ca="1"/>
        <v>4502052</v>
      </c>
      <c r="W23">
        <f ca="1"/>
        <v>5908510</v>
      </c>
    </row>
    <row r="24" spans="1:23" ht="15" customHeight="1" x14ac:dyDescent="0.15">
      <c r="A24">
        <v>5</v>
      </c>
      <c r="B24">
        <f ca="1"/>
        <v>14937088</v>
      </c>
      <c r="C24">
        <f ca="1"/>
        <v>4318938</v>
      </c>
      <c r="D24">
        <f ca="1"/>
        <v>25167512</v>
      </c>
      <c r="E24">
        <f ca="1"/>
        <v>5340855</v>
      </c>
      <c r="F24">
        <f ca="1"/>
        <v>110782904</v>
      </c>
      <c r="G24">
        <f ca="1"/>
        <v>1102109</v>
      </c>
      <c r="H24">
        <f ca="1"/>
        <v>1404101</v>
      </c>
      <c r="I24">
        <f ca="1"/>
        <v>1325677</v>
      </c>
      <c r="J24">
        <f ca="1"/>
        <v>2825424</v>
      </c>
      <c r="K24">
        <f ca="1"/>
        <v>2237939</v>
      </c>
      <c r="L24">
        <f ca="1"/>
        <v>20160218</v>
      </c>
      <c r="M24">
        <f ca="1"/>
        <v>290076</v>
      </c>
      <c r="N24">
        <f ca="1"/>
        <v>9952879</v>
      </c>
      <c r="O24">
        <f ca="1"/>
        <v>22377003</v>
      </c>
      <c r="Q24">
        <f ca="1"/>
        <v>3896571</v>
      </c>
      <c r="R24">
        <f ca="1"/>
        <v>10225147</v>
      </c>
      <c r="T24">
        <f ca="1"/>
        <v>32329882</v>
      </c>
      <c r="U24">
        <f ca="1"/>
        <v>14121718</v>
      </c>
      <c r="W24">
        <f ca="1"/>
        <v>18208164</v>
      </c>
    </row>
    <row r="25" spans="1:23" ht="15" customHeight="1" x14ac:dyDescent="0.15">
      <c r="A25">
        <v>6</v>
      </c>
      <c r="B25">
        <f ca="1"/>
        <v>3867446</v>
      </c>
      <c r="C25">
        <f ca="1"/>
        <v>4197268</v>
      </c>
      <c r="D25">
        <f ca="1"/>
        <v>6041422</v>
      </c>
      <c r="E25">
        <f ca="1"/>
        <v>6537894</v>
      </c>
      <c r="F25">
        <f ca="1"/>
        <v>56290751</v>
      </c>
      <c r="G25">
        <f ca="1"/>
        <v>666091</v>
      </c>
      <c r="H25">
        <f ca="1"/>
        <v>817964</v>
      </c>
      <c r="I25">
        <f ca="1"/>
        <v>1249756</v>
      </c>
      <c r="J25">
        <f ca="1"/>
        <v>1886887</v>
      </c>
      <c r="K25">
        <f ca="1"/>
        <v>1996843</v>
      </c>
      <c r="L25">
        <f ca="1"/>
        <v>7773487</v>
      </c>
      <c r="M25">
        <f ca="1"/>
        <v>206938</v>
      </c>
      <c r="N25">
        <f ca="1"/>
        <v>4128806</v>
      </c>
      <c r="O25">
        <f ca="1"/>
        <v>11391368</v>
      </c>
      <c r="Q25">
        <f ca="1"/>
        <v>2975725</v>
      </c>
      <c r="R25">
        <f ca="1"/>
        <v>3990213</v>
      </c>
      <c r="T25">
        <f ca="1"/>
        <v>15520174</v>
      </c>
      <c r="U25">
        <f ca="1"/>
        <v>6965938</v>
      </c>
      <c r="W25">
        <f ca="1"/>
        <v>8554236</v>
      </c>
    </row>
    <row r="26" spans="1:23" ht="15" customHeight="1" x14ac:dyDescent="0.15">
      <c r="A26">
        <v>7</v>
      </c>
      <c r="B26">
        <f ca="1"/>
        <v>16367444</v>
      </c>
      <c r="C26">
        <f ca="1"/>
        <v>6085065</v>
      </c>
      <c r="D26">
        <f ca="1"/>
        <v>40792424</v>
      </c>
      <c r="E26">
        <f ca="1"/>
        <v>5980824</v>
      </c>
      <c r="F26">
        <f ca="1"/>
        <v>78442307</v>
      </c>
      <c r="G26">
        <f ca="1"/>
        <v>3130453</v>
      </c>
      <c r="H26">
        <f ca="1"/>
        <v>1634087</v>
      </c>
      <c r="I26">
        <f ca="1"/>
        <v>813712</v>
      </c>
      <c r="J26">
        <f ca="1"/>
        <v>2556055</v>
      </c>
      <c r="K26">
        <f ca="1"/>
        <v>2368799</v>
      </c>
      <c r="L26">
        <f ca="1"/>
        <v>10873328</v>
      </c>
      <c r="M26">
        <f ca="1"/>
        <v>828077</v>
      </c>
      <c r="N26">
        <f ca="1"/>
        <v>13845151</v>
      </c>
      <c r="O26">
        <f ca="1"/>
        <v>16314552</v>
      </c>
      <c r="Q26">
        <f ca="1"/>
        <v>3686327</v>
      </c>
      <c r="R26">
        <f ca="1"/>
        <v>5850703</v>
      </c>
      <c r="T26">
        <f ca="1"/>
        <v>30159703</v>
      </c>
      <c r="U26">
        <f ca="1"/>
        <v>9537030</v>
      </c>
      <c r="W26">
        <f ca="1"/>
        <v>20622673</v>
      </c>
    </row>
    <row r="27" spans="1:23" ht="15" customHeight="1" x14ac:dyDescent="0.15">
      <c r="A27">
        <v>8</v>
      </c>
      <c r="B27">
        <f ca="1"/>
        <v>6739751</v>
      </c>
      <c r="C27">
        <f ca="1"/>
        <v>6515377</v>
      </c>
      <c r="D27">
        <f ca="1"/>
        <v>10478753</v>
      </c>
      <c r="E27">
        <f ca="1"/>
        <v>8293168</v>
      </c>
      <c r="F27">
        <f ca="1"/>
        <v>20586697</v>
      </c>
      <c r="G27">
        <f ca="1"/>
        <v>2403558</v>
      </c>
      <c r="H27">
        <f ca="1"/>
        <v>382302</v>
      </c>
      <c r="I27">
        <f ca="1"/>
        <v>1328344</v>
      </c>
      <c r="J27">
        <f ca="1"/>
        <v>1121116</v>
      </c>
      <c r="K27">
        <f ca="1"/>
        <v>1383811</v>
      </c>
      <c r="L27">
        <f ca="1"/>
        <v>2882558</v>
      </c>
      <c r="M27">
        <f ca="1"/>
        <v>647125</v>
      </c>
      <c r="N27">
        <f ca="1"/>
        <v>6405410</v>
      </c>
      <c r="O27">
        <f ca="1"/>
        <v>4598051</v>
      </c>
      <c r="Q27">
        <f ca="1"/>
        <v>2107787</v>
      </c>
      <c r="R27">
        <f ca="1"/>
        <v>1764842</v>
      </c>
      <c r="T27">
        <f ca="1"/>
        <v>11003461</v>
      </c>
      <c r="U27">
        <f ca="1"/>
        <v>3872629</v>
      </c>
      <c r="W27">
        <f ca="1"/>
        <v>7130832</v>
      </c>
    </row>
    <row r="28" spans="1:23" ht="15" customHeight="1" x14ac:dyDescent="0.15">
      <c r="A28">
        <v>9</v>
      </c>
      <c r="B28">
        <f ca="1"/>
        <v>15526899</v>
      </c>
      <c r="C28">
        <f ca="1"/>
        <v>3287680</v>
      </c>
      <c r="D28">
        <f ca="1"/>
        <v>17938120</v>
      </c>
      <c r="E28">
        <f ca="1"/>
        <v>10506352</v>
      </c>
      <c r="F28">
        <f ca="1"/>
        <v>58508350</v>
      </c>
      <c r="G28">
        <f ca="1"/>
        <v>2042115</v>
      </c>
      <c r="H28">
        <f ca="1"/>
        <v>1665085</v>
      </c>
      <c r="I28">
        <f ca="1"/>
        <v>1961835</v>
      </c>
      <c r="J28">
        <f ca="1"/>
        <v>1848519</v>
      </c>
      <c r="K28">
        <f ca="1"/>
        <v>3045915</v>
      </c>
      <c r="L28">
        <f ca="1"/>
        <v>8963260</v>
      </c>
      <c r="M28">
        <f ca="1"/>
        <v>413366</v>
      </c>
      <c r="N28">
        <f ca="1"/>
        <v>9451810</v>
      </c>
      <c r="O28">
        <f ca="1"/>
        <v>12110093</v>
      </c>
      <c r="Q28">
        <f ca="1"/>
        <v>4260677</v>
      </c>
      <c r="R28">
        <f ca="1"/>
        <v>4688313</v>
      </c>
      <c r="T28">
        <f ca="1"/>
        <v>21561903</v>
      </c>
      <c r="U28">
        <f ca="1"/>
        <v>8948990</v>
      </c>
      <c r="W28">
        <f ca="1"/>
        <v>12612913</v>
      </c>
    </row>
    <row r="29" spans="1:23" ht="15" customHeight="1" x14ac:dyDescent="0.15">
      <c r="A29">
        <v>10</v>
      </c>
      <c r="B29">
        <f ca="1"/>
        <v>16531166</v>
      </c>
      <c r="C29">
        <f ca="1"/>
        <v>6592348</v>
      </c>
      <c r="D29">
        <f ca="1"/>
        <v>17956913</v>
      </c>
      <c r="E29">
        <f ca="1"/>
        <v>2237031</v>
      </c>
      <c r="F29">
        <f ca="1"/>
        <v>50157671</v>
      </c>
      <c r="G29">
        <f ca="1"/>
        <v>4240051</v>
      </c>
      <c r="H29">
        <f ca="1"/>
        <v>1332927</v>
      </c>
      <c r="I29">
        <f ca="1"/>
        <v>1168381</v>
      </c>
      <c r="J29">
        <f ca="1"/>
        <v>3514324</v>
      </c>
      <c r="K29">
        <f ca="1"/>
        <v>1157881</v>
      </c>
      <c r="L29">
        <f ca="1"/>
        <v>7810826</v>
      </c>
      <c r="M29">
        <f ca="1"/>
        <v>812806</v>
      </c>
      <c r="N29">
        <f ca="1"/>
        <v>8663492</v>
      </c>
      <c r="O29">
        <f ca="1"/>
        <v>10879544</v>
      </c>
      <c r="Q29">
        <f ca="1"/>
        <v>3586757</v>
      </c>
      <c r="R29">
        <f ca="1"/>
        <v>4311816</v>
      </c>
      <c r="T29">
        <f ca="1"/>
        <v>19543036</v>
      </c>
      <c r="U29">
        <f ca="1"/>
        <v>7898573</v>
      </c>
      <c r="W29">
        <f ca="1"/>
        <v>11644463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Instructions</vt:lpstr>
      <vt:lpstr>user_input_details</vt:lpstr>
      <vt:lpstr>user_inputs</vt:lpstr>
      <vt:lpstr>time_periods</vt:lpstr>
      <vt:lpstr>AD_lu_transitions</vt:lpstr>
      <vt:lpstr>c_stocks</vt:lpstr>
      <vt:lpstr>SIMS_io</vt:lpstr>
      <vt:lpstr>SIMS_EF_preparation</vt:lpstr>
      <vt:lpstr>SIMS_EF</vt:lpstr>
      <vt:lpstr>SIMS_AD</vt:lpstr>
      <vt:lpstr>SIMS_E</vt:lpstr>
      <vt:lpstr>ci_alpha</vt:lpstr>
      <vt:lpstr>conf_level</vt:lpstr>
      <vt:lpstr>n_iter</vt:lpstr>
      <vt:lpstr>year_mon</vt:lpstr>
      <vt:lpstr>year_ref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 Gael (NFOM)</cp:lastModifiedBy>
  <dcterms:created xsi:type="dcterms:W3CDTF">2024-12-16T14:11:21Z</dcterms:created>
  <dcterms:modified xsi:type="dcterms:W3CDTF">2025-05-27T22:28:37Z</dcterms:modified>
</cp:coreProperties>
</file>