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edanx-my.sharepoint.com/personal/achan_openingclouds_com/Documents/Desktop/"/>
    </mc:Choice>
  </mc:AlternateContent>
  <xr:revisionPtr revIDLastSave="0" documentId="8_{878376A2-F651-4B1A-9D3F-990E6CD5D778}" xr6:coauthVersionLast="46" xr6:coauthVersionMax="46" xr10:uidLastSave="{00000000-0000-0000-0000-000000000000}"/>
  <bookViews>
    <workbookView xWindow="28815" yWindow="-120" windowWidth="29040" windowHeight="15840" activeTab="5" xr2:uid="{A1BFEFFA-16F4-4471-9340-301544906ED2}"/>
  </bookViews>
  <sheets>
    <sheet name="Template" sheetId="38" r:id="rId1"/>
    <sheet name="ATT" sheetId="5" r:id="rId2"/>
    <sheet name="Chase" sheetId="14" r:id="rId3"/>
    <sheet name="Checks" sheetId="45" r:id="rId4"/>
    <sheet name="Interest" sheetId="43" r:id="rId5"/>
    <sheet name="2021-01-04" sheetId="44" r:id="rId6"/>
    <sheet name="2020-12-04" sheetId="42" r:id="rId7"/>
    <sheet name="2020-11-04" sheetId="41" r:id="rId8"/>
    <sheet name="2020-10-04" sheetId="40" r:id="rId9"/>
    <sheet name="2020-09-04" sheetId="37" r:id="rId10"/>
    <sheet name="2020-08-04" sheetId="36" r:id="rId11"/>
    <sheet name="2020-07-04" sheetId="35" r:id="rId12"/>
    <sheet name="2020-06-04" sheetId="34" r:id="rId13"/>
    <sheet name="2020-05-03" sheetId="33" r:id="rId14"/>
    <sheet name="2020-04-03" sheetId="31" r:id="rId15"/>
    <sheet name="2020-03-05" sheetId="30" r:id="rId16"/>
    <sheet name="2020-02-05" sheetId="24" r:id="rId17"/>
    <sheet name="2020-01-05" sheetId="23" r:id="rId18"/>
    <sheet name="2019-12-05" sheetId="22" r:id="rId19"/>
    <sheet name="2019-11-05" sheetId="20" r:id="rId20"/>
    <sheet name="2019-10-05" sheetId="19" r:id="rId21"/>
    <sheet name="2019-09-05" sheetId="18" r:id="rId22"/>
    <sheet name="2019-08-05" sheetId="17" r:id="rId23"/>
    <sheet name="2019-07-05" sheetId="16" r:id="rId24"/>
    <sheet name="2019-06-05" sheetId="15" r:id="rId25"/>
    <sheet name="2019-05-05" sheetId="13" r:id="rId26"/>
    <sheet name="2019-04-05" sheetId="12" r:id="rId27"/>
    <sheet name="2019-03-05" sheetId="11" r:id="rId28"/>
    <sheet name="2019-02-05" sheetId="10" r:id="rId29"/>
    <sheet name="2018-12-05" sheetId="9" r:id="rId30"/>
    <sheet name="2018-11-14" sheetId="8" r:id="rId31"/>
    <sheet name="2018-10-14" sheetId="7" r:id="rId32"/>
    <sheet name="2018-09-14" sheetId="6" r:id="rId33"/>
    <sheet name="Sheet1 (3)" sheetId="4" r:id="rId34"/>
    <sheet name="Sheet1 (2)" sheetId="3" r:id="rId35"/>
    <sheet name="Sheet1" sheetId="1" r:id="rId36"/>
    <sheet name="Sheet2" sheetId="2" r:id="rId37"/>
  </sheets>
  <definedNames>
    <definedName name="_xlnm._FilterDatabase" localSheetId="32" hidden="1">'2018-09-14'!$A$1:$J$12</definedName>
    <definedName name="_xlnm._FilterDatabase" localSheetId="31" hidden="1">'2018-10-14'!$A$1:$K$12</definedName>
    <definedName name="_xlnm._FilterDatabase" localSheetId="30" hidden="1">'2018-11-14'!$A$1:$K$14</definedName>
    <definedName name="_xlnm._FilterDatabase" localSheetId="29" hidden="1">'2018-12-05'!$A$1:$K$14</definedName>
    <definedName name="_xlnm._FilterDatabase" localSheetId="28" hidden="1">'2019-02-05'!$A$1:$K$14</definedName>
    <definedName name="_xlnm._FilterDatabase" localSheetId="27" hidden="1">'2019-03-05'!$A$1:$K$14</definedName>
    <definedName name="_xlnm._FilterDatabase" localSheetId="26" hidden="1">'2019-04-05'!$A$1:$K$14</definedName>
    <definedName name="_xlnm._FilterDatabase" localSheetId="25" hidden="1">'2019-05-05'!$A$1:$K$15</definedName>
    <definedName name="_xlnm._FilterDatabase" localSheetId="24" hidden="1">'2019-06-05'!$A$1:$K$15</definedName>
    <definedName name="_xlnm._FilterDatabase" localSheetId="23" hidden="1">'2019-07-05'!$A$1:$M$15</definedName>
    <definedName name="_xlnm._FilterDatabase" localSheetId="22" hidden="1">'2019-08-05'!$A$1:$K$14</definedName>
    <definedName name="_xlnm._FilterDatabase" localSheetId="21" hidden="1">'2019-09-05'!$A$1:$K$14</definedName>
    <definedName name="_xlnm._FilterDatabase" localSheetId="20" hidden="1">'2019-10-05'!$A$1:$K$14</definedName>
    <definedName name="_xlnm._FilterDatabase" localSheetId="19" hidden="1">'2019-11-05'!$A$1:$K$14</definedName>
    <definedName name="_xlnm._FilterDatabase" localSheetId="18" hidden="1">'2019-12-05'!$A$1:$K$12</definedName>
    <definedName name="_xlnm._FilterDatabase" localSheetId="17" hidden="1">'2020-01-05'!$A$1:$K$12</definedName>
    <definedName name="_xlnm._FilterDatabase" localSheetId="16" hidden="1">'2020-02-05'!$A$1:$K$13</definedName>
    <definedName name="_xlnm._FilterDatabase" localSheetId="15" hidden="1">'2020-03-05'!$A$1:$K$13</definedName>
    <definedName name="_xlnm._FilterDatabase" localSheetId="14" hidden="1">'2020-04-03'!$A$1:$K$13</definedName>
    <definedName name="_xlnm._FilterDatabase" localSheetId="13" hidden="1">'2020-05-03'!$A$1:$K$14</definedName>
    <definedName name="_xlnm._FilterDatabase" localSheetId="12" hidden="1">'2020-06-04'!$A$1:$J$12</definedName>
    <definedName name="_xlnm._FilterDatabase" localSheetId="11" hidden="1">'2020-07-04'!$A$1:$J$12</definedName>
    <definedName name="_xlnm._FilterDatabase" localSheetId="10" hidden="1">'2020-08-04'!$A$1:$J$13</definedName>
    <definedName name="_xlnm._FilterDatabase" localSheetId="9" hidden="1">'2020-09-04'!$A$1:$K$19</definedName>
    <definedName name="_xlnm._FilterDatabase" localSheetId="8" hidden="1">'2020-10-04'!$A$1:$L$20</definedName>
    <definedName name="_xlnm._FilterDatabase" localSheetId="7" hidden="1">'2020-11-04'!$A$1:$M$21</definedName>
    <definedName name="_xlnm._FilterDatabase" localSheetId="6" hidden="1">'2020-12-04'!$A$1:$L$20</definedName>
    <definedName name="_xlnm._FilterDatabase" localSheetId="5" hidden="1">'2021-01-04'!$A$1:$L$20</definedName>
    <definedName name="_xlnm._FilterDatabase" localSheetId="3" hidden="1">Checks!$A$1:$D$26</definedName>
    <definedName name="_xlnm._FilterDatabase" localSheetId="4" hidden="1">Interest!$A$1:$L$19</definedName>
    <definedName name="_xlnm._FilterDatabase" localSheetId="35" hidden="1">Sheet1!$A$1:$J$12</definedName>
    <definedName name="_xlnm._FilterDatabase" localSheetId="34" hidden="1">'Sheet1 (2)'!$A$1:$J$12</definedName>
    <definedName name="_xlnm._FilterDatabase" localSheetId="33" hidden="1">'Sheet1 (3)'!$A$1:$J$12</definedName>
    <definedName name="_xlnm._FilterDatabase" localSheetId="0" hidden="1">Template!$A$1:$L$20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44" l="1"/>
  <c r="E54" i="44"/>
  <c r="E18" i="45"/>
  <c r="C2" i="38" l="1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20" i="38"/>
  <c r="F20" i="38"/>
  <c r="G20" i="38" s="1"/>
  <c r="I20" i="38"/>
  <c r="J20" i="38"/>
  <c r="K20" i="38"/>
  <c r="L20" i="38"/>
  <c r="M20" i="38"/>
  <c r="B54" i="44"/>
  <c r="B40" i="44"/>
  <c r="E45" i="44"/>
  <c r="C20" i="44"/>
  <c r="C19" i="44"/>
  <c r="C19" i="38"/>
  <c r="C12" i="44"/>
  <c r="C8" i="44"/>
  <c r="F4" i="44"/>
  <c r="F5" i="44"/>
  <c r="C5" i="44"/>
  <c r="D54" i="44" l="1"/>
  <c r="D61" i="44" s="1"/>
  <c r="E52" i="44"/>
  <c r="C52" i="44"/>
  <c r="E51" i="44"/>
  <c r="C51" i="44"/>
  <c r="C50" i="44"/>
  <c r="E49" i="44"/>
  <c r="C49" i="44"/>
  <c r="E48" i="44"/>
  <c r="B48" i="44"/>
  <c r="C48" i="44" s="1"/>
  <c r="E47" i="44"/>
  <c r="B47" i="44"/>
  <c r="E46" i="44"/>
  <c r="B46" i="44"/>
  <c r="C46" i="44" s="1"/>
  <c r="C45" i="44"/>
  <c r="B45" i="44"/>
  <c r="E44" i="44"/>
  <c r="C44" i="44"/>
  <c r="E43" i="44"/>
  <c r="C54" i="44"/>
  <c r="E42" i="44"/>
  <c r="E41" i="44"/>
  <c r="B41" i="44"/>
  <c r="C41" i="44" s="1"/>
  <c r="E40" i="44"/>
  <c r="C40" i="44"/>
  <c r="E39" i="44"/>
  <c r="B39" i="44"/>
  <c r="E38" i="44"/>
  <c r="B38" i="44"/>
  <c r="C38" i="44" s="1"/>
  <c r="E36" i="44"/>
  <c r="B36" i="44"/>
  <c r="E35" i="44"/>
  <c r="B35" i="44"/>
  <c r="E34" i="44"/>
  <c r="B34" i="44"/>
  <c r="E33" i="44"/>
  <c r="B33" i="44"/>
  <c r="E32" i="44"/>
  <c r="B32" i="44"/>
  <c r="C32" i="44" s="1"/>
  <c r="E31" i="44"/>
  <c r="B31" i="44"/>
  <c r="E30" i="44"/>
  <c r="E29" i="44"/>
  <c r="B29" i="44"/>
  <c r="E28" i="44"/>
  <c r="B28" i="44"/>
  <c r="E27" i="44"/>
  <c r="B27" i="44"/>
  <c r="E26" i="44"/>
  <c r="H23" i="44"/>
  <c r="E23" i="44"/>
  <c r="B23" i="44"/>
  <c r="M21" i="44"/>
  <c r="L21" i="44"/>
  <c r="J21" i="44"/>
  <c r="K21" i="44" s="1"/>
  <c r="I21" i="44"/>
  <c r="F21" i="44"/>
  <c r="G21" i="44" s="1"/>
  <c r="M20" i="44"/>
  <c r="L20" i="44"/>
  <c r="J20" i="44"/>
  <c r="K20" i="44" s="1"/>
  <c r="I20" i="44"/>
  <c r="F20" i="44"/>
  <c r="G20" i="44" s="1"/>
  <c r="M19" i="44"/>
  <c r="L19" i="44"/>
  <c r="J19" i="44"/>
  <c r="K19" i="44" s="1"/>
  <c r="I19" i="44"/>
  <c r="F19" i="44"/>
  <c r="G19" i="44" s="1"/>
  <c r="M18" i="44"/>
  <c r="L18" i="44"/>
  <c r="J18" i="44"/>
  <c r="K18" i="44" s="1"/>
  <c r="I18" i="44"/>
  <c r="F18" i="44"/>
  <c r="G18" i="44" s="1"/>
  <c r="M17" i="44"/>
  <c r="L17" i="44"/>
  <c r="J17" i="44"/>
  <c r="K17" i="44" s="1"/>
  <c r="I17" i="44"/>
  <c r="F17" i="44"/>
  <c r="G17" i="44" s="1"/>
  <c r="C17" i="44"/>
  <c r="M16" i="44"/>
  <c r="L16" i="44"/>
  <c r="K16" i="44"/>
  <c r="J16" i="44"/>
  <c r="I16" i="44"/>
  <c r="F16" i="44"/>
  <c r="G16" i="44" s="1"/>
  <c r="M15" i="44"/>
  <c r="L15" i="44"/>
  <c r="K15" i="44"/>
  <c r="J15" i="44"/>
  <c r="I15" i="44"/>
  <c r="F15" i="44"/>
  <c r="G15" i="44" s="1"/>
  <c r="M14" i="44"/>
  <c r="L14" i="44"/>
  <c r="J14" i="44"/>
  <c r="K14" i="44" s="1"/>
  <c r="I14" i="44"/>
  <c r="F14" i="44"/>
  <c r="G14" i="44" s="1"/>
  <c r="M13" i="44"/>
  <c r="L13" i="44"/>
  <c r="J13" i="44"/>
  <c r="K13" i="44" s="1"/>
  <c r="I13" i="44"/>
  <c r="F13" i="44"/>
  <c r="G13" i="44" s="1"/>
  <c r="M12" i="44"/>
  <c r="L12" i="44"/>
  <c r="K12" i="44"/>
  <c r="J12" i="44"/>
  <c r="I12" i="44"/>
  <c r="F12" i="44"/>
  <c r="G12" i="44" s="1"/>
  <c r="M11" i="44"/>
  <c r="L11" i="44"/>
  <c r="J11" i="44"/>
  <c r="K11" i="44" s="1"/>
  <c r="I11" i="44"/>
  <c r="F11" i="44"/>
  <c r="G11" i="44" s="1"/>
  <c r="M10" i="44"/>
  <c r="L10" i="44"/>
  <c r="K10" i="44"/>
  <c r="J10" i="44"/>
  <c r="I10" i="44"/>
  <c r="F10" i="44"/>
  <c r="G10" i="44" s="1"/>
  <c r="M9" i="44"/>
  <c r="L9" i="44"/>
  <c r="J9" i="44"/>
  <c r="K9" i="44" s="1"/>
  <c r="I9" i="44"/>
  <c r="G9" i="44"/>
  <c r="F9" i="44"/>
  <c r="M8" i="44"/>
  <c r="L8" i="44"/>
  <c r="J8" i="44"/>
  <c r="K8" i="44" s="1"/>
  <c r="I8" i="44"/>
  <c r="F8" i="44"/>
  <c r="G8" i="44" s="1"/>
  <c r="M7" i="44"/>
  <c r="L7" i="44"/>
  <c r="J7" i="44"/>
  <c r="K7" i="44" s="1"/>
  <c r="I7" i="44"/>
  <c r="F7" i="44"/>
  <c r="G7" i="44" s="1"/>
  <c r="M6" i="44"/>
  <c r="L6" i="44"/>
  <c r="J6" i="44"/>
  <c r="K6" i="44" s="1"/>
  <c r="I6" i="44"/>
  <c r="F6" i="44"/>
  <c r="G6" i="44" s="1"/>
  <c r="M5" i="44"/>
  <c r="L5" i="44"/>
  <c r="K5" i="44"/>
  <c r="J5" i="44"/>
  <c r="I5" i="44"/>
  <c r="G5" i="44"/>
  <c r="M4" i="44"/>
  <c r="L4" i="44"/>
  <c r="K4" i="44"/>
  <c r="J4" i="44"/>
  <c r="I4" i="44"/>
  <c r="G4" i="44"/>
  <c r="M3" i="44"/>
  <c r="L3" i="44"/>
  <c r="J3" i="44"/>
  <c r="K3" i="44" s="1"/>
  <c r="I3" i="44"/>
  <c r="F3" i="44"/>
  <c r="G3" i="44" s="1"/>
  <c r="C3" i="44"/>
  <c r="B30" i="44" s="1"/>
  <c r="M2" i="44"/>
  <c r="L2" i="44"/>
  <c r="J2" i="44"/>
  <c r="I2" i="44"/>
  <c r="F2" i="44"/>
  <c r="G2" i="44" s="1"/>
  <c r="F31" i="5"/>
  <c r="F30" i="5"/>
  <c r="D47" i="5"/>
  <c r="I23" i="44" l="1"/>
  <c r="M24" i="44"/>
  <c r="M23" i="44"/>
  <c r="L23" i="44"/>
  <c r="J23" i="44"/>
  <c r="E61" i="44"/>
  <c r="E56" i="44"/>
  <c r="G23" i="44"/>
  <c r="K2" i="44"/>
  <c r="K23" i="44" s="1"/>
  <c r="D56" i="44"/>
  <c r="C23" i="44"/>
  <c r="C61" i="44" l="1"/>
  <c r="C56" i="44"/>
  <c r="B61" i="44"/>
  <c r="B56" i="44"/>
  <c r="I24" i="43" l="1"/>
  <c r="E24" i="43"/>
  <c r="G24" i="43"/>
  <c r="C23" i="43"/>
  <c r="K23" i="43" s="1"/>
  <c r="E23" i="43"/>
  <c r="G23" i="43"/>
  <c r="I23" i="43"/>
  <c r="D22" i="43"/>
  <c r="F22" i="43"/>
  <c r="H22" i="43"/>
  <c r="B22" i="43"/>
  <c r="K22" i="43" s="1"/>
  <c r="N23" i="42"/>
  <c r="C24" i="43" l="1"/>
  <c r="K24" i="43"/>
  <c r="E23" i="42"/>
  <c r="C16" i="42"/>
  <c r="C12" i="42"/>
  <c r="C45" i="42"/>
  <c r="C17" i="42"/>
  <c r="C5" i="42"/>
  <c r="C3" i="42"/>
  <c r="B38" i="38" l="1"/>
  <c r="B39" i="38"/>
  <c r="C39" i="38" s="1"/>
  <c r="B28" i="41"/>
  <c r="M9" i="42"/>
  <c r="M10" i="42"/>
  <c r="M11" i="42"/>
  <c r="M8" i="42"/>
  <c r="G14" i="42"/>
  <c r="G12" i="42"/>
  <c r="G13" i="42"/>
  <c r="F13" i="42"/>
  <c r="F14" i="42"/>
  <c r="F12" i="42"/>
  <c r="B45" i="38"/>
  <c r="C45" i="38" s="1"/>
  <c r="D55" i="42"/>
  <c r="D62" i="42" s="1"/>
  <c r="C53" i="42"/>
  <c r="E51" i="42"/>
  <c r="C51" i="42"/>
  <c r="C50" i="42"/>
  <c r="E49" i="42"/>
  <c r="E48" i="42"/>
  <c r="B48" i="42"/>
  <c r="E47" i="42"/>
  <c r="B47" i="42"/>
  <c r="E46" i="42"/>
  <c r="C46" i="42"/>
  <c r="B46" i="42"/>
  <c r="E44" i="42"/>
  <c r="C44" i="42"/>
  <c r="E43" i="42"/>
  <c r="E55" i="42" s="1"/>
  <c r="E42" i="42"/>
  <c r="E41" i="42"/>
  <c r="C41" i="42"/>
  <c r="B41" i="42"/>
  <c r="E40" i="42"/>
  <c r="E39" i="42"/>
  <c r="E38" i="42"/>
  <c r="B38" i="42"/>
  <c r="C38" i="42" s="1"/>
  <c r="E36" i="42"/>
  <c r="B36" i="42"/>
  <c r="E35" i="42"/>
  <c r="B35" i="42"/>
  <c r="E34" i="42"/>
  <c r="B34" i="42"/>
  <c r="E33" i="42"/>
  <c r="B33" i="42"/>
  <c r="C33" i="42" s="1"/>
  <c r="E32" i="42"/>
  <c r="B32" i="42"/>
  <c r="E31" i="42"/>
  <c r="B31" i="42"/>
  <c r="E30" i="42"/>
  <c r="B30" i="42"/>
  <c r="E29" i="42"/>
  <c r="B29" i="42"/>
  <c r="E28" i="42"/>
  <c r="B28" i="42"/>
  <c r="E27" i="42"/>
  <c r="B27" i="42"/>
  <c r="H23" i="42"/>
  <c r="C23" i="42"/>
  <c r="B23" i="42"/>
  <c r="M24" i="42" s="1"/>
  <c r="M21" i="42"/>
  <c r="L21" i="42"/>
  <c r="J21" i="42"/>
  <c r="K21" i="42" s="1"/>
  <c r="I21" i="42"/>
  <c r="F21" i="42"/>
  <c r="G21" i="42" s="1"/>
  <c r="M20" i="42"/>
  <c r="L20" i="42"/>
  <c r="J20" i="42"/>
  <c r="K20" i="42" s="1"/>
  <c r="I20" i="42"/>
  <c r="F20" i="42"/>
  <c r="G20" i="42" s="1"/>
  <c r="M19" i="42"/>
  <c r="L19" i="42"/>
  <c r="K19" i="42"/>
  <c r="J19" i="42"/>
  <c r="I19" i="42"/>
  <c r="F19" i="42"/>
  <c r="G19" i="42" s="1"/>
  <c r="M18" i="42"/>
  <c r="L18" i="42"/>
  <c r="J18" i="42"/>
  <c r="K18" i="42" s="1"/>
  <c r="I18" i="42"/>
  <c r="F18" i="42"/>
  <c r="G18" i="42" s="1"/>
  <c r="M17" i="42"/>
  <c r="L17" i="42"/>
  <c r="J17" i="42"/>
  <c r="K17" i="42" s="1"/>
  <c r="I17" i="42"/>
  <c r="F17" i="42"/>
  <c r="G17" i="42" s="1"/>
  <c r="M16" i="42"/>
  <c r="L16" i="42"/>
  <c r="J16" i="42"/>
  <c r="K16" i="42" s="1"/>
  <c r="I16" i="42"/>
  <c r="F16" i="42"/>
  <c r="G16" i="42" s="1"/>
  <c r="M15" i="42"/>
  <c r="L15" i="42"/>
  <c r="J15" i="42"/>
  <c r="K15" i="42" s="1"/>
  <c r="I15" i="42"/>
  <c r="F15" i="42"/>
  <c r="G15" i="42" s="1"/>
  <c r="M14" i="42"/>
  <c r="L14" i="42"/>
  <c r="J14" i="42"/>
  <c r="K14" i="42" s="1"/>
  <c r="I14" i="42"/>
  <c r="M13" i="42"/>
  <c r="L13" i="42"/>
  <c r="J13" i="42"/>
  <c r="K13" i="42" s="1"/>
  <c r="I13" i="42"/>
  <c r="M12" i="42"/>
  <c r="L12" i="42"/>
  <c r="J12" i="42"/>
  <c r="K12" i="42" s="1"/>
  <c r="I12" i="42"/>
  <c r="L11" i="42"/>
  <c r="J11" i="42"/>
  <c r="K11" i="42" s="1"/>
  <c r="I11" i="42"/>
  <c r="F11" i="42"/>
  <c r="G11" i="42" s="1"/>
  <c r="L10" i="42"/>
  <c r="J10" i="42"/>
  <c r="K10" i="42" s="1"/>
  <c r="I10" i="42"/>
  <c r="F10" i="42"/>
  <c r="G10" i="42" s="1"/>
  <c r="L9" i="42"/>
  <c r="J9" i="42"/>
  <c r="K9" i="42" s="1"/>
  <c r="I9" i="42"/>
  <c r="F9" i="42"/>
  <c r="G9" i="42" s="1"/>
  <c r="L8" i="42"/>
  <c r="J8" i="42"/>
  <c r="K8" i="42" s="1"/>
  <c r="I8" i="42"/>
  <c r="F8" i="42"/>
  <c r="G8" i="42" s="1"/>
  <c r="M7" i="42"/>
  <c r="L7" i="42"/>
  <c r="J7" i="42"/>
  <c r="K7" i="42" s="1"/>
  <c r="I7" i="42"/>
  <c r="F7" i="42"/>
  <c r="G7" i="42" s="1"/>
  <c r="M6" i="42"/>
  <c r="L6" i="42"/>
  <c r="J6" i="42"/>
  <c r="K6" i="42" s="1"/>
  <c r="I6" i="42"/>
  <c r="F6" i="42"/>
  <c r="G6" i="42" s="1"/>
  <c r="M5" i="42"/>
  <c r="L5" i="42"/>
  <c r="J5" i="42"/>
  <c r="K5" i="42" s="1"/>
  <c r="I5" i="42"/>
  <c r="F5" i="42"/>
  <c r="G5" i="42" s="1"/>
  <c r="M4" i="42"/>
  <c r="L4" i="42"/>
  <c r="J4" i="42"/>
  <c r="K4" i="42" s="1"/>
  <c r="I4" i="42"/>
  <c r="F4" i="42"/>
  <c r="G4" i="42" s="1"/>
  <c r="M3" i="42"/>
  <c r="L3" i="42"/>
  <c r="J3" i="42"/>
  <c r="K3" i="42" s="1"/>
  <c r="I3" i="42"/>
  <c r="F3" i="42"/>
  <c r="G3" i="42" s="1"/>
  <c r="M2" i="42"/>
  <c r="L2" i="42"/>
  <c r="J2" i="42"/>
  <c r="K2" i="42" s="1"/>
  <c r="I2" i="42"/>
  <c r="F2" i="42"/>
  <c r="G2" i="42" s="1"/>
  <c r="E49" i="38"/>
  <c r="E50" i="38"/>
  <c r="E51" i="38"/>
  <c r="E52" i="38"/>
  <c r="E37" i="38"/>
  <c r="E38" i="38"/>
  <c r="E39" i="38"/>
  <c r="E40" i="38"/>
  <c r="E41" i="38"/>
  <c r="E42" i="38"/>
  <c r="E43" i="38"/>
  <c r="E44" i="38"/>
  <c r="E45" i="38"/>
  <c r="C42" i="38"/>
  <c r="C43" i="38"/>
  <c r="C44" i="38"/>
  <c r="C49" i="38"/>
  <c r="C50" i="38"/>
  <c r="C51" i="38"/>
  <c r="C52" i="38"/>
  <c r="C38" i="38"/>
  <c r="C37" i="38"/>
  <c r="D54" i="38"/>
  <c r="D61" i="38" s="1"/>
  <c r="E48" i="38"/>
  <c r="B48" i="38"/>
  <c r="C48" i="38" s="1"/>
  <c r="E47" i="38"/>
  <c r="B47" i="38"/>
  <c r="C47" i="38" s="1"/>
  <c r="E46" i="38"/>
  <c r="B46" i="38"/>
  <c r="C46" i="38" s="1"/>
  <c r="B41" i="38"/>
  <c r="C41" i="38" s="1"/>
  <c r="B40" i="38"/>
  <c r="C40" i="38" s="1"/>
  <c r="E36" i="38"/>
  <c r="B36" i="38"/>
  <c r="C36" i="38" s="1"/>
  <c r="E35" i="38"/>
  <c r="B35" i="38"/>
  <c r="C35" i="38" s="1"/>
  <c r="E34" i="38"/>
  <c r="B34" i="38"/>
  <c r="C34" i="38" s="1"/>
  <c r="E33" i="38"/>
  <c r="B33" i="38"/>
  <c r="C33" i="38" s="1"/>
  <c r="E32" i="38"/>
  <c r="E31" i="38"/>
  <c r="B31" i="38"/>
  <c r="C31" i="38" s="1"/>
  <c r="E30" i="38"/>
  <c r="E29" i="38"/>
  <c r="B29" i="38"/>
  <c r="C29" i="38" s="1"/>
  <c r="E28" i="38"/>
  <c r="B28" i="38"/>
  <c r="C28" i="38" s="1"/>
  <c r="E27" i="38"/>
  <c r="B27" i="38"/>
  <c r="C27" i="38" s="1"/>
  <c r="E26" i="38"/>
  <c r="H23" i="38"/>
  <c r="E23" i="38"/>
  <c r="B23" i="38"/>
  <c r="M21" i="38"/>
  <c r="L21" i="38"/>
  <c r="J21" i="38"/>
  <c r="K21" i="38" s="1"/>
  <c r="I21" i="38"/>
  <c r="F21" i="38"/>
  <c r="G21" i="38" s="1"/>
  <c r="M19" i="38"/>
  <c r="L19" i="38"/>
  <c r="J19" i="38"/>
  <c r="K19" i="38" s="1"/>
  <c r="I19" i="38"/>
  <c r="F19" i="38"/>
  <c r="G19" i="38" s="1"/>
  <c r="M18" i="38"/>
  <c r="L18" i="38"/>
  <c r="J18" i="38"/>
  <c r="K18" i="38" s="1"/>
  <c r="I18" i="38"/>
  <c r="F18" i="38"/>
  <c r="G18" i="38" s="1"/>
  <c r="M17" i="38"/>
  <c r="L17" i="38"/>
  <c r="K17" i="38"/>
  <c r="J17" i="38"/>
  <c r="I17" i="38"/>
  <c r="F17" i="38"/>
  <c r="G17" i="38" s="1"/>
  <c r="M16" i="38"/>
  <c r="L16" i="38"/>
  <c r="J16" i="38"/>
  <c r="K16" i="38" s="1"/>
  <c r="I16" i="38"/>
  <c r="F16" i="38"/>
  <c r="G16" i="38" s="1"/>
  <c r="M15" i="38"/>
  <c r="L15" i="38"/>
  <c r="J15" i="38"/>
  <c r="K15" i="38" s="1"/>
  <c r="I15" i="38"/>
  <c r="F15" i="38"/>
  <c r="G15" i="38" s="1"/>
  <c r="M14" i="38"/>
  <c r="L14" i="38"/>
  <c r="K14" i="38"/>
  <c r="J14" i="38"/>
  <c r="I14" i="38"/>
  <c r="F14" i="38"/>
  <c r="G14" i="38" s="1"/>
  <c r="M13" i="38"/>
  <c r="L13" i="38"/>
  <c r="J13" i="38"/>
  <c r="K13" i="38" s="1"/>
  <c r="I13" i="38"/>
  <c r="F13" i="38"/>
  <c r="G13" i="38" s="1"/>
  <c r="M12" i="38"/>
  <c r="L12" i="38"/>
  <c r="J12" i="38"/>
  <c r="K12" i="38" s="1"/>
  <c r="I12" i="38"/>
  <c r="F12" i="38"/>
  <c r="G12" i="38" s="1"/>
  <c r="M11" i="38"/>
  <c r="L11" i="38"/>
  <c r="J11" i="38"/>
  <c r="K11" i="38" s="1"/>
  <c r="I11" i="38"/>
  <c r="F11" i="38"/>
  <c r="G11" i="38" s="1"/>
  <c r="M10" i="38"/>
  <c r="L10" i="38"/>
  <c r="K10" i="38"/>
  <c r="J10" i="38"/>
  <c r="I10" i="38"/>
  <c r="F10" i="38"/>
  <c r="G10" i="38" s="1"/>
  <c r="M9" i="38"/>
  <c r="L9" i="38"/>
  <c r="J9" i="38"/>
  <c r="K9" i="38" s="1"/>
  <c r="I9" i="38"/>
  <c r="F9" i="38"/>
  <c r="G9" i="38" s="1"/>
  <c r="M8" i="38"/>
  <c r="L8" i="38"/>
  <c r="J8" i="38"/>
  <c r="K8" i="38" s="1"/>
  <c r="I8" i="38"/>
  <c r="F8" i="38"/>
  <c r="G8" i="38" s="1"/>
  <c r="M7" i="38"/>
  <c r="L7" i="38"/>
  <c r="J7" i="38"/>
  <c r="K7" i="38" s="1"/>
  <c r="I7" i="38"/>
  <c r="F7" i="38"/>
  <c r="G7" i="38" s="1"/>
  <c r="M6" i="38"/>
  <c r="L6" i="38"/>
  <c r="J6" i="38"/>
  <c r="K6" i="38" s="1"/>
  <c r="I6" i="38"/>
  <c r="F6" i="38"/>
  <c r="G6" i="38" s="1"/>
  <c r="M5" i="38"/>
  <c r="L5" i="38"/>
  <c r="J5" i="38"/>
  <c r="K5" i="38" s="1"/>
  <c r="I5" i="38"/>
  <c r="F5" i="38"/>
  <c r="G5" i="38" s="1"/>
  <c r="B32" i="38"/>
  <c r="C32" i="38" s="1"/>
  <c r="M4" i="38"/>
  <c r="L4" i="38"/>
  <c r="J4" i="38"/>
  <c r="K4" i="38" s="1"/>
  <c r="I4" i="38"/>
  <c r="F4" i="38"/>
  <c r="G4" i="38" s="1"/>
  <c r="M3" i="38"/>
  <c r="L3" i="38"/>
  <c r="J3" i="38"/>
  <c r="K3" i="38" s="1"/>
  <c r="I3" i="38"/>
  <c r="F3" i="38"/>
  <c r="G3" i="38" s="1"/>
  <c r="B30" i="38"/>
  <c r="C30" i="38" s="1"/>
  <c r="M2" i="38"/>
  <c r="L2" i="38"/>
  <c r="J2" i="38"/>
  <c r="I2" i="38"/>
  <c r="F2" i="38"/>
  <c r="G2" i="38" s="1"/>
  <c r="C56" i="41"/>
  <c r="E57" i="42" l="1"/>
  <c r="L23" i="42"/>
  <c r="M23" i="42"/>
  <c r="I23" i="42"/>
  <c r="B55" i="42"/>
  <c r="B62" i="42" s="1"/>
  <c r="K23" i="42"/>
  <c r="C55" i="42"/>
  <c r="G23" i="42"/>
  <c r="J23" i="42"/>
  <c r="D57" i="42"/>
  <c r="E54" i="38"/>
  <c r="M23" i="38"/>
  <c r="L23" i="38"/>
  <c r="M24" i="38"/>
  <c r="G23" i="38"/>
  <c r="I23" i="38"/>
  <c r="J23" i="38"/>
  <c r="C54" i="38"/>
  <c r="B54" i="38"/>
  <c r="K2" i="38"/>
  <c r="K23" i="38" s="1"/>
  <c r="D56" i="38"/>
  <c r="C23" i="38"/>
  <c r="L11" i="41"/>
  <c r="K10" i="41"/>
  <c r="J10" i="41"/>
  <c r="L10" i="41"/>
  <c r="M10" i="41"/>
  <c r="J11" i="41"/>
  <c r="K11" i="41"/>
  <c r="M11" i="41"/>
  <c r="I11" i="41"/>
  <c r="I10" i="41"/>
  <c r="I9" i="41"/>
  <c r="F11" i="41"/>
  <c r="G11" i="41" s="1"/>
  <c r="E56" i="38" l="1"/>
  <c r="E61" i="38"/>
  <c r="E62" i="42"/>
  <c r="B57" i="42"/>
  <c r="C62" i="42"/>
  <c r="C57" i="42"/>
  <c r="B61" i="38"/>
  <c r="B56" i="38"/>
  <c r="C61" i="38"/>
  <c r="C56" i="38"/>
  <c r="C44" i="41"/>
  <c r="C50" i="41"/>
  <c r="C52" i="41"/>
  <c r="C33" i="41"/>
  <c r="C41" i="41"/>
  <c r="B41" i="41"/>
  <c r="B40" i="41"/>
  <c r="C12" i="41"/>
  <c r="C3" i="41"/>
  <c r="C5" i="41"/>
  <c r="E53" i="40"/>
  <c r="B53" i="40"/>
  <c r="D54" i="40"/>
  <c r="D53" i="40"/>
  <c r="E26" i="41"/>
  <c r="F19" i="40"/>
  <c r="G4" i="40"/>
  <c r="F4" i="40"/>
  <c r="H22" i="40"/>
  <c r="C22" i="40"/>
  <c r="E22" i="40"/>
  <c r="B22" i="40"/>
  <c r="E48" i="40"/>
  <c r="E27" i="41"/>
  <c r="E28" i="41"/>
  <c r="E29" i="41"/>
  <c r="E30" i="41"/>
  <c r="E31" i="41"/>
  <c r="E32" i="41"/>
  <c r="E33" i="41"/>
  <c r="E34" i="41"/>
  <c r="E35" i="41"/>
  <c r="E36" i="41"/>
  <c r="E38" i="41"/>
  <c r="E39" i="41"/>
  <c r="E41" i="41"/>
  <c r="E42" i="41"/>
  <c r="E44" i="41"/>
  <c r="E46" i="41"/>
  <c r="E47" i="41"/>
  <c r="E48" i="41"/>
  <c r="E49" i="41"/>
  <c r="E27" i="40"/>
  <c r="E28" i="40"/>
  <c r="E29" i="40"/>
  <c r="E30" i="40"/>
  <c r="E31" i="40"/>
  <c r="E32" i="40"/>
  <c r="E33" i="40"/>
  <c r="E34" i="40"/>
  <c r="E35" i="40"/>
  <c r="E37" i="40"/>
  <c r="E38" i="40"/>
  <c r="E39" i="40"/>
  <c r="E40" i="40"/>
  <c r="E41" i="40"/>
  <c r="E42" i="40"/>
  <c r="E43" i="40"/>
  <c r="E45" i="40"/>
  <c r="E46" i="40"/>
  <c r="E47" i="40"/>
  <c r="E26" i="40"/>
  <c r="E54" i="41" l="1"/>
  <c r="E56" i="41" s="1"/>
  <c r="D59" i="40"/>
  <c r="D56" i="40"/>
  <c r="E59" i="40"/>
  <c r="F20" i="41"/>
  <c r="G20" i="41" s="1"/>
  <c r="B48" i="41"/>
  <c r="B47" i="41"/>
  <c r="B46" i="41"/>
  <c r="C46" i="41" s="1"/>
  <c r="B45" i="41"/>
  <c r="B38" i="41"/>
  <c r="B36" i="41"/>
  <c r="B35" i="41"/>
  <c r="B34" i="41"/>
  <c r="B33" i="41"/>
  <c r="B32" i="41"/>
  <c r="B31" i="41"/>
  <c r="B30" i="41"/>
  <c r="B29" i="41"/>
  <c r="B27" i="41"/>
  <c r="H23" i="41"/>
  <c r="E23" i="41"/>
  <c r="M24" i="41" s="1"/>
  <c r="C23" i="41"/>
  <c r="B23" i="41"/>
  <c r="M21" i="41"/>
  <c r="L21" i="41"/>
  <c r="J21" i="41"/>
  <c r="K21" i="41" s="1"/>
  <c r="I21" i="41"/>
  <c r="F21" i="41"/>
  <c r="G21" i="41" s="1"/>
  <c r="M20" i="41"/>
  <c r="L20" i="41"/>
  <c r="J20" i="41"/>
  <c r="K20" i="41" s="1"/>
  <c r="I20" i="41"/>
  <c r="M19" i="41"/>
  <c r="L19" i="41"/>
  <c r="J19" i="41"/>
  <c r="K19" i="41" s="1"/>
  <c r="I19" i="41"/>
  <c r="F19" i="41"/>
  <c r="G19" i="41" s="1"/>
  <c r="M18" i="41"/>
  <c r="L18" i="41"/>
  <c r="J18" i="41"/>
  <c r="K18" i="41" s="1"/>
  <c r="I18" i="41"/>
  <c r="F18" i="41"/>
  <c r="G18" i="41" s="1"/>
  <c r="M17" i="41"/>
  <c r="L17" i="41"/>
  <c r="J17" i="41"/>
  <c r="K17" i="41" s="1"/>
  <c r="I17" i="41"/>
  <c r="F17" i="41"/>
  <c r="G17" i="41" s="1"/>
  <c r="M16" i="41"/>
  <c r="L16" i="41"/>
  <c r="J16" i="41"/>
  <c r="K16" i="41" s="1"/>
  <c r="I16" i="41"/>
  <c r="F16" i="41"/>
  <c r="G16" i="41" s="1"/>
  <c r="M15" i="41"/>
  <c r="L15" i="41"/>
  <c r="J15" i="41"/>
  <c r="K15" i="41" s="1"/>
  <c r="I15" i="41"/>
  <c r="F15" i="41"/>
  <c r="G15" i="41" s="1"/>
  <c r="M14" i="41"/>
  <c r="L14" i="41"/>
  <c r="J14" i="41"/>
  <c r="K14" i="41" s="1"/>
  <c r="I14" i="41"/>
  <c r="F14" i="41"/>
  <c r="G14" i="41" s="1"/>
  <c r="M13" i="41"/>
  <c r="L13" i="41"/>
  <c r="J13" i="41"/>
  <c r="K13" i="41" s="1"/>
  <c r="I13" i="41"/>
  <c r="F13" i="41"/>
  <c r="G13" i="41" s="1"/>
  <c r="M12" i="41"/>
  <c r="L12" i="41"/>
  <c r="J12" i="41"/>
  <c r="K12" i="41" s="1"/>
  <c r="I12" i="41"/>
  <c r="F12" i="41"/>
  <c r="G12" i="41" s="1"/>
  <c r="F10" i="41"/>
  <c r="G10" i="41" s="1"/>
  <c r="M9" i="41"/>
  <c r="L9" i="41"/>
  <c r="J9" i="41"/>
  <c r="K9" i="41" s="1"/>
  <c r="F9" i="41"/>
  <c r="G9" i="41" s="1"/>
  <c r="M8" i="41"/>
  <c r="L8" i="41"/>
  <c r="J8" i="41"/>
  <c r="K8" i="41" s="1"/>
  <c r="I8" i="41"/>
  <c r="F8" i="41"/>
  <c r="G8" i="41" s="1"/>
  <c r="M7" i="41"/>
  <c r="L7" i="41"/>
  <c r="J7" i="41"/>
  <c r="K7" i="41" s="1"/>
  <c r="I7" i="41"/>
  <c r="F7" i="41"/>
  <c r="G7" i="41" s="1"/>
  <c r="M6" i="41"/>
  <c r="L6" i="41"/>
  <c r="J6" i="41"/>
  <c r="K6" i="41" s="1"/>
  <c r="I6" i="41"/>
  <c r="F6" i="41"/>
  <c r="G6" i="41" s="1"/>
  <c r="M5" i="41"/>
  <c r="L5" i="41"/>
  <c r="J5" i="41"/>
  <c r="K5" i="41" s="1"/>
  <c r="I5" i="41"/>
  <c r="F5" i="41"/>
  <c r="G5" i="41" s="1"/>
  <c r="M4" i="41"/>
  <c r="L4" i="41"/>
  <c r="J4" i="41"/>
  <c r="K4" i="41" s="1"/>
  <c r="I4" i="41"/>
  <c r="F4" i="41"/>
  <c r="G4" i="41" s="1"/>
  <c r="M3" i="41"/>
  <c r="L3" i="41"/>
  <c r="J3" i="41"/>
  <c r="K3" i="41" s="1"/>
  <c r="I3" i="41"/>
  <c r="F3" i="41"/>
  <c r="G3" i="41" s="1"/>
  <c r="M2" i="41"/>
  <c r="L2" i="41"/>
  <c r="J2" i="41"/>
  <c r="K2" i="41" s="1"/>
  <c r="I2" i="41"/>
  <c r="F2" i="41"/>
  <c r="G2" i="41" s="1"/>
  <c r="C54" i="41" l="1"/>
  <c r="B54" i="41"/>
  <c r="B56" i="41" s="1"/>
  <c r="J23" i="41"/>
  <c r="L23" i="41"/>
  <c r="M23" i="41"/>
  <c r="I23" i="41"/>
  <c r="K23" i="41"/>
  <c r="G23" i="41"/>
  <c r="C29" i="40"/>
  <c r="C32" i="40"/>
  <c r="C37" i="40"/>
  <c r="C39" i="40"/>
  <c r="C40" i="40"/>
  <c r="C45" i="40"/>
  <c r="B47" i="40"/>
  <c r="B46" i="40"/>
  <c r="B40" i="40"/>
  <c r="B39" i="40"/>
  <c r="B38" i="40"/>
  <c r="B37" i="40"/>
  <c r="B35" i="40"/>
  <c r="B34" i="40"/>
  <c r="B33" i="40"/>
  <c r="B32" i="40"/>
  <c r="B31" i="40"/>
  <c r="B30" i="40"/>
  <c r="B29" i="40"/>
  <c r="B28" i="40"/>
  <c r="B27" i="40"/>
  <c r="B26" i="40"/>
  <c r="C61" i="41" l="1"/>
  <c r="B61" i="41"/>
  <c r="C53" i="40"/>
  <c r="C59" i="40" s="1"/>
  <c r="F3" i="40"/>
  <c r="G3" i="40" s="1"/>
  <c r="F2" i="40"/>
  <c r="G2" i="40" s="1"/>
  <c r="F5" i="40"/>
  <c r="G5" i="40" s="1"/>
  <c r="F6" i="40"/>
  <c r="G6" i="40" s="1"/>
  <c r="F7" i="40"/>
  <c r="G7" i="40" s="1"/>
  <c r="F9" i="40"/>
  <c r="G9" i="40" s="1"/>
  <c r="F10" i="40"/>
  <c r="G10" i="40" s="1"/>
  <c r="F11" i="40"/>
  <c r="G11" i="40" s="1"/>
  <c r="F12" i="40"/>
  <c r="G12" i="40" s="1"/>
  <c r="F13" i="40"/>
  <c r="G13" i="40" s="1"/>
  <c r="F14" i="40"/>
  <c r="G14" i="40" s="1"/>
  <c r="F15" i="40"/>
  <c r="G15" i="40" s="1"/>
  <c r="F16" i="40"/>
  <c r="G16" i="40" s="1"/>
  <c r="F17" i="40"/>
  <c r="G17" i="40" s="1"/>
  <c r="F18" i="40"/>
  <c r="G18" i="40" s="1"/>
  <c r="G19" i="40"/>
  <c r="F20" i="40"/>
  <c r="G20" i="40" s="1"/>
  <c r="F8" i="40"/>
  <c r="G8" i="40" s="1"/>
  <c r="C16" i="40"/>
  <c r="B45" i="40"/>
  <c r="L20" i="40"/>
  <c r="K20" i="40"/>
  <c r="J20" i="40"/>
  <c r="I20" i="40"/>
  <c r="L19" i="40"/>
  <c r="K19" i="40"/>
  <c r="J19" i="40"/>
  <c r="I19" i="40"/>
  <c r="L18" i="40"/>
  <c r="K18" i="40"/>
  <c r="J18" i="40"/>
  <c r="I18" i="40"/>
  <c r="L17" i="40"/>
  <c r="K17" i="40"/>
  <c r="J17" i="40"/>
  <c r="I17" i="40"/>
  <c r="L16" i="40"/>
  <c r="K16" i="40"/>
  <c r="J16" i="40"/>
  <c r="I16" i="40"/>
  <c r="L15" i="40"/>
  <c r="K15" i="40"/>
  <c r="J15" i="40"/>
  <c r="I15" i="40"/>
  <c r="L14" i="40"/>
  <c r="K14" i="40"/>
  <c r="J14" i="40"/>
  <c r="I14" i="40"/>
  <c r="L13" i="40"/>
  <c r="K13" i="40"/>
  <c r="J13" i="40"/>
  <c r="I13" i="40"/>
  <c r="L12" i="40"/>
  <c r="K12" i="40"/>
  <c r="J12" i="40"/>
  <c r="I12" i="40"/>
  <c r="L11" i="40"/>
  <c r="K11" i="40"/>
  <c r="J11" i="40"/>
  <c r="I11" i="40"/>
  <c r="L10" i="40"/>
  <c r="K10" i="40"/>
  <c r="J10" i="40"/>
  <c r="I10" i="40"/>
  <c r="L9" i="40"/>
  <c r="K9" i="40"/>
  <c r="J9" i="40"/>
  <c r="I9" i="40"/>
  <c r="L8" i="40"/>
  <c r="K8" i="40"/>
  <c r="J8" i="40"/>
  <c r="I8" i="40"/>
  <c r="L7" i="40"/>
  <c r="K7" i="40"/>
  <c r="J7" i="40"/>
  <c r="I7" i="40"/>
  <c r="L6" i="40"/>
  <c r="K6" i="40"/>
  <c r="J6" i="40"/>
  <c r="I6" i="40"/>
  <c r="L5" i="40"/>
  <c r="K5" i="40"/>
  <c r="J5" i="40"/>
  <c r="I5" i="40"/>
  <c r="L4" i="40"/>
  <c r="K4" i="40"/>
  <c r="J4" i="40"/>
  <c r="I4" i="40"/>
  <c r="L3" i="40"/>
  <c r="K3" i="40"/>
  <c r="J3" i="40"/>
  <c r="I3" i="40"/>
  <c r="L2" i="40"/>
  <c r="K2" i="40"/>
  <c r="J2" i="40"/>
  <c r="I2" i="40"/>
  <c r="B59" i="40" l="1"/>
  <c r="L22" i="40"/>
  <c r="I22" i="40"/>
  <c r="L23" i="40"/>
  <c r="K22" i="40"/>
  <c r="J22" i="40"/>
  <c r="C51" i="37"/>
  <c r="C50" i="37"/>
  <c r="C56" i="37" s="1"/>
  <c r="B56" i="37"/>
  <c r="W9" i="5"/>
  <c r="D8" i="5"/>
  <c r="K9" i="5"/>
  <c r="C40" i="37"/>
  <c r="B40" i="37" l="1"/>
  <c r="F21" i="37"/>
  <c r="E21" i="37"/>
  <c r="B21" i="37"/>
  <c r="B43" i="37"/>
  <c r="B38" i="37"/>
  <c r="B21" i="31"/>
  <c r="B22" i="33"/>
  <c r="B19" i="34"/>
  <c r="B20" i="35"/>
  <c r="B22" i="36"/>
  <c r="C18" i="37"/>
  <c r="C17" i="37"/>
  <c r="B36" i="37"/>
  <c r="B37" i="37"/>
  <c r="B35" i="37"/>
  <c r="B28" i="37"/>
  <c r="B29" i="37"/>
  <c r="B30" i="37"/>
  <c r="B31" i="37"/>
  <c r="B32" i="37"/>
  <c r="B33" i="37"/>
  <c r="B27" i="37"/>
  <c r="D50" i="37" l="1"/>
  <c r="B26" i="37"/>
  <c r="C16" i="37" s="1"/>
  <c r="C21" i="37" s="1"/>
  <c r="B25" i="37"/>
  <c r="E25" i="37" s="1"/>
  <c r="C24" i="37"/>
  <c r="K19" i="37"/>
  <c r="J19" i="37"/>
  <c r="H19" i="37"/>
  <c r="I19" i="37" s="1"/>
  <c r="G19" i="37"/>
  <c r="K18" i="37"/>
  <c r="J18" i="37"/>
  <c r="H18" i="37"/>
  <c r="I18" i="37" s="1"/>
  <c r="G18" i="37"/>
  <c r="K17" i="37"/>
  <c r="J17" i="37"/>
  <c r="H17" i="37"/>
  <c r="I17" i="37" s="1"/>
  <c r="G17" i="37"/>
  <c r="K16" i="37"/>
  <c r="J16" i="37"/>
  <c r="H16" i="37"/>
  <c r="I16" i="37" s="1"/>
  <c r="G16" i="37"/>
  <c r="K15" i="37"/>
  <c r="J15" i="37"/>
  <c r="H15" i="37"/>
  <c r="I15" i="37" s="1"/>
  <c r="G15" i="37"/>
  <c r="K14" i="37"/>
  <c r="J14" i="37"/>
  <c r="H14" i="37"/>
  <c r="I14" i="37" s="1"/>
  <c r="G14" i="37"/>
  <c r="K13" i="37"/>
  <c r="J13" i="37"/>
  <c r="H13" i="37"/>
  <c r="I13" i="37" s="1"/>
  <c r="G13" i="37"/>
  <c r="K12" i="37"/>
  <c r="J12" i="37"/>
  <c r="H12" i="37"/>
  <c r="I12" i="37" s="1"/>
  <c r="G12" i="37"/>
  <c r="K11" i="37"/>
  <c r="J11" i="37"/>
  <c r="H11" i="37"/>
  <c r="I11" i="37" s="1"/>
  <c r="G11" i="37"/>
  <c r="K10" i="37"/>
  <c r="J10" i="37"/>
  <c r="H10" i="37"/>
  <c r="I10" i="37" s="1"/>
  <c r="G10" i="37"/>
  <c r="K9" i="37"/>
  <c r="J9" i="37"/>
  <c r="H9" i="37"/>
  <c r="I9" i="37" s="1"/>
  <c r="G9" i="37"/>
  <c r="K8" i="37"/>
  <c r="J8" i="37"/>
  <c r="H8" i="37"/>
  <c r="I8" i="37" s="1"/>
  <c r="G8" i="37"/>
  <c r="K7" i="37"/>
  <c r="J7" i="37"/>
  <c r="H7" i="37"/>
  <c r="I7" i="37" s="1"/>
  <c r="G7" i="37"/>
  <c r="K6" i="37"/>
  <c r="J6" i="37"/>
  <c r="H6" i="37"/>
  <c r="I6" i="37" s="1"/>
  <c r="G6" i="37"/>
  <c r="K5" i="37"/>
  <c r="J5" i="37"/>
  <c r="H5" i="37"/>
  <c r="I5" i="37" s="1"/>
  <c r="G5" i="37"/>
  <c r="K4" i="37"/>
  <c r="J4" i="37"/>
  <c r="H4" i="37"/>
  <c r="I4" i="37" s="1"/>
  <c r="G4" i="37"/>
  <c r="K3" i="37"/>
  <c r="J3" i="37"/>
  <c r="H3" i="37"/>
  <c r="I3" i="37" s="1"/>
  <c r="G3" i="37"/>
  <c r="K2" i="37"/>
  <c r="J2" i="37"/>
  <c r="H2" i="37"/>
  <c r="G2" i="37"/>
  <c r="G21" i="37" l="1"/>
  <c r="I2" i="37"/>
  <c r="I21" i="37" s="1"/>
  <c r="H21" i="37"/>
  <c r="J21" i="37"/>
  <c r="K21" i="37"/>
  <c r="K22" i="37"/>
  <c r="B50" i="37"/>
  <c r="C52" i="36"/>
  <c r="F36" i="36" l="1"/>
  <c r="B51" i="36" l="1"/>
  <c r="B60" i="36" s="1"/>
  <c r="J9" i="36" l="1"/>
  <c r="F10" i="36"/>
  <c r="G10" i="36"/>
  <c r="H10" i="36" s="1"/>
  <c r="I10" i="36"/>
  <c r="J10" i="36"/>
  <c r="F2" i="36" l="1"/>
  <c r="G2" i="36"/>
  <c r="H2" i="36" s="1"/>
  <c r="I2" i="36"/>
  <c r="J2" i="36"/>
  <c r="D51" i="36"/>
  <c r="B27" i="36"/>
  <c r="B26" i="36"/>
  <c r="E26" i="36" s="1"/>
  <c r="C25" i="36"/>
  <c r="C51" i="36" s="1"/>
  <c r="C60" i="36" s="1"/>
  <c r="E22" i="36"/>
  <c r="D22" i="36"/>
  <c r="J20" i="36"/>
  <c r="I20" i="36"/>
  <c r="G20" i="36"/>
  <c r="H20" i="36" s="1"/>
  <c r="F20" i="36"/>
  <c r="J19" i="36"/>
  <c r="I19" i="36"/>
  <c r="G19" i="36"/>
  <c r="F19" i="36"/>
  <c r="J18" i="36"/>
  <c r="I18" i="36"/>
  <c r="G18" i="36"/>
  <c r="H18" i="36" s="1"/>
  <c r="F18" i="36"/>
  <c r="J17" i="36"/>
  <c r="I17" i="36"/>
  <c r="G17" i="36"/>
  <c r="H17" i="36" s="1"/>
  <c r="F17" i="36"/>
  <c r="J16" i="36"/>
  <c r="I16" i="36"/>
  <c r="G16" i="36"/>
  <c r="H16" i="36" s="1"/>
  <c r="F16" i="36"/>
  <c r="J15" i="36"/>
  <c r="I15" i="36"/>
  <c r="G15" i="36"/>
  <c r="H15" i="36" s="1"/>
  <c r="F15" i="36"/>
  <c r="J14" i="36"/>
  <c r="I14" i="36"/>
  <c r="G14" i="36"/>
  <c r="H14" i="36" s="1"/>
  <c r="F14" i="36"/>
  <c r="J13" i="36"/>
  <c r="I13" i="36"/>
  <c r="G13" i="36"/>
  <c r="H13" i="36" s="1"/>
  <c r="F13" i="36"/>
  <c r="J12" i="36"/>
  <c r="I12" i="36"/>
  <c r="G12" i="36"/>
  <c r="H12" i="36" s="1"/>
  <c r="F12" i="36"/>
  <c r="J11" i="36"/>
  <c r="I11" i="36"/>
  <c r="G11" i="36"/>
  <c r="H11" i="36" s="1"/>
  <c r="F11" i="36"/>
  <c r="I9" i="36"/>
  <c r="G9" i="36"/>
  <c r="H9" i="36" s="1"/>
  <c r="F9" i="36"/>
  <c r="J8" i="36"/>
  <c r="I8" i="36"/>
  <c r="G8" i="36"/>
  <c r="H8" i="36" s="1"/>
  <c r="F8" i="36"/>
  <c r="J7" i="36"/>
  <c r="I7" i="36"/>
  <c r="G7" i="36"/>
  <c r="H7" i="36" s="1"/>
  <c r="F7" i="36"/>
  <c r="J6" i="36"/>
  <c r="I6" i="36"/>
  <c r="G6" i="36"/>
  <c r="H6" i="36" s="1"/>
  <c r="F6" i="36"/>
  <c r="J5" i="36"/>
  <c r="I5" i="36"/>
  <c r="G5" i="36"/>
  <c r="H5" i="36" s="1"/>
  <c r="F5" i="36"/>
  <c r="J4" i="36"/>
  <c r="I4" i="36"/>
  <c r="G4" i="36"/>
  <c r="H4" i="36" s="1"/>
  <c r="F4" i="36"/>
  <c r="J3" i="36"/>
  <c r="I3" i="36"/>
  <c r="G3" i="36"/>
  <c r="H3" i="36" s="1"/>
  <c r="F3" i="36"/>
  <c r="F6" i="35"/>
  <c r="G6" i="35"/>
  <c r="H6" i="35"/>
  <c r="I6" i="35"/>
  <c r="J6" i="35"/>
  <c r="F2" i="35"/>
  <c r="G2" i="35"/>
  <c r="H2" i="35"/>
  <c r="I2" i="35"/>
  <c r="J2" i="35"/>
  <c r="C49" i="35"/>
  <c r="D48" i="35"/>
  <c r="B25" i="35"/>
  <c r="B24" i="35"/>
  <c r="B48" i="35"/>
  <c r="B53" i="35"/>
  <c r="E24" i="35"/>
  <c r="C23" i="35"/>
  <c r="E20" i="35"/>
  <c r="D20" i="35"/>
  <c r="J18" i="35"/>
  <c r="I18" i="35"/>
  <c r="G18" i="35"/>
  <c r="H18" i="35"/>
  <c r="F18" i="35"/>
  <c r="J16" i="35"/>
  <c r="I16" i="35"/>
  <c r="G16" i="35"/>
  <c r="H16" i="35"/>
  <c r="F16" i="35"/>
  <c r="J15" i="35"/>
  <c r="I15" i="35"/>
  <c r="G15" i="35"/>
  <c r="H15" i="35"/>
  <c r="F15" i="35"/>
  <c r="J14" i="35"/>
  <c r="I14" i="35"/>
  <c r="G14" i="35"/>
  <c r="H14" i="35"/>
  <c r="F14" i="35"/>
  <c r="J13" i="35"/>
  <c r="I13" i="35"/>
  <c r="G13" i="35"/>
  <c r="H13" i="35"/>
  <c r="F13" i="35"/>
  <c r="J12" i="35"/>
  <c r="I12" i="35"/>
  <c r="G12" i="35"/>
  <c r="H12" i="35"/>
  <c r="F12" i="35"/>
  <c r="J11" i="35"/>
  <c r="I11" i="35"/>
  <c r="G11" i="35"/>
  <c r="H11" i="35"/>
  <c r="F11" i="35"/>
  <c r="J10" i="35"/>
  <c r="I10" i="35"/>
  <c r="G10" i="35"/>
  <c r="H10" i="35"/>
  <c r="F10" i="35"/>
  <c r="J9" i="35"/>
  <c r="I9" i="35"/>
  <c r="G9" i="35"/>
  <c r="H9" i="35"/>
  <c r="F9" i="35"/>
  <c r="J8" i="35"/>
  <c r="I8" i="35"/>
  <c r="G8" i="35"/>
  <c r="H8" i="35"/>
  <c r="F8" i="35"/>
  <c r="J7" i="35"/>
  <c r="I7" i="35"/>
  <c r="G7" i="35"/>
  <c r="H7" i="35"/>
  <c r="F7" i="35"/>
  <c r="J5" i="35"/>
  <c r="I5" i="35"/>
  <c r="G5" i="35"/>
  <c r="H5" i="35"/>
  <c r="F5" i="35"/>
  <c r="J4" i="35"/>
  <c r="I4" i="35"/>
  <c r="G4" i="35"/>
  <c r="H4" i="35"/>
  <c r="F4" i="35"/>
  <c r="J3" i="35"/>
  <c r="I3" i="35"/>
  <c r="G3" i="35"/>
  <c r="H3" i="35"/>
  <c r="F3" i="35"/>
  <c r="C48" i="35"/>
  <c r="C53" i="35" s="1"/>
  <c r="I20" i="35"/>
  <c r="F20" i="35"/>
  <c r="J21" i="35"/>
  <c r="J20" i="35"/>
  <c r="H20" i="35"/>
  <c r="G20" i="35"/>
  <c r="C46" i="34"/>
  <c r="D45" i="34"/>
  <c r="C45" i="34"/>
  <c r="C50" i="34"/>
  <c r="B23" i="34"/>
  <c r="B24" i="34"/>
  <c r="B25" i="34"/>
  <c r="B45" i="34"/>
  <c r="B50" i="34"/>
  <c r="E24" i="34"/>
  <c r="E19" i="34"/>
  <c r="D19" i="34"/>
  <c r="J17" i="34"/>
  <c r="I17" i="34"/>
  <c r="G17" i="34"/>
  <c r="H17" i="34"/>
  <c r="F17" i="34"/>
  <c r="J16" i="34"/>
  <c r="I16" i="34"/>
  <c r="G16" i="34"/>
  <c r="H16" i="34"/>
  <c r="F16" i="34"/>
  <c r="J15" i="34"/>
  <c r="I15" i="34"/>
  <c r="G15" i="34"/>
  <c r="H15" i="34"/>
  <c r="F15" i="34"/>
  <c r="J14" i="34"/>
  <c r="I14" i="34"/>
  <c r="G14" i="34"/>
  <c r="H14" i="34"/>
  <c r="F14" i="34"/>
  <c r="J13" i="34"/>
  <c r="I13" i="34"/>
  <c r="G13" i="34"/>
  <c r="H13" i="34"/>
  <c r="F13" i="34"/>
  <c r="J12" i="34"/>
  <c r="I12" i="34"/>
  <c r="G12" i="34"/>
  <c r="H12" i="34"/>
  <c r="F12" i="34"/>
  <c r="J11" i="34"/>
  <c r="I11" i="34"/>
  <c r="G11" i="34"/>
  <c r="H11" i="34"/>
  <c r="F11" i="34"/>
  <c r="J10" i="34"/>
  <c r="I10" i="34"/>
  <c r="G10" i="34"/>
  <c r="H10" i="34"/>
  <c r="F10" i="34"/>
  <c r="J9" i="34"/>
  <c r="I9" i="34"/>
  <c r="G9" i="34"/>
  <c r="H9" i="34"/>
  <c r="F9" i="34"/>
  <c r="J8" i="34"/>
  <c r="I8" i="34"/>
  <c r="G8" i="34"/>
  <c r="H8" i="34"/>
  <c r="F8" i="34"/>
  <c r="J7" i="34"/>
  <c r="I7" i="34"/>
  <c r="G7" i="34"/>
  <c r="H7" i="34"/>
  <c r="F7" i="34"/>
  <c r="J6" i="34"/>
  <c r="I6" i="34"/>
  <c r="G6" i="34"/>
  <c r="H6" i="34"/>
  <c r="F6" i="34"/>
  <c r="J5" i="34"/>
  <c r="I5" i="34"/>
  <c r="G5" i="34"/>
  <c r="H5" i="34"/>
  <c r="F5" i="34"/>
  <c r="J4" i="34"/>
  <c r="I4" i="34"/>
  <c r="G4" i="34"/>
  <c r="H4" i="34"/>
  <c r="F4" i="34"/>
  <c r="J3" i="34"/>
  <c r="I3" i="34"/>
  <c r="G3" i="34"/>
  <c r="F3" i="34"/>
  <c r="F19" i="34"/>
  <c r="G19" i="34"/>
  <c r="H3" i="34"/>
  <c r="I19" i="34"/>
  <c r="J19" i="34"/>
  <c r="J20" i="34"/>
  <c r="H19" i="34"/>
  <c r="D22" i="33"/>
  <c r="K23" i="33"/>
  <c r="K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2" i="33"/>
  <c r="G2" i="33"/>
  <c r="H2" i="33"/>
  <c r="I2" i="33"/>
  <c r="J2" i="33"/>
  <c r="G10" i="33"/>
  <c r="H10" i="33"/>
  <c r="I10" i="33"/>
  <c r="J10" i="33"/>
  <c r="G20" i="33"/>
  <c r="H20" i="33"/>
  <c r="I20" i="33"/>
  <c r="J20" i="33"/>
  <c r="F22" i="33"/>
  <c r="B28" i="33"/>
  <c r="C53" i="33"/>
  <c r="D52" i="33"/>
  <c r="B46" i="33"/>
  <c r="E27" i="33"/>
  <c r="C25" i="33"/>
  <c r="C52" i="33"/>
  <c r="C57" i="33"/>
  <c r="E22" i="33"/>
  <c r="J19" i="33"/>
  <c r="H19" i="33"/>
  <c r="I19" i="33"/>
  <c r="G19" i="33"/>
  <c r="J18" i="33"/>
  <c r="H18" i="33"/>
  <c r="I18" i="33"/>
  <c r="G18" i="33"/>
  <c r="J17" i="33"/>
  <c r="H17" i="33"/>
  <c r="I17" i="33"/>
  <c r="G17" i="33"/>
  <c r="J16" i="33"/>
  <c r="H16" i="33"/>
  <c r="I16" i="33"/>
  <c r="G16" i="33"/>
  <c r="J15" i="33"/>
  <c r="H15" i="33"/>
  <c r="I15" i="33"/>
  <c r="G15" i="33"/>
  <c r="J14" i="33"/>
  <c r="H14" i="33"/>
  <c r="I14" i="33"/>
  <c r="G14" i="33"/>
  <c r="J13" i="33"/>
  <c r="H13" i="33"/>
  <c r="I13" i="33"/>
  <c r="G13" i="33"/>
  <c r="J12" i="33"/>
  <c r="H12" i="33"/>
  <c r="I12" i="33"/>
  <c r="G12" i="33"/>
  <c r="J11" i="33"/>
  <c r="H11" i="33"/>
  <c r="I11" i="33"/>
  <c r="G11" i="33"/>
  <c r="J9" i="33"/>
  <c r="H9" i="33"/>
  <c r="I9" i="33"/>
  <c r="G9" i="33"/>
  <c r="J8" i="33"/>
  <c r="H8" i="33"/>
  <c r="I8" i="33"/>
  <c r="G8" i="33"/>
  <c r="J7" i="33"/>
  <c r="H7" i="33"/>
  <c r="I7" i="33"/>
  <c r="G7" i="33"/>
  <c r="J6" i="33"/>
  <c r="H6" i="33"/>
  <c r="I6" i="33"/>
  <c r="G6" i="33"/>
  <c r="J5" i="33"/>
  <c r="H5" i="33"/>
  <c r="I5" i="33"/>
  <c r="G5" i="33"/>
  <c r="J4" i="33"/>
  <c r="H4" i="33"/>
  <c r="I4" i="33"/>
  <c r="G4" i="33"/>
  <c r="J3" i="33"/>
  <c r="H3" i="33"/>
  <c r="G3" i="33"/>
  <c r="G22" i="33"/>
  <c r="I3" i="33"/>
  <c r="I22" i="33"/>
  <c r="B52" i="33"/>
  <c r="B57" i="33"/>
  <c r="H22" i="33"/>
  <c r="J22" i="33"/>
  <c r="Y2" i="5"/>
  <c r="Y4" i="5"/>
  <c r="Y3" i="5"/>
  <c r="AA8" i="5"/>
  <c r="C50" i="31"/>
  <c r="M35" i="31"/>
  <c r="Z8" i="5"/>
  <c r="Y8" i="5"/>
  <c r="F19" i="31"/>
  <c r="G19" i="31"/>
  <c r="H19" i="31"/>
  <c r="I19" i="31"/>
  <c r="J19" i="31"/>
  <c r="F2" i="31"/>
  <c r="G2" i="31"/>
  <c r="H2" i="31"/>
  <c r="I2" i="31"/>
  <c r="J2" i="31"/>
  <c r="J52" i="31"/>
  <c r="J56" i="31"/>
  <c r="D49" i="31"/>
  <c r="C24" i="31"/>
  <c r="C49" i="31"/>
  <c r="C54" i="31"/>
  <c r="B25" i="31"/>
  <c r="B26" i="31"/>
  <c r="B28" i="31"/>
  <c r="B49" i="31"/>
  <c r="B54" i="31"/>
  <c r="E26" i="31"/>
  <c r="K21" i="31"/>
  <c r="E21" i="31"/>
  <c r="D21" i="31"/>
  <c r="J18" i="31"/>
  <c r="I18" i="31"/>
  <c r="G18" i="31"/>
  <c r="H18" i="31"/>
  <c r="F18" i="31"/>
  <c r="J17" i="31"/>
  <c r="I17" i="31"/>
  <c r="G17" i="31"/>
  <c r="H17" i="31"/>
  <c r="F17" i="31"/>
  <c r="J16" i="31"/>
  <c r="I16" i="31"/>
  <c r="G16" i="31"/>
  <c r="H16" i="31"/>
  <c r="F16" i="31"/>
  <c r="J15" i="31"/>
  <c r="I15" i="31"/>
  <c r="G15" i="31"/>
  <c r="H15" i="31"/>
  <c r="F15" i="31"/>
  <c r="J14" i="31"/>
  <c r="I14" i="31"/>
  <c r="G14" i="31"/>
  <c r="H14" i="31"/>
  <c r="F14" i="31"/>
  <c r="J13" i="31"/>
  <c r="I13" i="31"/>
  <c r="G13" i="31"/>
  <c r="H13" i="31"/>
  <c r="F13" i="31"/>
  <c r="J12" i="31"/>
  <c r="I12" i="31"/>
  <c r="G12" i="31"/>
  <c r="H12" i="31"/>
  <c r="F12" i="31"/>
  <c r="J11" i="31"/>
  <c r="I11" i="31"/>
  <c r="G11" i="31"/>
  <c r="H11" i="31"/>
  <c r="F11" i="31"/>
  <c r="J10" i="31"/>
  <c r="I10" i="31"/>
  <c r="G10" i="31"/>
  <c r="H10" i="31"/>
  <c r="F10" i="31"/>
  <c r="J9" i="31"/>
  <c r="I9" i="31"/>
  <c r="G9" i="31"/>
  <c r="H9" i="31"/>
  <c r="F9" i="31"/>
  <c r="J8" i="31"/>
  <c r="I8" i="31"/>
  <c r="G8" i="31"/>
  <c r="H8" i="31"/>
  <c r="F8" i="31"/>
  <c r="J7" i="31"/>
  <c r="I7" i="31"/>
  <c r="G7" i="31"/>
  <c r="H7" i="31"/>
  <c r="F7" i="31"/>
  <c r="J6" i="31"/>
  <c r="I6" i="31"/>
  <c r="G6" i="31"/>
  <c r="H6" i="31"/>
  <c r="F6" i="31"/>
  <c r="J5" i="31"/>
  <c r="I5" i="31"/>
  <c r="G5" i="31"/>
  <c r="H5" i="31"/>
  <c r="F5" i="31"/>
  <c r="J4" i="31"/>
  <c r="I4" i="31"/>
  <c r="G4" i="31"/>
  <c r="H4" i="31"/>
  <c r="F4" i="31"/>
  <c r="J3" i="31"/>
  <c r="I3" i="31"/>
  <c r="G3" i="31"/>
  <c r="F3" i="31"/>
  <c r="C50" i="30"/>
  <c r="B21" i="30"/>
  <c r="J52" i="30"/>
  <c r="J56" i="30"/>
  <c r="D49" i="30"/>
  <c r="C49" i="30"/>
  <c r="C54" i="30"/>
  <c r="B49" i="30"/>
  <c r="B54" i="30"/>
  <c r="E26" i="30"/>
  <c r="K21" i="30"/>
  <c r="E21" i="30"/>
  <c r="D21" i="30"/>
  <c r="J18" i="30"/>
  <c r="I18" i="30"/>
  <c r="G18" i="30"/>
  <c r="H18" i="30"/>
  <c r="F18" i="30"/>
  <c r="J17" i="30"/>
  <c r="I17" i="30"/>
  <c r="G17" i="30"/>
  <c r="H17" i="30"/>
  <c r="F17" i="30"/>
  <c r="J16" i="30"/>
  <c r="I16" i="30"/>
  <c r="G16" i="30"/>
  <c r="H16" i="30"/>
  <c r="F16" i="30"/>
  <c r="J15" i="30"/>
  <c r="I15" i="30"/>
  <c r="G15" i="30"/>
  <c r="H15" i="30"/>
  <c r="F15" i="30"/>
  <c r="J14" i="30"/>
  <c r="I14" i="30"/>
  <c r="G14" i="30"/>
  <c r="H14" i="30"/>
  <c r="F14" i="30"/>
  <c r="J13" i="30"/>
  <c r="I13" i="30"/>
  <c r="G13" i="30"/>
  <c r="H13" i="30"/>
  <c r="F13" i="30"/>
  <c r="J12" i="30"/>
  <c r="I12" i="30"/>
  <c r="G12" i="30"/>
  <c r="H12" i="30"/>
  <c r="F12" i="30"/>
  <c r="J11" i="30"/>
  <c r="I11" i="30"/>
  <c r="G11" i="30"/>
  <c r="H11" i="30"/>
  <c r="F11" i="30"/>
  <c r="J10" i="30"/>
  <c r="I10" i="30"/>
  <c r="G10" i="30"/>
  <c r="H10" i="30"/>
  <c r="F10" i="30"/>
  <c r="J9" i="30"/>
  <c r="I9" i="30"/>
  <c r="G9" i="30"/>
  <c r="H9" i="30"/>
  <c r="F9" i="30"/>
  <c r="J8" i="30"/>
  <c r="I8" i="30"/>
  <c r="G8" i="30"/>
  <c r="H8" i="30"/>
  <c r="F8" i="30"/>
  <c r="J7" i="30"/>
  <c r="I7" i="30"/>
  <c r="G7" i="30"/>
  <c r="H7" i="30"/>
  <c r="F7" i="30"/>
  <c r="J6" i="30"/>
  <c r="I6" i="30"/>
  <c r="G6" i="30"/>
  <c r="H6" i="30"/>
  <c r="F6" i="30"/>
  <c r="J5" i="30"/>
  <c r="I5" i="30"/>
  <c r="G5" i="30"/>
  <c r="H5" i="30"/>
  <c r="F5" i="30"/>
  <c r="J4" i="30"/>
  <c r="I4" i="30"/>
  <c r="G4" i="30"/>
  <c r="H4" i="30"/>
  <c r="F4" i="30"/>
  <c r="J3" i="30"/>
  <c r="I3" i="30"/>
  <c r="G3" i="30"/>
  <c r="H3" i="30"/>
  <c r="F3" i="30"/>
  <c r="G21" i="31"/>
  <c r="J22" i="31"/>
  <c r="J21" i="31"/>
  <c r="I21" i="31"/>
  <c r="F21" i="31"/>
  <c r="H3" i="31"/>
  <c r="G21" i="30"/>
  <c r="F21" i="30"/>
  <c r="J21" i="30"/>
  <c r="I21" i="30"/>
  <c r="J22" i="30"/>
  <c r="X3" i="5"/>
  <c r="X4" i="5"/>
  <c r="X2" i="5"/>
  <c r="X8" i="5"/>
  <c r="J52" i="24"/>
  <c r="J56" i="24"/>
  <c r="D50" i="24"/>
  <c r="C50" i="24"/>
  <c r="C54" i="24"/>
  <c r="B50" i="24"/>
  <c r="B54" i="24"/>
  <c r="E26" i="24"/>
  <c r="K21" i="24"/>
  <c r="E21" i="24"/>
  <c r="D21" i="24"/>
  <c r="B21" i="24"/>
  <c r="J18" i="24"/>
  <c r="I18" i="24"/>
  <c r="G18" i="24"/>
  <c r="H18" i="24"/>
  <c r="F18" i="24"/>
  <c r="J17" i="24"/>
  <c r="I17" i="24"/>
  <c r="G17" i="24"/>
  <c r="H17" i="24"/>
  <c r="F17" i="24"/>
  <c r="J16" i="24"/>
  <c r="I16" i="24"/>
  <c r="G16" i="24"/>
  <c r="H16" i="24"/>
  <c r="F16" i="24"/>
  <c r="J15" i="24"/>
  <c r="I15" i="24"/>
  <c r="G15" i="24"/>
  <c r="H15" i="24"/>
  <c r="F15" i="24"/>
  <c r="J14" i="24"/>
  <c r="I14" i="24"/>
  <c r="G14" i="24"/>
  <c r="H14" i="24"/>
  <c r="F14" i="24"/>
  <c r="J13" i="24"/>
  <c r="I13" i="24"/>
  <c r="G13" i="24"/>
  <c r="H13" i="24"/>
  <c r="F13" i="24"/>
  <c r="J12" i="24"/>
  <c r="I12" i="24"/>
  <c r="G12" i="24"/>
  <c r="H12" i="24"/>
  <c r="F12" i="24"/>
  <c r="J11" i="24"/>
  <c r="I11" i="24"/>
  <c r="G11" i="24"/>
  <c r="H11" i="24"/>
  <c r="F11" i="24"/>
  <c r="J10" i="24"/>
  <c r="I10" i="24"/>
  <c r="G10" i="24"/>
  <c r="H10" i="24"/>
  <c r="F10" i="24"/>
  <c r="J9" i="24"/>
  <c r="I9" i="24"/>
  <c r="G9" i="24"/>
  <c r="H9" i="24"/>
  <c r="F9" i="24"/>
  <c r="J8" i="24"/>
  <c r="I8" i="24"/>
  <c r="G8" i="24"/>
  <c r="H8" i="24"/>
  <c r="F8" i="24"/>
  <c r="J7" i="24"/>
  <c r="I7" i="24"/>
  <c r="G7" i="24"/>
  <c r="H7" i="24"/>
  <c r="F7" i="24"/>
  <c r="J6" i="24"/>
  <c r="I6" i="24"/>
  <c r="G6" i="24"/>
  <c r="H6" i="24"/>
  <c r="F6" i="24"/>
  <c r="J5" i="24"/>
  <c r="I5" i="24"/>
  <c r="G5" i="24"/>
  <c r="H5" i="24"/>
  <c r="F5" i="24"/>
  <c r="J4" i="24"/>
  <c r="I4" i="24"/>
  <c r="G4" i="24"/>
  <c r="H4" i="24"/>
  <c r="F4" i="24"/>
  <c r="J3" i="24"/>
  <c r="I3" i="24"/>
  <c r="G3" i="24"/>
  <c r="F3" i="24"/>
  <c r="G21" i="24"/>
  <c r="J21" i="24"/>
  <c r="F21" i="24"/>
  <c r="J22" i="24"/>
  <c r="I21" i="24"/>
  <c r="H3" i="24"/>
  <c r="F16" i="23"/>
  <c r="G16" i="23"/>
  <c r="H16" i="23"/>
  <c r="I16" i="23"/>
  <c r="J16" i="23"/>
  <c r="W4" i="5"/>
  <c r="W2" i="5"/>
  <c r="W3" i="5"/>
  <c r="W8" i="5"/>
  <c r="J52" i="23"/>
  <c r="J56" i="23"/>
  <c r="D50" i="23"/>
  <c r="C50" i="23"/>
  <c r="C54" i="23"/>
  <c r="B50" i="23"/>
  <c r="B54" i="23"/>
  <c r="E26" i="23"/>
  <c r="K21" i="23"/>
  <c r="E21" i="23"/>
  <c r="D21" i="23"/>
  <c r="B21" i="23"/>
  <c r="J18" i="23"/>
  <c r="I18" i="23"/>
  <c r="G18" i="23"/>
  <c r="H18" i="23"/>
  <c r="F18" i="23"/>
  <c r="J17" i="23"/>
  <c r="I17" i="23"/>
  <c r="G17" i="23"/>
  <c r="H17" i="23"/>
  <c r="F17" i="23"/>
  <c r="J15" i="23"/>
  <c r="I15" i="23"/>
  <c r="G15" i="23"/>
  <c r="H15" i="23"/>
  <c r="F15" i="23"/>
  <c r="J14" i="23"/>
  <c r="I14" i="23"/>
  <c r="G14" i="23"/>
  <c r="H14" i="23"/>
  <c r="F14" i="23"/>
  <c r="J13" i="23"/>
  <c r="I13" i="23"/>
  <c r="G13" i="23"/>
  <c r="H13" i="23"/>
  <c r="F13" i="23"/>
  <c r="J12" i="23"/>
  <c r="I12" i="23"/>
  <c r="G12" i="23"/>
  <c r="H12" i="23"/>
  <c r="F12" i="23"/>
  <c r="J11" i="23"/>
  <c r="I11" i="23"/>
  <c r="G11" i="23"/>
  <c r="H11" i="23"/>
  <c r="F11" i="23"/>
  <c r="J10" i="23"/>
  <c r="I10" i="23"/>
  <c r="G10" i="23"/>
  <c r="H10" i="23"/>
  <c r="F10" i="23"/>
  <c r="J9" i="23"/>
  <c r="I9" i="23"/>
  <c r="G9" i="23"/>
  <c r="H9" i="23"/>
  <c r="F9" i="23"/>
  <c r="J8" i="23"/>
  <c r="I8" i="23"/>
  <c r="G8" i="23"/>
  <c r="H8" i="23"/>
  <c r="F8" i="23"/>
  <c r="J7" i="23"/>
  <c r="I7" i="23"/>
  <c r="G7" i="23"/>
  <c r="H7" i="23"/>
  <c r="F7" i="23"/>
  <c r="J6" i="23"/>
  <c r="I6" i="23"/>
  <c r="G6" i="23"/>
  <c r="H6" i="23"/>
  <c r="F6" i="23"/>
  <c r="J5" i="23"/>
  <c r="I5" i="23"/>
  <c r="G5" i="23"/>
  <c r="H5" i="23"/>
  <c r="F5" i="23"/>
  <c r="J4" i="23"/>
  <c r="I4" i="23"/>
  <c r="G4" i="23"/>
  <c r="H4" i="23"/>
  <c r="F4" i="23"/>
  <c r="J3" i="23"/>
  <c r="I3" i="23"/>
  <c r="G3" i="23"/>
  <c r="H3" i="23"/>
  <c r="F3" i="23"/>
  <c r="J2" i="23"/>
  <c r="I2" i="23"/>
  <c r="G2" i="23"/>
  <c r="F2" i="23"/>
  <c r="V3" i="5"/>
  <c r="U2" i="5"/>
  <c r="U3" i="5"/>
  <c r="U4" i="5"/>
  <c r="U8" i="5"/>
  <c r="V2" i="5"/>
  <c r="V4" i="5"/>
  <c r="T2" i="5"/>
  <c r="T3" i="5"/>
  <c r="T4" i="5"/>
  <c r="T8" i="5"/>
  <c r="V8" i="5"/>
  <c r="J22" i="23"/>
  <c r="F21" i="23"/>
  <c r="G21" i="23"/>
  <c r="I21" i="23"/>
  <c r="J21" i="23"/>
  <c r="H2" i="23"/>
  <c r="P26" i="22"/>
  <c r="P28" i="22"/>
  <c r="M29" i="22"/>
  <c r="M46" i="22"/>
  <c r="M48" i="22"/>
  <c r="F18" i="22"/>
  <c r="G18" i="22"/>
  <c r="H18" i="22"/>
  <c r="I18" i="22"/>
  <c r="J18" i="22"/>
  <c r="E2" i="14"/>
  <c r="D21" i="14"/>
  <c r="C21" i="14"/>
  <c r="B25" i="22"/>
  <c r="B47" i="22"/>
  <c r="J49" i="22"/>
  <c r="J53" i="22"/>
  <c r="D47" i="22"/>
  <c r="C47" i="22"/>
  <c r="C51" i="22"/>
  <c r="B51" i="22"/>
  <c r="E25" i="22"/>
  <c r="K20" i="22"/>
  <c r="E20" i="22"/>
  <c r="D20" i="22"/>
  <c r="B20" i="22"/>
  <c r="J17" i="22"/>
  <c r="I17" i="22"/>
  <c r="G17" i="22"/>
  <c r="H17" i="22"/>
  <c r="F17" i="22"/>
  <c r="J16" i="22"/>
  <c r="I16" i="22"/>
  <c r="G16" i="22"/>
  <c r="H16" i="22"/>
  <c r="F16" i="22"/>
  <c r="J15" i="22"/>
  <c r="I15" i="22"/>
  <c r="G15" i="22"/>
  <c r="H15" i="22"/>
  <c r="F15" i="22"/>
  <c r="J14" i="22"/>
  <c r="I14" i="22"/>
  <c r="G14" i="22"/>
  <c r="H14" i="22"/>
  <c r="F14" i="22"/>
  <c r="J13" i="22"/>
  <c r="I13" i="22"/>
  <c r="G13" i="22"/>
  <c r="H13" i="22"/>
  <c r="F13" i="22"/>
  <c r="J12" i="22"/>
  <c r="I12" i="22"/>
  <c r="G12" i="22"/>
  <c r="H12" i="22"/>
  <c r="F12" i="22"/>
  <c r="J11" i="22"/>
  <c r="I11" i="22"/>
  <c r="G11" i="22"/>
  <c r="H11" i="22"/>
  <c r="F11" i="22"/>
  <c r="J10" i="22"/>
  <c r="I10" i="22"/>
  <c r="G10" i="22"/>
  <c r="H10" i="22"/>
  <c r="F10" i="22"/>
  <c r="J9" i="22"/>
  <c r="I9" i="22"/>
  <c r="G9" i="22"/>
  <c r="H9" i="22"/>
  <c r="F9" i="22"/>
  <c r="J8" i="22"/>
  <c r="I8" i="22"/>
  <c r="G8" i="22"/>
  <c r="H8" i="22"/>
  <c r="F8" i="22"/>
  <c r="J7" i="22"/>
  <c r="I7" i="22"/>
  <c r="G7" i="22"/>
  <c r="H7" i="22"/>
  <c r="F7" i="22"/>
  <c r="J6" i="22"/>
  <c r="I6" i="22"/>
  <c r="G6" i="22"/>
  <c r="H6" i="22"/>
  <c r="F6" i="22"/>
  <c r="J5" i="22"/>
  <c r="I5" i="22"/>
  <c r="G5" i="22"/>
  <c r="H5" i="22"/>
  <c r="F5" i="22"/>
  <c r="J4" i="22"/>
  <c r="I4" i="22"/>
  <c r="G4" i="22"/>
  <c r="H4" i="22"/>
  <c r="F4" i="22"/>
  <c r="J3" i="22"/>
  <c r="I3" i="22"/>
  <c r="G3" i="22"/>
  <c r="H3" i="22"/>
  <c r="F3" i="22"/>
  <c r="J2" i="22"/>
  <c r="I2" i="22"/>
  <c r="G2" i="22"/>
  <c r="F2" i="22"/>
  <c r="F20" i="22"/>
  <c r="G20" i="22"/>
  <c r="J21" i="22"/>
  <c r="I20" i="22"/>
  <c r="J20" i="22"/>
  <c r="H2" i="22"/>
  <c r="F20" i="20"/>
  <c r="G20" i="20"/>
  <c r="H20" i="20"/>
  <c r="I20" i="20"/>
  <c r="J20" i="20"/>
  <c r="B22" i="20"/>
  <c r="H60" i="5"/>
  <c r="F36" i="5"/>
  <c r="J52" i="20"/>
  <c r="J56" i="20"/>
  <c r="D50" i="20"/>
  <c r="C50" i="20"/>
  <c r="C54" i="20"/>
  <c r="B50" i="20"/>
  <c r="K22" i="20"/>
  <c r="E22" i="20"/>
  <c r="D22" i="20"/>
  <c r="J19" i="20"/>
  <c r="I19" i="20"/>
  <c r="G19" i="20"/>
  <c r="H19" i="20"/>
  <c r="F19" i="20"/>
  <c r="J18" i="20"/>
  <c r="I18" i="20"/>
  <c r="G18" i="20"/>
  <c r="H18" i="20"/>
  <c r="F18" i="20"/>
  <c r="J17" i="20"/>
  <c r="I17" i="20"/>
  <c r="G17" i="20"/>
  <c r="H17" i="20"/>
  <c r="F17" i="20"/>
  <c r="J16" i="20"/>
  <c r="I16" i="20"/>
  <c r="G16" i="20"/>
  <c r="H16" i="20"/>
  <c r="F16" i="20"/>
  <c r="J15" i="20"/>
  <c r="I15" i="20"/>
  <c r="G15" i="20"/>
  <c r="H15" i="20"/>
  <c r="F15" i="20"/>
  <c r="J14" i="20"/>
  <c r="I14" i="20"/>
  <c r="G14" i="20"/>
  <c r="H14" i="20"/>
  <c r="F14" i="20"/>
  <c r="J13" i="20"/>
  <c r="I13" i="20"/>
  <c r="G13" i="20"/>
  <c r="H13" i="20"/>
  <c r="F13" i="20"/>
  <c r="J12" i="20"/>
  <c r="I12" i="20"/>
  <c r="G12" i="20"/>
  <c r="H12" i="20"/>
  <c r="F12" i="20"/>
  <c r="J11" i="20"/>
  <c r="I11" i="20"/>
  <c r="G11" i="20"/>
  <c r="H11" i="20"/>
  <c r="F11" i="20"/>
  <c r="J10" i="20"/>
  <c r="I10" i="20"/>
  <c r="G10" i="20"/>
  <c r="H10" i="20"/>
  <c r="F10" i="20"/>
  <c r="J9" i="20"/>
  <c r="I9" i="20"/>
  <c r="G9" i="20"/>
  <c r="H9" i="20"/>
  <c r="F9" i="20"/>
  <c r="J8" i="20"/>
  <c r="I8" i="20"/>
  <c r="G8" i="20"/>
  <c r="H8" i="20"/>
  <c r="F8" i="20"/>
  <c r="J7" i="20"/>
  <c r="I7" i="20"/>
  <c r="G7" i="20"/>
  <c r="H7" i="20"/>
  <c r="F7" i="20"/>
  <c r="J6" i="20"/>
  <c r="I6" i="20"/>
  <c r="G6" i="20"/>
  <c r="H6" i="20"/>
  <c r="F6" i="20"/>
  <c r="J5" i="20"/>
  <c r="I5" i="20"/>
  <c r="G5" i="20"/>
  <c r="H5" i="20"/>
  <c r="F5" i="20"/>
  <c r="J4" i="20"/>
  <c r="I4" i="20"/>
  <c r="G4" i="20"/>
  <c r="H4" i="20"/>
  <c r="F4" i="20"/>
  <c r="J3" i="20"/>
  <c r="I3" i="20"/>
  <c r="G3" i="20"/>
  <c r="H3" i="20"/>
  <c r="F3" i="20"/>
  <c r="J2" i="20"/>
  <c r="I2" i="20"/>
  <c r="G2" i="20"/>
  <c r="F2" i="20"/>
  <c r="B57" i="20"/>
  <c r="B54" i="20"/>
  <c r="J23" i="20"/>
  <c r="F22" i="20"/>
  <c r="G22" i="20"/>
  <c r="I22" i="20"/>
  <c r="J22" i="20"/>
  <c r="H2" i="20"/>
  <c r="H22" i="20"/>
  <c r="B54" i="19"/>
  <c r="F19" i="19"/>
  <c r="G19" i="19"/>
  <c r="H19" i="19"/>
  <c r="I19" i="19"/>
  <c r="J19" i="19"/>
  <c r="J18" i="19"/>
  <c r="B49" i="19"/>
  <c r="J51" i="19"/>
  <c r="J55" i="19"/>
  <c r="D49" i="19"/>
  <c r="E26" i="19"/>
  <c r="C49" i="19"/>
  <c r="C53" i="19"/>
  <c r="K21" i="19"/>
  <c r="E21" i="19"/>
  <c r="D21" i="19"/>
  <c r="B21" i="19"/>
  <c r="I18" i="19"/>
  <c r="G18" i="19"/>
  <c r="H18" i="19"/>
  <c r="F18" i="19"/>
  <c r="J17" i="19"/>
  <c r="I17" i="19"/>
  <c r="G17" i="19"/>
  <c r="H17" i="19"/>
  <c r="F17" i="19"/>
  <c r="J16" i="19"/>
  <c r="I16" i="19"/>
  <c r="G16" i="19"/>
  <c r="H16" i="19"/>
  <c r="F16" i="19"/>
  <c r="J15" i="19"/>
  <c r="I15" i="19"/>
  <c r="G15" i="19"/>
  <c r="H15" i="19"/>
  <c r="F15" i="19"/>
  <c r="J14" i="19"/>
  <c r="I14" i="19"/>
  <c r="G14" i="19"/>
  <c r="H14" i="19"/>
  <c r="F14" i="19"/>
  <c r="J13" i="19"/>
  <c r="I13" i="19"/>
  <c r="G13" i="19"/>
  <c r="H13" i="19"/>
  <c r="F13" i="19"/>
  <c r="J12" i="19"/>
  <c r="I12" i="19"/>
  <c r="G12" i="19"/>
  <c r="H12" i="19"/>
  <c r="F12" i="19"/>
  <c r="J11" i="19"/>
  <c r="I11" i="19"/>
  <c r="G11" i="19"/>
  <c r="H11" i="19"/>
  <c r="F11" i="19"/>
  <c r="J10" i="19"/>
  <c r="I10" i="19"/>
  <c r="G10" i="19"/>
  <c r="H10" i="19"/>
  <c r="F10" i="19"/>
  <c r="J9" i="19"/>
  <c r="I9" i="19"/>
  <c r="G9" i="19"/>
  <c r="H9" i="19"/>
  <c r="F9" i="19"/>
  <c r="J8" i="19"/>
  <c r="I8" i="19"/>
  <c r="G8" i="19"/>
  <c r="H8" i="19"/>
  <c r="F8" i="19"/>
  <c r="J7" i="19"/>
  <c r="I7" i="19"/>
  <c r="G7" i="19"/>
  <c r="H7" i="19"/>
  <c r="F7" i="19"/>
  <c r="J6" i="19"/>
  <c r="I6" i="19"/>
  <c r="G6" i="19"/>
  <c r="H6" i="19"/>
  <c r="F6" i="19"/>
  <c r="J5" i="19"/>
  <c r="I5" i="19"/>
  <c r="G5" i="19"/>
  <c r="H5" i="19"/>
  <c r="F5" i="19"/>
  <c r="J4" i="19"/>
  <c r="I4" i="19"/>
  <c r="G4" i="19"/>
  <c r="H4" i="19"/>
  <c r="F4" i="19"/>
  <c r="J3" i="19"/>
  <c r="I3" i="19"/>
  <c r="G3" i="19"/>
  <c r="H3" i="19"/>
  <c r="F3" i="19"/>
  <c r="J2" i="19"/>
  <c r="I2" i="19"/>
  <c r="G2" i="19"/>
  <c r="H2" i="19"/>
  <c r="F2" i="19"/>
  <c r="J22" i="19"/>
  <c r="B53" i="19"/>
  <c r="B55" i="19"/>
  <c r="J21" i="19"/>
  <c r="I21" i="19"/>
  <c r="F21" i="19"/>
  <c r="G21" i="19"/>
  <c r="F50" i="5"/>
  <c r="F52" i="5"/>
  <c r="F53" i="5"/>
  <c r="F54" i="5"/>
  <c r="F32" i="5"/>
  <c r="F33" i="5"/>
  <c r="F34" i="5"/>
  <c r="F40" i="5"/>
  <c r="F42" i="5"/>
  <c r="F43" i="5"/>
  <c r="E51" i="5"/>
  <c r="D28" i="5"/>
  <c r="E34" i="5"/>
  <c r="S3" i="5"/>
  <c r="S4" i="5"/>
  <c r="S2" i="5"/>
  <c r="S8" i="5"/>
  <c r="F55" i="5"/>
  <c r="E35" i="5"/>
  <c r="E50" i="5"/>
  <c r="F44" i="5"/>
  <c r="E33" i="5"/>
  <c r="F59" i="5"/>
  <c r="E54" i="5"/>
  <c r="E40" i="5"/>
  <c r="E31" i="5"/>
  <c r="E49" i="5"/>
  <c r="E37" i="5"/>
  <c r="E30" i="5"/>
  <c r="E43" i="5"/>
  <c r="E32" i="5"/>
  <c r="E42" i="5"/>
  <c r="E41" i="5"/>
  <c r="E53" i="5"/>
  <c r="E39" i="5"/>
  <c r="E52" i="5"/>
  <c r="E38" i="5"/>
  <c r="E36" i="5"/>
  <c r="B21" i="18"/>
  <c r="F32" i="18"/>
  <c r="F34" i="18"/>
  <c r="F36" i="18"/>
  <c r="D50" i="18"/>
  <c r="J14" i="18"/>
  <c r="J15" i="18"/>
  <c r="J16" i="18"/>
  <c r="J17" i="18"/>
  <c r="F17" i="18"/>
  <c r="G17" i="18"/>
  <c r="H17" i="18"/>
  <c r="I17" i="18"/>
  <c r="B50" i="18"/>
  <c r="C17" i="5"/>
  <c r="D16" i="5"/>
  <c r="Q17" i="5"/>
  <c r="R17" i="5"/>
  <c r="R4" i="5"/>
  <c r="R3" i="5"/>
  <c r="R2" i="5"/>
  <c r="R8" i="5"/>
  <c r="J51" i="18"/>
  <c r="J55" i="18"/>
  <c r="C28" i="18"/>
  <c r="F26" i="18"/>
  <c r="F29" i="18"/>
  <c r="E26" i="18"/>
  <c r="C24" i="18"/>
  <c r="K21" i="18"/>
  <c r="E21" i="18"/>
  <c r="D21" i="18"/>
  <c r="I18" i="18"/>
  <c r="G18" i="18"/>
  <c r="H18" i="18"/>
  <c r="F18" i="18"/>
  <c r="I16" i="18"/>
  <c r="G16" i="18"/>
  <c r="H16" i="18"/>
  <c r="F16" i="18"/>
  <c r="I15" i="18"/>
  <c r="G15" i="18"/>
  <c r="H15" i="18"/>
  <c r="F15" i="18"/>
  <c r="I14" i="18"/>
  <c r="G14" i="18"/>
  <c r="H14" i="18"/>
  <c r="F14" i="18"/>
  <c r="J13" i="18"/>
  <c r="I13" i="18"/>
  <c r="G13" i="18"/>
  <c r="H13" i="18"/>
  <c r="F13" i="18"/>
  <c r="J12" i="18"/>
  <c r="I12" i="18"/>
  <c r="G12" i="18"/>
  <c r="H12" i="18"/>
  <c r="F12" i="18"/>
  <c r="J11" i="18"/>
  <c r="I11" i="18"/>
  <c r="G11" i="18"/>
  <c r="H11" i="18"/>
  <c r="F11" i="18"/>
  <c r="J10" i="18"/>
  <c r="I10" i="18"/>
  <c r="G10" i="18"/>
  <c r="H10" i="18"/>
  <c r="F10" i="18"/>
  <c r="J9" i="18"/>
  <c r="I9" i="18"/>
  <c r="G9" i="18"/>
  <c r="H9" i="18"/>
  <c r="F9" i="18"/>
  <c r="J8" i="18"/>
  <c r="I8" i="18"/>
  <c r="G8" i="18"/>
  <c r="H8" i="18"/>
  <c r="F8" i="18"/>
  <c r="J7" i="18"/>
  <c r="I7" i="18"/>
  <c r="G7" i="18"/>
  <c r="H7" i="18"/>
  <c r="F7" i="18"/>
  <c r="J6" i="18"/>
  <c r="I6" i="18"/>
  <c r="G6" i="18"/>
  <c r="H6" i="18"/>
  <c r="F6" i="18"/>
  <c r="J5" i="18"/>
  <c r="I5" i="18"/>
  <c r="G5" i="18"/>
  <c r="H5" i="18"/>
  <c r="F5" i="18"/>
  <c r="J4" i="18"/>
  <c r="I4" i="18"/>
  <c r="G4" i="18"/>
  <c r="H4" i="18"/>
  <c r="F4" i="18"/>
  <c r="J3" i="18"/>
  <c r="I3" i="18"/>
  <c r="G3" i="18"/>
  <c r="F3" i="18"/>
  <c r="J2" i="18"/>
  <c r="I2" i="18"/>
  <c r="G2" i="18"/>
  <c r="H2" i="18"/>
  <c r="F2" i="18"/>
  <c r="G21" i="18"/>
  <c r="I21" i="18"/>
  <c r="J21" i="18"/>
  <c r="F21" i="18"/>
  <c r="J22" i="18"/>
  <c r="H3" i="18"/>
  <c r="F15" i="17"/>
  <c r="G15" i="17"/>
  <c r="H15" i="17"/>
  <c r="I15" i="17"/>
  <c r="E24" i="17"/>
  <c r="D47" i="17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2" i="16"/>
  <c r="K17" i="16"/>
  <c r="K16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2" i="16"/>
  <c r="I2" i="16"/>
  <c r="C26" i="17"/>
  <c r="E19" i="14"/>
  <c r="E18" i="14"/>
  <c r="E17" i="14"/>
  <c r="E13" i="14"/>
  <c r="E14" i="14"/>
  <c r="E15" i="14"/>
  <c r="E16" i="14"/>
  <c r="E3" i="14"/>
  <c r="E4" i="14"/>
  <c r="E5" i="14"/>
  <c r="E6" i="14"/>
  <c r="E7" i="14"/>
  <c r="E8" i="14"/>
  <c r="E9" i="14"/>
  <c r="E10" i="14"/>
  <c r="E12" i="14"/>
  <c r="E11" i="14"/>
  <c r="E21" i="14"/>
  <c r="E46" i="16"/>
  <c r="D46" i="16"/>
  <c r="P2" i="5"/>
  <c r="P3" i="5"/>
  <c r="Q2" i="5"/>
  <c r="Q3" i="5"/>
  <c r="P4" i="5"/>
  <c r="Q4" i="5"/>
  <c r="C23" i="16"/>
  <c r="C23" i="17"/>
  <c r="C22" i="17"/>
  <c r="J48" i="17"/>
  <c r="J52" i="17"/>
  <c r="F24" i="17"/>
  <c r="F26" i="17"/>
  <c r="K19" i="17"/>
  <c r="E19" i="17"/>
  <c r="D19" i="17"/>
  <c r="B19" i="17"/>
  <c r="I17" i="17"/>
  <c r="G17" i="17"/>
  <c r="H17" i="17"/>
  <c r="F17" i="17"/>
  <c r="I16" i="17"/>
  <c r="G16" i="17"/>
  <c r="H16" i="17"/>
  <c r="F16" i="17"/>
  <c r="I14" i="17"/>
  <c r="G14" i="17"/>
  <c r="H14" i="17"/>
  <c r="F14" i="17"/>
  <c r="J13" i="17"/>
  <c r="I13" i="17"/>
  <c r="G13" i="17"/>
  <c r="H13" i="17"/>
  <c r="F13" i="17"/>
  <c r="J12" i="17"/>
  <c r="I12" i="17"/>
  <c r="G12" i="17"/>
  <c r="H12" i="17"/>
  <c r="F12" i="17"/>
  <c r="J11" i="17"/>
  <c r="I11" i="17"/>
  <c r="G11" i="17"/>
  <c r="H11" i="17"/>
  <c r="F11" i="17"/>
  <c r="J10" i="17"/>
  <c r="I10" i="17"/>
  <c r="G10" i="17"/>
  <c r="H10" i="17"/>
  <c r="F10" i="17"/>
  <c r="J9" i="17"/>
  <c r="I9" i="17"/>
  <c r="G9" i="17"/>
  <c r="H9" i="17"/>
  <c r="F9" i="17"/>
  <c r="J8" i="17"/>
  <c r="I8" i="17"/>
  <c r="G8" i="17"/>
  <c r="H8" i="17"/>
  <c r="F8" i="17"/>
  <c r="J7" i="17"/>
  <c r="I7" i="17"/>
  <c r="G7" i="17"/>
  <c r="H7" i="17"/>
  <c r="F7" i="17"/>
  <c r="J6" i="17"/>
  <c r="I6" i="17"/>
  <c r="G6" i="17"/>
  <c r="H6" i="17"/>
  <c r="F6" i="17"/>
  <c r="J5" i="17"/>
  <c r="I5" i="17"/>
  <c r="G5" i="17"/>
  <c r="H5" i="17"/>
  <c r="F5" i="17"/>
  <c r="J4" i="17"/>
  <c r="I4" i="17"/>
  <c r="G4" i="17"/>
  <c r="H4" i="17"/>
  <c r="F4" i="17"/>
  <c r="J3" i="17"/>
  <c r="I3" i="17"/>
  <c r="G3" i="17"/>
  <c r="H3" i="17"/>
  <c r="F3" i="17"/>
  <c r="J2" i="17"/>
  <c r="I2" i="17"/>
  <c r="G2" i="17"/>
  <c r="H2" i="17"/>
  <c r="F2" i="17"/>
  <c r="B46" i="16"/>
  <c r="Q8" i="5"/>
  <c r="H19" i="17"/>
  <c r="P8" i="5"/>
  <c r="J20" i="17"/>
  <c r="I19" i="17"/>
  <c r="F19" i="17"/>
  <c r="J19" i="17"/>
  <c r="G19" i="17"/>
  <c r="B50" i="16"/>
  <c r="G37" i="16"/>
  <c r="G39" i="16"/>
  <c r="F24" i="16"/>
  <c r="F26" i="16"/>
  <c r="E24" i="16"/>
  <c r="C22" i="16"/>
  <c r="M19" i="16"/>
  <c r="E19" i="16"/>
  <c r="D19" i="16"/>
  <c r="B19" i="16"/>
  <c r="I17" i="16"/>
  <c r="G17" i="16"/>
  <c r="H17" i="16"/>
  <c r="F17" i="16"/>
  <c r="I16" i="16"/>
  <c r="G16" i="16"/>
  <c r="H16" i="16"/>
  <c r="F16" i="16"/>
  <c r="I15" i="16"/>
  <c r="G15" i="16"/>
  <c r="H15" i="16"/>
  <c r="F15" i="16"/>
  <c r="L14" i="16"/>
  <c r="I14" i="16"/>
  <c r="G14" i="16"/>
  <c r="H14" i="16"/>
  <c r="F14" i="16"/>
  <c r="L13" i="16"/>
  <c r="I13" i="16"/>
  <c r="G13" i="16"/>
  <c r="H13" i="16"/>
  <c r="F13" i="16"/>
  <c r="L12" i="16"/>
  <c r="I12" i="16"/>
  <c r="G12" i="16"/>
  <c r="H12" i="16"/>
  <c r="F12" i="16"/>
  <c r="L11" i="16"/>
  <c r="I11" i="16"/>
  <c r="G11" i="16"/>
  <c r="H11" i="16"/>
  <c r="F11" i="16"/>
  <c r="L10" i="16"/>
  <c r="I10" i="16"/>
  <c r="G10" i="16"/>
  <c r="H10" i="16"/>
  <c r="F10" i="16"/>
  <c r="L9" i="16"/>
  <c r="I9" i="16"/>
  <c r="G9" i="16"/>
  <c r="H9" i="16"/>
  <c r="F9" i="16"/>
  <c r="L8" i="16"/>
  <c r="I8" i="16"/>
  <c r="G8" i="16"/>
  <c r="H8" i="16"/>
  <c r="F8" i="16"/>
  <c r="L7" i="16"/>
  <c r="I7" i="16"/>
  <c r="G7" i="16"/>
  <c r="H7" i="16"/>
  <c r="F7" i="16"/>
  <c r="L6" i="16"/>
  <c r="I6" i="16"/>
  <c r="G6" i="16"/>
  <c r="H6" i="16"/>
  <c r="F6" i="16"/>
  <c r="L5" i="16"/>
  <c r="I5" i="16"/>
  <c r="G5" i="16"/>
  <c r="H5" i="16"/>
  <c r="F5" i="16"/>
  <c r="L4" i="16"/>
  <c r="I4" i="16"/>
  <c r="G4" i="16"/>
  <c r="H4" i="16"/>
  <c r="F4" i="16"/>
  <c r="L3" i="16"/>
  <c r="I3" i="16"/>
  <c r="G3" i="16"/>
  <c r="H3" i="16"/>
  <c r="F3" i="16"/>
  <c r="L2" i="16"/>
  <c r="G2" i="16"/>
  <c r="H2" i="16"/>
  <c r="F2" i="16"/>
  <c r="L20" i="16"/>
  <c r="C46" i="16"/>
  <c r="C50" i="16"/>
  <c r="L19" i="16"/>
  <c r="F19" i="16"/>
  <c r="G19" i="16"/>
  <c r="I19" i="16"/>
  <c r="J8" i="15"/>
  <c r="J44" i="15"/>
  <c r="J48" i="15"/>
  <c r="G37" i="15"/>
  <c r="G39" i="15"/>
  <c r="B44" i="15"/>
  <c r="B48" i="15"/>
  <c r="E24" i="15"/>
  <c r="C22" i="15"/>
  <c r="C44" i="15"/>
  <c r="C48" i="15"/>
  <c r="M17" i="5"/>
  <c r="C16" i="5"/>
  <c r="L17" i="5"/>
  <c r="G17" i="5"/>
  <c r="K17" i="5"/>
  <c r="J17" i="5"/>
  <c r="I17" i="5"/>
  <c r="H17" i="5"/>
  <c r="P17" i="5"/>
  <c r="O17" i="5"/>
  <c r="N17" i="5"/>
  <c r="F24" i="15"/>
  <c r="F26" i="15"/>
  <c r="K19" i="15"/>
  <c r="E19" i="15"/>
  <c r="D19" i="15"/>
  <c r="B19" i="15"/>
  <c r="I17" i="15"/>
  <c r="G17" i="15"/>
  <c r="H17" i="15"/>
  <c r="F17" i="15"/>
  <c r="I16" i="15"/>
  <c r="G16" i="15"/>
  <c r="H16" i="15"/>
  <c r="F16" i="15"/>
  <c r="I15" i="15"/>
  <c r="G15" i="15"/>
  <c r="H15" i="15"/>
  <c r="F15" i="15"/>
  <c r="J14" i="15"/>
  <c r="I14" i="15"/>
  <c r="G14" i="15"/>
  <c r="H14" i="15"/>
  <c r="F14" i="15"/>
  <c r="J13" i="15"/>
  <c r="I13" i="15"/>
  <c r="G13" i="15"/>
  <c r="H13" i="15"/>
  <c r="F13" i="15"/>
  <c r="J12" i="15"/>
  <c r="I12" i="15"/>
  <c r="G12" i="15"/>
  <c r="H12" i="15"/>
  <c r="F12" i="15"/>
  <c r="J11" i="15"/>
  <c r="I11" i="15"/>
  <c r="G11" i="15"/>
  <c r="H11" i="15"/>
  <c r="F11" i="15"/>
  <c r="J10" i="15"/>
  <c r="I10" i="15"/>
  <c r="G10" i="15"/>
  <c r="H10" i="15"/>
  <c r="F10" i="15"/>
  <c r="J9" i="15"/>
  <c r="I9" i="15"/>
  <c r="G9" i="15"/>
  <c r="H9" i="15"/>
  <c r="F9" i="15"/>
  <c r="I8" i="15"/>
  <c r="G8" i="15"/>
  <c r="H8" i="15"/>
  <c r="F8" i="15"/>
  <c r="J7" i="15"/>
  <c r="I7" i="15"/>
  <c r="G7" i="15"/>
  <c r="H7" i="15"/>
  <c r="F7" i="15"/>
  <c r="J6" i="15"/>
  <c r="I6" i="15"/>
  <c r="G6" i="15"/>
  <c r="H6" i="15"/>
  <c r="F6" i="15"/>
  <c r="J5" i="15"/>
  <c r="I5" i="15"/>
  <c r="G5" i="15"/>
  <c r="H5" i="15"/>
  <c r="F5" i="15"/>
  <c r="J4" i="15"/>
  <c r="I4" i="15"/>
  <c r="G4" i="15"/>
  <c r="H4" i="15"/>
  <c r="F4" i="15"/>
  <c r="J3" i="15"/>
  <c r="I3" i="15"/>
  <c r="G3" i="15"/>
  <c r="H3" i="15"/>
  <c r="F3" i="15"/>
  <c r="J2" i="15"/>
  <c r="I2" i="15"/>
  <c r="G2" i="15"/>
  <c r="H2" i="15"/>
  <c r="F2" i="15"/>
  <c r="D32" i="13"/>
  <c r="F12" i="13"/>
  <c r="G12" i="13"/>
  <c r="H12" i="13"/>
  <c r="I12" i="13"/>
  <c r="J12" i="13"/>
  <c r="C30" i="13"/>
  <c r="C51" i="13"/>
  <c r="O2" i="5"/>
  <c r="O4" i="5"/>
  <c r="O3" i="5"/>
  <c r="N3" i="5"/>
  <c r="N4" i="5"/>
  <c r="J20" i="15"/>
  <c r="F19" i="15"/>
  <c r="I19" i="15"/>
  <c r="J19" i="15"/>
  <c r="G19" i="15"/>
  <c r="B51" i="13"/>
  <c r="F32" i="13"/>
  <c r="F34" i="13"/>
  <c r="B28" i="13"/>
  <c r="L27" i="13"/>
  <c r="B26" i="13"/>
  <c r="B24" i="13"/>
  <c r="K19" i="13"/>
  <c r="E19" i="13"/>
  <c r="D19" i="13"/>
  <c r="B19" i="13"/>
  <c r="B21" i="13"/>
  <c r="I17" i="13"/>
  <c r="G17" i="13"/>
  <c r="H17" i="13"/>
  <c r="F17" i="13"/>
  <c r="I16" i="13"/>
  <c r="G16" i="13"/>
  <c r="H16" i="13"/>
  <c r="F16" i="13"/>
  <c r="I15" i="13"/>
  <c r="G15" i="13"/>
  <c r="H15" i="13"/>
  <c r="F15" i="13"/>
  <c r="J14" i="13"/>
  <c r="I14" i="13"/>
  <c r="G14" i="13"/>
  <c r="H14" i="13"/>
  <c r="F14" i="13"/>
  <c r="J13" i="13"/>
  <c r="I13" i="13"/>
  <c r="G13" i="13"/>
  <c r="H13" i="13"/>
  <c r="F13" i="13"/>
  <c r="J11" i="13"/>
  <c r="I11" i="13"/>
  <c r="G11" i="13"/>
  <c r="H11" i="13"/>
  <c r="F11" i="13"/>
  <c r="J10" i="13"/>
  <c r="I10" i="13"/>
  <c r="G10" i="13"/>
  <c r="H10" i="13"/>
  <c r="F10" i="13"/>
  <c r="J9" i="13"/>
  <c r="I9" i="13"/>
  <c r="G9" i="13"/>
  <c r="H9" i="13"/>
  <c r="F9" i="13"/>
  <c r="J8" i="13"/>
  <c r="I8" i="13"/>
  <c r="G8" i="13"/>
  <c r="H8" i="13"/>
  <c r="F8" i="13"/>
  <c r="J7" i="13"/>
  <c r="I7" i="13"/>
  <c r="G7" i="13"/>
  <c r="H7" i="13"/>
  <c r="F7" i="13"/>
  <c r="J6" i="13"/>
  <c r="I6" i="13"/>
  <c r="G6" i="13"/>
  <c r="H6" i="13"/>
  <c r="F6" i="13"/>
  <c r="J5" i="13"/>
  <c r="I5" i="13"/>
  <c r="G5" i="13"/>
  <c r="H5" i="13"/>
  <c r="F5" i="13"/>
  <c r="J4" i="13"/>
  <c r="I4" i="13"/>
  <c r="G4" i="13"/>
  <c r="H4" i="13"/>
  <c r="F4" i="13"/>
  <c r="J3" i="13"/>
  <c r="I3" i="13"/>
  <c r="G3" i="13"/>
  <c r="H3" i="13"/>
  <c r="F3" i="13"/>
  <c r="J2" i="13"/>
  <c r="I2" i="13"/>
  <c r="G2" i="13"/>
  <c r="H2" i="13"/>
  <c r="F2" i="13"/>
  <c r="N2" i="5"/>
  <c r="M2" i="5"/>
  <c r="M4" i="5"/>
  <c r="M3" i="5"/>
  <c r="L2" i="5"/>
  <c r="L4" i="5"/>
  <c r="L3" i="5"/>
  <c r="H4" i="5"/>
  <c r="N8" i="5"/>
  <c r="O8" i="5"/>
  <c r="I19" i="13"/>
  <c r="L8" i="5"/>
  <c r="J19" i="13"/>
  <c r="G19" i="13"/>
  <c r="F19" i="13"/>
  <c r="J20" i="13"/>
  <c r="M8" i="5"/>
  <c r="J13" i="12"/>
  <c r="J3" i="12"/>
  <c r="J4" i="12"/>
  <c r="J5" i="12"/>
  <c r="J6" i="12"/>
  <c r="J7" i="12"/>
  <c r="J8" i="12"/>
  <c r="J9" i="12"/>
  <c r="J10" i="12"/>
  <c r="J11" i="12"/>
  <c r="J1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2" i="12"/>
  <c r="D29" i="12"/>
  <c r="D18" i="12"/>
  <c r="D29" i="11"/>
  <c r="D31" i="11"/>
  <c r="B48" i="12"/>
  <c r="C48" i="12"/>
  <c r="F31" i="12"/>
  <c r="F33" i="12"/>
  <c r="D31" i="12"/>
  <c r="B27" i="12"/>
  <c r="L26" i="12"/>
  <c r="B25" i="12"/>
  <c r="B23" i="12"/>
  <c r="K18" i="12"/>
  <c r="E18" i="12"/>
  <c r="B18" i="12"/>
  <c r="J19" i="12"/>
  <c r="J2" i="12"/>
  <c r="I2" i="12"/>
  <c r="G2" i="12"/>
  <c r="C48" i="11"/>
  <c r="G18" i="12"/>
  <c r="H2" i="12"/>
  <c r="F18" i="12"/>
  <c r="I18" i="12"/>
  <c r="J18" i="12"/>
  <c r="B48" i="11"/>
  <c r="F31" i="11"/>
  <c r="F33" i="11"/>
  <c r="B27" i="11"/>
  <c r="L26" i="11"/>
  <c r="B25" i="11"/>
  <c r="B23" i="11"/>
  <c r="K18" i="11"/>
  <c r="E18" i="11"/>
  <c r="D18" i="11"/>
  <c r="B18" i="11"/>
  <c r="J19" i="11"/>
  <c r="I16" i="11"/>
  <c r="G16" i="11"/>
  <c r="H16" i="11"/>
  <c r="F16" i="11"/>
  <c r="I15" i="11"/>
  <c r="G15" i="11"/>
  <c r="H15" i="11"/>
  <c r="F15" i="11"/>
  <c r="I14" i="11"/>
  <c r="G14" i="11"/>
  <c r="H14" i="11"/>
  <c r="F14" i="11"/>
  <c r="I13" i="11"/>
  <c r="G13" i="11"/>
  <c r="H13" i="11"/>
  <c r="F13" i="11"/>
  <c r="J12" i="11"/>
  <c r="I12" i="11"/>
  <c r="G12" i="11"/>
  <c r="H12" i="11"/>
  <c r="F12" i="11"/>
  <c r="J11" i="11"/>
  <c r="I11" i="11"/>
  <c r="G11" i="11"/>
  <c r="H11" i="11"/>
  <c r="F11" i="11"/>
  <c r="J10" i="11"/>
  <c r="I10" i="11"/>
  <c r="G10" i="11"/>
  <c r="H10" i="11"/>
  <c r="F10" i="11"/>
  <c r="J9" i="11"/>
  <c r="I9" i="11"/>
  <c r="G9" i="11"/>
  <c r="H9" i="11"/>
  <c r="F9" i="11"/>
  <c r="J8" i="11"/>
  <c r="I8" i="11"/>
  <c r="G8" i="11"/>
  <c r="H8" i="11"/>
  <c r="F8" i="11"/>
  <c r="J7" i="11"/>
  <c r="I7" i="11"/>
  <c r="G7" i="11"/>
  <c r="H7" i="11"/>
  <c r="F7" i="11"/>
  <c r="J6" i="11"/>
  <c r="I6" i="11"/>
  <c r="G6" i="11"/>
  <c r="H6" i="11"/>
  <c r="F6" i="11"/>
  <c r="J5" i="11"/>
  <c r="I5" i="11"/>
  <c r="G5" i="11"/>
  <c r="H5" i="11"/>
  <c r="F5" i="11"/>
  <c r="J4" i="11"/>
  <c r="I4" i="11"/>
  <c r="G4" i="11"/>
  <c r="H4" i="11"/>
  <c r="F4" i="11"/>
  <c r="J3" i="11"/>
  <c r="I3" i="11"/>
  <c r="G3" i="11"/>
  <c r="H3" i="11"/>
  <c r="F3" i="11"/>
  <c r="J2" i="11"/>
  <c r="I2" i="11"/>
  <c r="G2" i="11"/>
  <c r="F2" i="11"/>
  <c r="B48" i="10"/>
  <c r="D31" i="10"/>
  <c r="F16" i="10"/>
  <c r="G16" i="10"/>
  <c r="H16" i="10"/>
  <c r="I16" i="10"/>
  <c r="F15" i="10"/>
  <c r="G15" i="10"/>
  <c r="H15" i="10"/>
  <c r="I15" i="10"/>
  <c r="E18" i="10"/>
  <c r="G18" i="11"/>
  <c r="I18" i="11"/>
  <c r="J18" i="11"/>
  <c r="F18" i="11"/>
  <c r="H2" i="11"/>
  <c r="F31" i="10"/>
  <c r="F33" i="10"/>
  <c r="B27" i="10"/>
  <c r="L26" i="10"/>
  <c r="B25" i="10"/>
  <c r="B23" i="10"/>
  <c r="K18" i="10"/>
  <c r="D18" i="10"/>
  <c r="B18" i="10"/>
  <c r="I14" i="10"/>
  <c r="G14" i="10"/>
  <c r="H14" i="10"/>
  <c r="F14" i="10"/>
  <c r="I13" i="10"/>
  <c r="G13" i="10"/>
  <c r="H13" i="10"/>
  <c r="F13" i="10"/>
  <c r="J12" i="10"/>
  <c r="I12" i="10"/>
  <c r="G12" i="10"/>
  <c r="H12" i="10"/>
  <c r="F12" i="10"/>
  <c r="J11" i="10"/>
  <c r="I11" i="10"/>
  <c r="G11" i="10"/>
  <c r="H11" i="10"/>
  <c r="F11" i="10"/>
  <c r="J10" i="10"/>
  <c r="I10" i="10"/>
  <c r="G10" i="10"/>
  <c r="H10" i="10"/>
  <c r="F10" i="10"/>
  <c r="J9" i="10"/>
  <c r="I9" i="10"/>
  <c r="G9" i="10"/>
  <c r="H9" i="10"/>
  <c r="F9" i="10"/>
  <c r="J8" i="10"/>
  <c r="I8" i="10"/>
  <c r="G8" i="10"/>
  <c r="H8" i="10"/>
  <c r="F8" i="10"/>
  <c r="J7" i="10"/>
  <c r="I7" i="10"/>
  <c r="G7" i="10"/>
  <c r="H7" i="10"/>
  <c r="F7" i="10"/>
  <c r="J6" i="10"/>
  <c r="I6" i="10"/>
  <c r="G6" i="10"/>
  <c r="H6" i="10"/>
  <c r="F6" i="10"/>
  <c r="J5" i="10"/>
  <c r="I5" i="10"/>
  <c r="G5" i="10"/>
  <c r="H5" i="10"/>
  <c r="F5" i="10"/>
  <c r="J4" i="10"/>
  <c r="I4" i="10"/>
  <c r="G4" i="10"/>
  <c r="H4" i="10"/>
  <c r="F4" i="10"/>
  <c r="J3" i="10"/>
  <c r="I3" i="10"/>
  <c r="G3" i="10"/>
  <c r="H3" i="10"/>
  <c r="F3" i="10"/>
  <c r="J2" i="10"/>
  <c r="I2" i="10"/>
  <c r="G2" i="10"/>
  <c r="F2" i="10"/>
  <c r="F18" i="10"/>
  <c r="J18" i="10"/>
  <c r="J19" i="10"/>
  <c r="I18" i="10"/>
  <c r="G18" i="10"/>
  <c r="H2" i="10"/>
  <c r="K4" i="5"/>
  <c r="K3" i="5"/>
  <c r="K2" i="5"/>
  <c r="J2" i="5"/>
  <c r="G2" i="5"/>
  <c r="H2" i="5"/>
  <c r="I2" i="5"/>
  <c r="F2" i="5"/>
  <c r="K8" i="5"/>
  <c r="AD2" i="5"/>
  <c r="B45" i="9"/>
  <c r="F29" i="9"/>
  <c r="F31" i="9"/>
  <c r="D29" i="9"/>
  <c r="B25" i="9"/>
  <c r="L24" i="9"/>
  <c r="B23" i="9"/>
  <c r="B21" i="9"/>
  <c r="K16" i="9"/>
  <c r="E16" i="9"/>
  <c r="D16" i="9"/>
  <c r="B16" i="9"/>
  <c r="J11" i="9"/>
  <c r="I11" i="9"/>
  <c r="G11" i="9"/>
  <c r="H11" i="9"/>
  <c r="F11" i="9"/>
  <c r="I14" i="9"/>
  <c r="G14" i="9"/>
  <c r="H14" i="9"/>
  <c r="F14" i="9"/>
  <c r="J2" i="9"/>
  <c r="I2" i="9"/>
  <c r="G2" i="9"/>
  <c r="H2" i="9"/>
  <c r="F2" i="9"/>
  <c r="J12" i="9"/>
  <c r="I12" i="9"/>
  <c r="G12" i="9"/>
  <c r="H12" i="9"/>
  <c r="F12" i="9"/>
  <c r="J10" i="9"/>
  <c r="I10" i="9"/>
  <c r="G10" i="9"/>
  <c r="H10" i="9"/>
  <c r="F10" i="9"/>
  <c r="J9" i="9"/>
  <c r="I9" i="9"/>
  <c r="G9" i="9"/>
  <c r="H9" i="9"/>
  <c r="F9" i="9"/>
  <c r="J3" i="9"/>
  <c r="I3" i="9"/>
  <c r="G3" i="9"/>
  <c r="H3" i="9"/>
  <c r="F3" i="9"/>
  <c r="J6" i="9"/>
  <c r="I6" i="9"/>
  <c r="G6" i="9"/>
  <c r="H6" i="9"/>
  <c r="F6" i="9"/>
  <c r="I13" i="9"/>
  <c r="G13" i="9"/>
  <c r="H13" i="9"/>
  <c r="F13" i="9"/>
  <c r="J5" i="9"/>
  <c r="I5" i="9"/>
  <c r="G5" i="9"/>
  <c r="H5" i="9"/>
  <c r="F5" i="9"/>
  <c r="J8" i="9"/>
  <c r="I8" i="9"/>
  <c r="G8" i="9"/>
  <c r="H8" i="9"/>
  <c r="F8" i="9"/>
  <c r="J4" i="9"/>
  <c r="I4" i="9"/>
  <c r="G4" i="9"/>
  <c r="H4" i="9"/>
  <c r="F4" i="9"/>
  <c r="J7" i="9"/>
  <c r="I7" i="9"/>
  <c r="G7" i="9"/>
  <c r="F7" i="9"/>
  <c r="J17" i="9"/>
  <c r="F16" i="9"/>
  <c r="J16" i="9"/>
  <c r="I16" i="9"/>
  <c r="G16" i="9"/>
  <c r="H7" i="9"/>
  <c r="J4" i="5"/>
  <c r="J3" i="5"/>
  <c r="E16" i="5"/>
  <c r="E17" i="5"/>
  <c r="F16" i="5"/>
  <c r="F17" i="5"/>
  <c r="I4" i="5"/>
  <c r="I3" i="5"/>
  <c r="H3" i="5"/>
  <c r="F13" i="8"/>
  <c r="G13" i="8"/>
  <c r="H13" i="8"/>
  <c r="I13" i="8"/>
  <c r="D29" i="8"/>
  <c r="F6" i="8"/>
  <c r="G6" i="8"/>
  <c r="H6" i="8"/>
  <c r="I6" i="8"/>
  <c r="F8" i="8"/>
  <c r="G8" i="8"/>
  <c r="H8" i="8"/>
  <c r="I8" i="8"/>
  <c r="J8" i="8"/>
  <c r="C14" i="5"/>
  <c r="E23" i="5"/>
  <c r="C11" i="5"/>
  <c r="E22" i="5"/>
  <c r="C10" i="5"/>
  <c r="D17" i="5"/>
  <c r="F29" i="8"/>
  <c r="F31" i="8"/>
  <c r="B44" i="8"/>
  <c r="B25" i="8"/>
  <c r="L24" i="8"/>
  <c r="B23" i="8"/>
  <c r="B21" i="8"/>
  <c r="K16" i="8"/>
  <c r="E16" i="8"/>
  <c r="D16" i="8"/>
  <c r="B16" i="8"/>
  <c r="J14" i="8"/>
  <c r="I14" i="8"/>
  <c r="G14" i="8"/>
  <c r="H14" i="8"/>
  <c r="F14" i="8"/>
  <c r="J12" i="8"/>
  <c r="I12" i="8"/>
  <c r="G12" i="8"/>
  <c r="H12" i="8"/>
  <c r="F12" i="8"/>
  <c r="J11" i="8"/>
  <c r="I11" i="8"/>
  <c r="G11" i="8"/>
  <c r="H11" i="8"/>
  <c r="F11" i="8"/>
  <c r="J9" i="8"/>
  <c r="I9" i="8"/>
  <c r="G9" i="8"/>
  <c r="H9" i="8"/>
  <c r="F9" i="8"/>
  <c r="J10" i="8"/>
  <c r="I10" i="8"/>
  <c r="G10" i="8"/>
  <c r="H10" i="8"/>
  <c r="F10" i="8"/>
  <c r="J3" i="8"/>
  <c r="I3" i="8"/>
  <c r="G3" i="8"/>
  <c r="H3" i="8"/>
  <c r="F3" i="8"/>
  <c r="J5" i="8"/>
  <c r="I5" i="8"/>
  <c r="G5" i="8"/>
  <c r="H5" i="8"/>
  <c r="F5" i="8"/>
  <c r="J7" i="8"/>
  <c r="I7" i="8"/>
  <c r="G7" i="8"/>
  <c r="H7" i="8"/>
  <c r="F7" i="8"/>
  <c r="J4" i="8"/>
  <c r="I4" i="8"/>
  <c r="G4" i="8"/>
  <c r="H4" i="8"/>
  <c r="F4" i="8"/>
  <c r="J2" i="8"/>
  <c r="I2" i="8"/>
  <c r="G2" i="8"/>
  <c r="H2" i="8"/>
  <c r="F2" i="8"/>
  <c r="F16" i="8"/>
  <c r="K14" i="7"/>
  <c r="J17" i="8"/>
  <c r="C41" i="7"/>
  <c r="B41" i="7"/>
  <c r="B23" i="7"/>
  <c r="L22" i="7"/>
  <c r="B21" i="7"/>
  <c r="B19" i="7"/>
  <c r="E14" i="7"/>
  <c r="D14" i="7"/>
  <c r="B14" i="7"/>
  <c r="J15" i="7"/>
  <c r="J12" i="7"/>
  <c r="I12" i="7"/>
  <c r="G12" i="7"/>
  <c r="H12" i="7"/>
  <c r="F12" i="7"/>
  <c r="J11" i="7"/>
  <c r="I11" i="7"/>
  <c r="G11" i="7"/>
  <c r="H11" i="7"/>
  <c r="F11" i="7"/>
  <c r="J10" i="7"/>
  <c r="I10" i="7"/>
  <c r="G10" i="7"/>
  <c r="H10" i="7"/>
  <c r="F10" i="7"/>
  <c r="J9" i="7"/>
  <c r="I9" i="7"/>
  <c r="G9" i="7"/>
  <c r="H9" i="7"/>
  <c r="F9" i="7"/>
  <c r="J8" i="7"/>
  <c r="I8" i="7"/>
  <c r="G8" i="7"/>
  <c r="H8" i="7"/>
  <c r="F8" i="7"/>
  <c r="J7" i="7"/>
  <c r="I7" i="7"/>
  <c r="G7" i="7"/>
  <c r="H7" i="7"/>
  <c r="F7" i="7"/>
  <c r="J6" i="7"/>
  <c r="I6" i="7"/>
  <c r="G6" i="7"/>
  <c r="H6" i="7"/>
  <c r="F6" i="7"/>
  <c r="J5" i="7"/>
  <c r="I5" i="7"/>
  <c r="G5" i="7"/>
  <c r="H5" i="7"/>
  <c r="F5" i="7"/>
  <c r="J4" i="7"/>
  <c r="I4" i="7"/>
  <c r="G4" i="7"/>
  <c r="H4" i="7"/>
  <c r="F4" i="7"/>
  <c r="J3" i="7"/>
  <c r="J2" i="7"/>
  <c r="J14" i="7"/>
  <c r="I3" i="7"/>
  <c r="G3" i="7"/>
  <c r="H3" i="7"/>
  <c r="F3" i="7"/>
  <c r="I2" i="7"/>
  <c r="G2" i="7"/>
  <c r="F2" i="7"/>
  <c r="H2" i="7"/>
  <c r="E8" i="5"/>
  <c r="C8" i="5"/>
  <c r="E14" i="6"/>
  <c r="C41" i="6"/>
  <c r="B41" i="6"/>
  <c r="B23" i="6"/>
  <c r="L22" i="6"/>
  <c r="B21" i="6"/>
  <c r="B19" i="6"/>
  <c r="D14" i="6"/>
  <c r="B14" i="6"/>
  <c r="J15" i="6"/>
  <c r="J12" i="6"/>
  <c r="I12" i="6"/>
  <c r="G12" i="6"/>
  <c r="H12" i="6"/>
  <c r="F12" i="6"/>
  <c r="J11" i="6"/>
  <c r="I11" i="6"/>
  <c r="G11" i="6"/>
  <c r="H11" i="6"/>
  <c r="F11" i="6"/>
  <c r="J10" i="6"/>
  <c r="I10" i="6"/>
  <c r="G10" i="6"/>
  <c r="H10" i="6"/>
  <c r="F10" i="6"/>
  <c r="J9" i="6"/>
  <c r="I9" i="6"/>
  <c r="G9" i="6"/>
  <c r="H9" i="6"/>
  <c r="F9" i="6"/>
  <c r="J8" i="6"/>
  <c r="I8" i="6"/>
  <c r="G8" i="6"/>
  <c r="H8" i="6"/>
  <c r="F8" i="6"/>
  <c r="J7" i="6"/>
  <c r="I7" i="6"/>
  <c r="G7" i="6"/>
  <c r="H7" i="6"/>
  <c r="F7" i="6"/>
  <c r="J6" i="6"/>
  <c r="I6" i="6"/>
  <c r="G6" i="6"/>
  <c r="H6" i="6"/>
  <c r="F6" i="6"/>
  <c r="J5" i="6"/>
  <c r="I5" i="6"/>
  <c r="G5" i="6"/>
  <c r="H5" i="6"/>
  <c r="F5" i="6"/>
  <c r="J4" i="6"/>
  <c r="I4" i="6"/>
  <c r="G4" i="6"/>
  <c r="H4" i="6"/>
  <c r="F4" i="6"/>
  <c r="J3" i="6"/>
  <c r="I3" i="6"/>
  <c r="G3" i="6"/>
  <c r="H3" i="6"/>
  <c r="F3" i="6"/>
  <c r="J2" i="6"/>
  <c r="I2" i="6"/>
  <c r="G2" i="6"/>
  <c r="F2" i="6"/>
  <c r="F14" i="6"/>
  <c r="B41" i="4"/>
  <c r="G3" i="5"/>
  <c r="G8" i="5"/>
  <c r="H2" i="6"/>
  <c r="C41" i="4"/>
  <c r="B23" i="4"/>
  <c r="L22" i="4"/>
  <c r="B21" i="4"/>
  <c r="B19" i="4"/>
  <c r="D14" i="4"/>
  <c r="B14" i="4"/>
  <c r="J12" i="4"/>
  <c r="I12" i="4"/>
  <c r="G12" i="4"/>
  <c r="H12" i="4"/>
  <c r="F12" i="4"/>
  <c r="J11" i="4"/>
  <c r="I11" i="4"/>
  <c r="G11" i="4"/>
  <c r="H11" i="4"/>
  <c r="F11" i="4"/>
  <c r="J10" i="4"/>
  <c r="I10" i="4"/>
  <c r="G10" i="4"/>
  <c r="H10" i="4"/>
  <c r="F10" i="4"/>
  <c r="J9" i="4"/>
  <c r="I9" i="4"/>
  <c r="G9" i="4"/>
  <c r="H9" i="4"/>
  <c r="F9" i="4"/>
  <c r="J8" i="4"/>
  <c r="I8" i="4"/>
  <c r="G8" i="4"/>
  <c r="H8" i="4"/>
  <c r="F8" i="4"/>
  <c r="J7" i="4"/>
  <c r="I7" i="4"/>
  <c r="G7" i="4"/>
  <c r="H7" i="4"/>
  <c r="F7" i="4"/>
  <c r="J6" i="4"/>
  <c r="I6" i="4"/>
  <c r="G6" i="4"/>
  <c r="H6" i="4"/>
  <c r="F6" i="4"/>
  <c r="J5" i="4"/>
  <c r="I5" i="4"/>
  <c r="G5" i="4"/>
  <c r="H5" i="4"/>
  <c r="F5" i="4"/>
  <c r="J4" i="4"/>
  <c r="I4" i="4"/>
  <c r="G4" i="4"/>
  <c r="H4" i="4"/>
  <c r="F4" i="4"/>
  <c r="J3" i="4"/>
  <c r="I3" i="4"/>
  <c r="G3" i="4"/>
  <c r="H3" i="4"/>
  <c r="F3" i="4"/>
  <c r="J2" i="4"/>
  <c r="I2" i="4"/>
  <c r="G2" i="4"/>
  <c r="F2" i="4"/>
  <c r="I14" i="4"/>
  <c r="B39" i="3"/>
  <c r="B23" i="3"/>
  <c r="L22" i="3"/>
  <c r="B21" i="3"/>
  <c r="B19" i="3"/>
  <c r="D14" i="3"/>
  <c r="B14" i="3"/>
  <c r="J15" i="3"/>
  <c r="J12" i="3"/>
  <c r="I12" i="3"/>
  <c r="G12" i="3"/>
  <c r="H12" i="3"/>
  <c r="F12" i="3"/>
  <c r="J11" i="3"/>
  <c r="I11" i="3"/>
  <c r="G11" i="3"/>
  <c r="H11" i="3"/>
  <c r="F11" i="3"/>
  <c r="J10" i="3"/>
  <c r="I10" i="3"/>
  <c r="G10" i="3"/>
  <c r="H10" i="3"/>
  <c r="F10" i="3"/>
  <c r="J9" i="3"/>
  <c r="I9" i="3"/>
  <c r="G9" i="3"/>
  <c r="H9" i="3"/>
  <c r="F9" i="3"/>
  <c r="J8" i="3"/>
  <c r="I8" i="3"/>
  <c r="G8" i="3"/>
  <c r="H8" i="3"/>
  <c r="F8" i="3"/>
  <c r="J7" i="3"/>
  <c r="I7" i="3"/>
  <c r="G7" i="3"/>
  <c r="H7" i="3"/>
  <c r="F7" i="3"/>
  <c r="J6" i="3"/>
  <c r="I6" i="3"/>
  <c r="G6" i="3"/>
  <c r="H6" i="3"/>
  <c r="F6" i="3"/>
  <c r="J5" i="3"/>
  <c r="I5" i="3"/>
  <c r="G5" i="3"/>
  <c r="H5" i="3"/>
  <c r="F5" i="3"/>
  <c r="J4" i="3"/>
  <c r="I4" i="3"/>
  <c r="G4" i="3"/>
  <c r="H4" i="3"/>
  <c r="F4" i="3"/>
  <c r="F2" i="3"/>
  <c r="F3" i="3"/>
  <c r="F14" i="3"/>
  <c r="J3" i="3"/>
  <c r="I3" i="3"/>
  <c r="G3" i="3"/>
  <c r="H3" i="3"/>
  <c r="J2" i="3"/>
  <c r="I2" i="3"/>
  <c r="G2" i="3"/>
  <c r="H2" i="3"/>
  <c r="L22" i="1"/>
  <c r="B23" i="1"/>
  <c r="B21" i="1"/>
  <c r="B19" i="1"/>
  <c r="G4" i="2"/>
  <c r="D14" i="1"/>
  <c r="J2" i="1"/>
  <c r="J12" i="1"/>
  <c r="D11" i="2"/>
  <c r="A16" i="2"/>
  <c r="A18" i="2"/>
  <c r="F2" i="1"/>
  <c r="G2" i="1"/>
  <c r="H2" i="1"/>
  <c r="I2" i="1"/>
  <c r="B14" i="1"/>
  <c r="F12" i="1"/>
  <c r="G12" i="1"/>
  <c r="H12" i="1"/>
  <c r="I12" i="1"/>
  <c r="J10" i="1"/>
  <c r="F10" i="1"/>
  <c r="G10" i="1"/>
  <c r="H10" i="1"/>
  <c r="I10" i="1"/>
  <c r="J7" i="1"/>
  <c r="J6" i="1"/>
  <c r="J5" i="1"/>
  <c r="J4" i="1"/>
  <c r="J9" i="1"/>
  <c r="J8" i="1"/>
  <c r="J11" i="1"/>
  <c r="J3" i="1"/>
  <c r="F3" i="1"/>
  <c r="F7" i="1"/>
  <c r="F6" i="1"/>
  <c r="F5" i="1"/>
  <c r="F4" i="1"/>
  <c r="F8" i="1"/>
  <c r="F9" i="1"/>
  <c r="F11" i="1"/>
  <c r="I3" i="1"/>
  <c r="I7" i="1"/>
  <c r="I6" i="1"/>
  <c r="I5" i="1"/>
  <c r="I4" i="1"/>
  <c r="I8" i="1"/>
  <c r="I9" i="1"/>
  <c r="I11" i="1"/>
  <c r="G11" i="1"/>
  <c r="H11" i="1"/>
  <c r="G3" i="1"/>
  <c r="H3" i="1"/>
  <c r="G7" i="1"/>
  <c r="H7" i="1"/>
  <c r="G6" i="1"/>
  <c r="H6" i="1"/>
  <c r="G5" i="1"/>
  <c r="H5" i="1"/>
  <c r="G4" i="1"/>
  <c r="H4" i="1"/>
  <c r="G8" i="1"/>
  <c r="H8" i="1"/>
  <c r="G9" i="1"/>
  <c r="H9" i="1"/>
  <c r="J8" i="5"/>
  <c r="J15" i="1"/>
  <c r="G14" i="7"/>
  <c r="J14" i="3"/>
  <c r="J15" i="4"/>
  <c r="G14" i="6"/>
  <c r="J16" i="8"/>
  <c r="AD4" i="5"/>
  <c r="F8" i="5"/>
  <c r="AD3" i="5"/>
  <c r="G14" i="1"/>
  <c r="I14" i="3"/>
  <c r="G14" i="4"/>
  <c r="F14" i="4"/>
  <c r="I14" i="6"/>
  <c r="F14" i="7"/>
  <c r="J14" i="1"/>
  <c r="I14" i="1"/>
  <c r="F14" i="1"/>
  <c r="J14" i="4"/>
  <c r="J14" i="6"/>
  <c r="I14" i="7"/>
  <c r="I16" i="8"/>
  <c r="C12" i="5"/>
  <c r="H8" i="5"/>
  <c r="I8" i="5"/>
  <c r="H2" i="4"/>
  <c r="G14" i="3"/>
  <c r="G16" i="8"/>
  <c r="AC8" i="5"/>
  <c r="B47" i="17"/>
  <c r="B51" i="17"/>
  <c r="C47" i="17"/>
  <c r="C51" i="17"/>
  <c r="B54" i="18"/>
  <c r="C25" i="18"/>
  <c r="C50" i="18"/>
  <c r="C54" i="18"/>
  <c r="I22" i="36" l="1"/>
  <c r="J23" i="36"/>
  <c r="F22" i="36"/>
  <c r="G22" i="36"/>
  <c r="J22" i="36"/>
  <c r="H19" i="36"/>
  <c r="H22" i="36" s="1"/>
  <c r="D54" i="41" l="1"/>
  <c r="D61" i="41" l="1"/>
  <c r="D56" i="41"/>
</calcChain>
</file>

<file path=xl/sharedStrings.xml><?xml version="1.0" encoding="utf-8"?>
<sst xmlns="http://schemas.openxmlformats.org/spreadsheetml/2006/main" count="1894" uniqueCount="155">
  <si>
    <t>CC</t>
  </si>
  <si>
    <t>Bal</t>
  </si>
  <si>
    <t>%</t>
  </si>
  <si>
    <t>3yr</t>
  </si>
  <si>
    <t>3mo</t>
  </si>
  <si>
    <t>6mo</t>
  </si>
  <si>
    <t>6mox2ppm</t>
  </si>
  <si>
    <t>12mo</t>
  </si>
  <si>
    <t xml:space="preserve">Interest </t>
  </si>
  <si>
    <t>3 yr payoff</t>
  </si>
  <si>
    <t>UN-KT</t>
  </si>
  <si>
    <t>RU</t>
  </si>
  <si>
    <t>JB</t>
  </si>
  <si>
    <t>UA</t>
  </si>
  <si>
    <t>AR</t>
  </si>
  <si>
    <t>AA</t>
  </si>
  <si>
    <t>BA</t>
  </si>
  <si>
    <t>MR</t>
  </si>
  <si>
    <t>UN</t>
  </si>
  <si>
    <t>BA-KT</t>
  </si>
  <si>
    <t>SW</t>
  </si>
  <si>
    <t>BB</t>
  </si>
  <si>
    <t>GS</t>
  </si>
  <si>
    <t>Toy R4</t>
  </si>
  <si>
    <t>Toy MV</t>
  </si>
  <si>
    <t>Angel</t>
  </si>
  <si>
    <t>Unlim</t>
  </si>
  <si>
    <t>Chiemi</t>
  </si>
  <si>
    <t>30GB</t>
  </si>
  <si>
    <t>Emi</t>
  </si>
  <si>
    <t>Xline</t>
  </si>
  <si>
    <t>Un vs 30</t>
  </si>
  <si>
    <t>Jen</t>
  </si>
  <si>
    <t>PSEG</t>
  </si>
  <si>
    <t xml:space="preserve">AX </t>
  </si>
  <si>
    <t>ON</t>
  </si>
  <si>
    <t>Mort</t>
  </si>
  <si>
    <t>TAX</t>
  </si>
  <si>
    <t>AX</t>
  </si>
  <si>
    <t>Prosper</t>
  </si>
  <si>
    <t>Salary</t>
  </si>
  <si>
    <t>Total</t>
  </si>
  <si>
    <t>Remaining</t>
  </si>
  <si>
    <t>7/20/19 9k &amp; 12/20/2019 6k</t>
  </si>
  <si>
    <t>Lawn</t>
  </si>
  <si>
    <t>Water</t>
  </si>
  <si>
    <t>Toyota</t>
  </si>
  <si>
    <t>Vbank</t>
  </si>
  <si>
    <t>Date</t>
  </si>
  <si>
    <t>Spent</t>
  </si>
  <si>
    <t>Payment</t>
  </si>
  <si>
    <t>Balance</t>
  </si>
  <si>
    <t>Amazon</t>
  </si>
  <si>
    <t>24mo</t>
  </si>
  <si>
    <t>36mo</t>
  </si>
  <si>
    <t>Macy's</t>
  </si>
  <si>
    <t>Macy's - KT</t>
  </si>
  <si>
    <t>SoFi</t>
  </si>
  <si>
    <t>Promo for Mobile Share Value 30GB with Rollover Data</t>
  </si>
  <si>
    <t>AT&amp;T Unlimited Plus Multi Line</t>
  </si>
  <si>
    <t>AT&amp;T Unlimited Wearable</t>
  </si>
  <si>
    <t>AT&amp;T 1GB iPad 4G LTE</t>
  </si>
  <si>
    <t>Bill total</t>
  </si>
  <si>
    <t>for Jul 26 - Aug 25, 2019</t>
  </si>
  <si>
    <t>Shared plan charges 14 devices</t>
  </si>
  <si>
    <t>201.657.5800</t>
  </si>
  <si>
    <t>PKC WIRELESS CALLER</t>
  </si>
  <si>
    <t>201.657.7600</t>
  </si>
  <si>
    <t>WIRELESS T. CALLER</t>
  </si>
  <si>
    <t>201.973.9400</t>
  </si>
  <si>
    <t>347.627.0000</t>
  </si>
  <si>
    <t>551.287.0000</t>
  </si>
  <si>
    <t>551.497.2249</t>
  </si>
  <si>
    <t>CHIEMI K</t>
  </si>
  <si>
    <t>646.573.6100</t>
  </si>
  <si>
    <t>WAHCHOO CHAN</t>
  </si>
  <si>
    <t>702.219.2544</t>
  </si>
  <si>
    <t>OLIVIA KWAN</t>
  </si>
  <si>
    <t>702.250.6237</t>
  </si>
  <si>
    <t>JASON NG</t>
  </si>
  <si>
    <t>718.801.3900</t>
  </si>
  <si>
    <t>CAT CHAN</t>
  </si>
  <si>
    <t>760.282.4261</t>
  </si>
  <si>
    <t>917.689.2600</t>
  </si>
  <si>
    <t>917.753.2200</t>
  </si>
  <si>
    <t>C KATZ</t>
  </si>
  <si>
    <t>929.389.2600</t>
  </si>
  <si>
    <t>Shared plan charges 6 devices</t>
  </si>
  <si>
    <t>201.468.2013</t>
  </si>
  <si>
    <t>EMI P</t>
  </si>
  <si>
    <t>347.819.4600</t>
  </si>
  <si>
    <t>J W</t>
  </si>
  <si>
    <t>609.744.7030</t>
  </si>
  <si>
    <t>R T. NG</t>
  </si>
  <si>
    <t>862.216.1140</t>
  </si>
  <si>
    <t>K T</t>
  </si>
  <si>
    <t>917.319.2900</t>
  </si>
  <si>
    <t>LEN KATZ</t>
  </si>
  <si>
    <t>973.647.5216</t>
  </si>
  <si>
    <t>ANGEL P</t>
  </si>
  <si>
    <t>551.502.4660</t>
  </si>
  <si>
    <t>ALEXANDER T. CHAN</t>
  </si>
  <si>
    <t>631.988.1200</t>
  </si>
  <si>
    <t>C K iPad</t>
  </si>
  <si>
    <t>K T iPad</t>
  </si>
  <si>
    <t>Elisabeth</t>
  </si>
  <si>
    <t>Fidelity</t>
  </si>
  <si>
    <t>LeafFilter</t>
  </si>
  <si>
    <t>Plumber</t>
  </si>
  <si>
    <t>$6911.62 @ 8.74%</t>
  </si>
  <si>
    <t>Expires</t>
  </si>
  <si>
    <t>Bill Pay</t>
  </si>
  <si>
    <t xml:space="preserve">Bill Pay </t>
  </si>
  <si>
    <t>10/2020</t>
  </si>
  <si>
    <t>1/2021</t>
  </si>
  <si>
    <t>6/2021</t>
  </si>
  <si>
    <t>12/2020</t>
  </si>
  <si>
    <t>Standard ATT</t>
  </si>
  <si>
    <t>GFi</t>
  </si>
  <si>
    <t xml:space="preserve">Bills Portion </t>
  </si>
  <si>
    <t>Therapy</t>
  </si>
  <si>
    <t>Accountant</t>
  </si>
  <si>
    <t>Min</t>
  </si>
  <si>
    <t>Other</t>
  </si>
  <si>
    <t>MicroCenter</t>
  </si>
  <si>
    <t>Difference</t>
  </si>
  <si>
    <t>0% End date</t>
  </si>
  <si>
    <t>State of NJ</t>
  </si>
  <si>
    <t>NJ Tax</t>
  </si>
  <si>
    <t>Other (FSA)</t>
  </si>
  <si>
    <t>IRS</t>
  </si>
  <si>
    <t>Verizon</t>
  </si>
  <si>
    <t>AppleCard</t>
  </si>
  <si>
    <t>End Date</t>
  </si>
  <si>
    <t>Pay till 0</t>
  </si>
  <si>
    <t>KT - Check</t>
  </si>
  <si>
    <t>Kumi</t>
  </si>
  <si>
    <t>2020 Interest</t>
  </si>
  <si>
    <t>2020 Fees</t>
  </si>
  <si>
    <t>2019 Fees</t>
  </si>
  <si>
    <t>2019 Interest</t>
  </si>
  <si>
    <t>2018 Fees</t>
  </si>
  <si>
    <t>2018 Interest</t>
  </si>
  <si>
    <t>2017 Fees</t>
  </si>
  <si>
    <t>2017 Interest</t>
  </si>
  <si>
    <t>Fees</t>
  </si>
  <si>
    <t>Interest</t>
  </si>
  <si>
    <t>GRAND TOTAL</t>
  </si>
  <si>
    <t>Landscaper</t>
  </si>
  <si>
    <t>Number</t>
  </si>
  <si>
    <t>To</t>
  </si>
  <si>
    <t>Amount</t>
  </si>
  <si>
    <t>B Volker</t>
  </si>
  <si>
    <t>NJ State</t>
  </si>
  <si>
    <t>Leftover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</si>
</sst>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44" fontId="0" fillId="0" borderId="0" xfId="1" applyFont="1"/>
    <xf numFmtId="14" fontId="0" fillId="0" borderId="0" xfId="0" applyNumberFormat="1"/>
    <xf numFmtId="10" fontId="0" fillId="0" borderId="0" xfId="2" applyNumberFormat="1" applyFont="1"/>
    <xf numFmtId="44" fontId="0" fillId="0" borderId="0" xfId="0" applyNumberFormat="1"/>
    <xf numFmtId="9" fontId="0" fillId="0" borderId="0" xfId="0" applyNumberFormat="1" applyAlignment="1">
      <alignment horizontal="left"/>
    </xf>
    <xf numFmtId="14" fontId="0" fillId="0" borderId="0" xfId="1" applyNumberFormat="1" applyFont="1"/>
    <xf numFmtId="39" fontId="0" fillId="0" borderId="0" xfId="1" applyNumberFormat="1" applyFont="1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37" fontId="0" fillId="0" borderId="0" xfId="1" applyNumberFormat="1" applyFont="1"/>
    <xf numFmtId="44" fontId="0" fillId="0" borderId="0" xfId="2" applyNumberFormat="1" applyFont="1"/>
    <xf numFmtId="8" fontId="0" fillId="0" borderId="0" xfId="1" applyNumberFormat="1" applyFont="1"/>
    <xf numFmtId="8" fontId="0" fillId="0" borderId="0" xfId="0" applyNumberFormat="1"/>
    <xf numFmtId="44" fontId="0" fillId="2" borderId="0" xfId="1" applyFont="1" applyFill="1"/>
    <xf numFmtId="0" fontId="0" fillId="0" borderId="0" xfId="0" applyAlignment="1">
      <alignment horizontal="left"/>
    </xf>
    <xf numFmtId="44" fontId="0" fillId="2" borderId="0" xfId="0" applyNumberFormat="1" applyFill="1"/>
    <xf numFmtId="44" fontId="0" fillId="0" borderId="0" xfId="1" applyFont="1" applyFill="1"/>
    <xf numFmtId="44" fontId="0" fillId="0" borderId="0" xfId="0" applyNumberFormat="1" applyFill="1"/>
    <xf numFmtId="9" fontId="0" fillId="0" borderId="0" xfId="2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44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right"/>
    </xf>
    <xf numFmtId="10" fontId="0" fillId="0" borderId="0" xfId="2" applyNumberFormat="1" applyFont="1" applyAlignment="1">
      <alignment horizontal="right"/>
    </xf>
    <xf numFmtId="44" fontId="2" fillId="0" borderId="0" xfId="1" applyFont="1" applyAlignment="1">
      <alignment horizontal="right"/>
    </xf>
    <xf numFmtId="44" fontId="0" fillId="2" borderId="0" xfId="1" applyFont="1" applyFill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0" xfId="1" applyNumberFormat="1" applyFont="1"/>
    <xf numFmtId="44" fontId="3" fillId="2" borderId="0" xfId="1" applyFont="1" applyFill="1"/>
    <xf numFmtId="44" fontId="3" fillId="0" borderId="0" xfId="1" applyFont="1" applyFill="1"/>
    <xf numFmtId="0" fontId="0" fillId="0" borderId="1" xfId="0" applyBorder="1"/>
    <xf numFmtId="44" fontId="0" fillId="0" borderId="1" xfId="1" applyFont="1" applyBorder="1"/>
    <xf numFmtId="10" fontId="0" fillId="0" borderId="1" xfId="2" applyNumberFormat="1" applyFont="1" applyBorder="1"/>
    <xf numFmtId="0" fontId="2" fillId="0" borderId="1" xfId="0" applyFont="1" applyBorder="1"/>
    <xf numFmtId="10" fontId="2" fillId="0" borderId="0" xfId="2" applyNumberFormat="1" applyFont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Alignmen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right"/>
    </xf>
    <xf numFmtId="44" fontId="0" fillId="0" borderId="1" xfId="1" applyFont="1" applyBorder="1" applyAlignment="1">
      <alignment horizontal="right"/>
    </xf>
    <xf numFmtId="44" fontId="0" fillId="0" borderId="0" xfId="0" applyNumberFormat="1" applyAlignment="1">
      <alignment horizontal="right"/>
    </xf>
    <xf numFmtId="14" fontId="0" fillId="3" borderId="0" xfId="0" applyNumberFormat="1" applyFill="1"/>
    <xf numFmtId="41" fontId="0" fillId="0" borderId="0" xfId="3" applyNumberFormat="1" applyFont="1"/>
    <xf numFmtId="41" fontId="0" fillId="0" borderId="1" xfId="3" applyNumberFormat="1" applyFont="1" applyBorder="1"/>
    <xf numFmtId="44" fontId="0" fillId="0" borderId="1" xfId="0" applyNumberFormat="1" applyBorder="1" applyAlignment="1">
      <alignment horizontal="right"/>
    </xf>
    <xf numFmtId="0" fontId="0" fillId="0" borderId="0" xfId="0" applyBorder="1"/>
    <xf numFmtId="44" fontId="0" fillId="0" borderId="0" xfId="1" applyFont="1" applyBorder="1"/>
    <xf numFmtId="0" fontId="0" fillId="0" borderId="0" xfId="0" applyBorder="1" applyAlignment="1">
      <alignment horizontal="right"/>
    </xf>
    <xf numFmtId="10" fontId="0" fillId="0" borderId="0" xfId="2" applyNumberFormat="1" applyFont="1" applyBorder="1"/>
    <xf numFmtId="41" fontId="0" fillId="0" borderId="0" xfId="3" applyNumberFormat="1" applyFont="1" applyBorder="1"/>
    <xf numFmtId="8" fontId="0" fillId="0" borderId="0" xfId="1" applyNumberFormat="1" applyFont="1" applyFill="1"/>
    <xf numFmtId="0" fontId="2" fillId="0" borderId="0" xfId="0" applyFont="1" applyFill="1"/>
    <xf numFmtId="0" fontId="0" fillId="0" borderId="0" xfId="0" applyFill="1"/>
    <xf numFmtId="44" fontId="0" fillId="0" borderId="1" xfId="1" applyFont="1" applyFill="1" applyBorder="1"/>
    <xf numFmtId="14" fontId="0" fillId="0" borderId="0" xfId="0" applyNumberFormat="1" applyFill="1"/>
    <xf numFmtId="44" fontId="0" fillId="0" borderId="0" xfId="1" applyFont="1" applyFill="1" applyBorder="1"/>
    <xf numFmtId="44" fontId="2" fillId="0" borderId="0" xfId="1" applyFont="1" applyFill="1"/>
    <xf numFmtId="0" fontId="0" fillId="0" borderId="0" xfId="0" applyNumberFormat="1"/>
    <xf numFmtId="0" fontId="0" fillId="0" borderId="0" xfId="1" applyNumberFormat="1" applyFont="1" applyFill="1"/>
    <xf numFmtId="0" fontId="0" fillId="0" borderId="0" xfId="1" applyNumberFormat="1" applyFont="1"/>
    <xf numFmtId="10" fontId="0" fillId="0" borderId="0" xfId="2" applyNumberFormat="1" applyFont="1" applyFill="1"/>
    <xf numFmtId="41" fontId="0" fillId="0" borderId="0" xfId="3" applyNumberFormat="1" applyFont="1" applyFill="1"/>
    <xf numFmtId="44" fontId="0" fillId="0" borderId="0" xfId="1" applyFont="1" applyAlignment="1">
      <alignment horizontal="left"/>
    </xf>
    <xf numFmtId="0" fontId="0" fillId="0" borderId="0" xfId="0" applyFill="1" applyBorder="1"/>
    <xf numFmtId="14" fontId="0" fillId="0" borderId="2" xfId="0" applyNumberFormat="1" applyFill="1" applyBorder="1"/>
    <xf numFmtId="44" fontId="0" fillId="0" borderId="2" xfId="1" applyFont="1" applyFill="1" applyBorder="1"/>
    <xf numFmtId="0" fontId="0" fillId="0" borderId="2" xfId="0" applyFill="1" applyBorder="1"/>
    <xf numFmtId="44" fontId="0" fillId="0" borderId="3" xfId="1" applyFont="1" applyBorder="1"/>
    <xf numFmtId="44" fontId="0" fillId="0" borderId="2" xfId="1" applyFont="1" applyBorder="1"/>
    <xf numFmtId="0" fontId="2" fillId="0" borderId="0" xfId="1" applyNumberFormat="1" applyFont="1" applyFill="1"/>
    <xf numFmtId="44" fontId="0" fillId="0" borderId="0" xfId="1" applyNumberFormat="1" applyFont="1" applyFill="1"/>
    <xf numFmtId="44" fontId="0" fillId="0" borderId="1" xfId="2" applyNumberFormat="1" applyFon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19DE-6D40-40AE-BE89-4DC26BAE392D}">
  <dimension ref="A1:N64"/>
  <sheetViews>
    <sheetView topLeftCell="A22" workbookViewId="0">
      <selection activeCell="H31" sqref="H31"/>
    </sheetView>
  </sheetViews>
  <sheetFormatPr defaultRowHeight="15" x14ac:dyDescent="0.25"/>
  <cols>
    <col min="1" max="1" width="12" bestFit="1" customWidth="1"/>
    <col min="2" max="2" width="12.5703125" style="1" bestFit="1" customWidth="1"/>
    <col min="3" max="3" width="18.5703125" customWidth="1"/>
    <col min="4" max="4" width="12.140625" style="3" bestFit="1" customWidth="1"/>
    <col min="5" max="5" width="11.28515625" style="1" bestFit="1" customWidth="1"/>
    <col min="6" max="6" width="12.5703125" style="47" bestFit="1" customWidth="1"/>
    <col min="7" max="7" width="12.5703125" style="1" customWidth="1"/>
    <col min="8" max="8" width="11.5703125" style="1" bestFit="1" customWidth="1"/>
    <col min="9" max="9" width="11.5703125" bestFit="1" customWidth="1"/>
    <col min="10" max="10" width="13.140625" bestFit="1" customWidth="1"/>
    <col min="11" max="11" width="11.5703125" bestFit="1" customWidth="1"/>
    <col min="12" max="12" width="12.140625" style="1" bestFit="1" customWidth="1"/>
    <col min="13" max="13" width="12.140625" bestFit="1" customWidth="1"/>
  </cols>
  <sheetData>
    <row r="1" spans="1:14" x14ac:dyDescent="0.25">
      <c r="A1" t="s">
        <v>0</v>
      </c>
      <c r="B1" s="1" t="s">
        <v>1</v>
      </c>
      <c r="C1" s="1" t="s">
        <v>50</v>
      </c>
      <c r="D1" s="5">
        <v>0</v>
      </c>
      <c r="E1" s="3" t="s">
        <v>2</v>
      </c>
      <c r="F1" s="47" t="s">
        <v>133</v>
      </c>
      <c r="G1" s="1" t="s">
        <v>134</v>
      </c>
      <c r="H1" s="1" t="s">
        <v>3</v>
      </c>
      <c r="I1" s="1" t="s">
        <v>4</v>
      </c>
      <c r="J1" t="s">
        <v>5</v>
      </c>
      <c r="K1" t="s">
        <v>6</v>
      </c>
      <c r="L1" t="s">
        <v>7</v>
      </c>
      <c r="M1" s="1" t="s">
        <v>8</v>
      </c>
    </row>
    <row r="2" spans="1:14" x14ac:dyDescent="0.25">
      <c r="A2" t="s">
        <v>106</v>
      </c>
      <c r="C2" s="75">
        <f t="shared" ref="C2:C16" si="0">B2</f>
        <v>0</v>
      </c>
      <c r="D2" s="42"/>
      <c r="E2" s="3"/>
      <c r="F2" s="47">
        <f t="shared" ref="F2:F19" si="1">IF(ISERROR(DATEDIF($A$24,D2,"m"))," ",DATEDIF($A$24,D2,"m"))</f>
        <v>0</v>
      </c>
      <c r="G2" s="1">
        <f>IF(ISERROR(B2/(F2+1))," ",B2/(F2+1))</f>
        <v>0</v>
      </c>
      <c r="I2" s="1">
        <f t="shared" ref="I2:I21" si="2">B2/3</f>
        <v>0</v>
      </c>
      <c r="J2" s="4">
        <f t="shared" ref="J2:J21" si="3">B2/6</f>
        <v>0</v>
      </c>
      <c r="K2" s="4">
        <f t="shared" ref="K2:K21" si="4">J2/2</f>
        <v>0</v>
      </c>
      <c r="L2" s="4">
        <f t="shared" ref="L2:L21" si="5">B2/12</f>
        <v>0</v>
      </c>
      <c r="M2" s="1">
        <f t="shared" ref="M2:M21" si="6">(B2*E2)/12</f>
        <v>0</v>
      </c>
    </row>
    <row r="3" spans="1:14" x14ac:dyDescent="0.25">
      <c r="A3" t="s">
        <v>132</v>
      </c>
      <c r="B3" s="13"/>
      <c r="C3" s="75">
        <f t="shared" si="0"/>
        <v>0</v>
      </c>
      <c r="D3" s="42"/>
      <c r="E3" s="3"/>
      <c r="F3" s="47">
        <f t="shared" si="1"/>
        <v>0</v>
      </c>
      <c r="G3" s="1">
        <f t="shared" ref="G3:G21" si="7">IF(ISERROR(B3/(F3+1))," ",B3/(F3+1))</f>
        <v>0</v>
      </c>
      <c r="I3" s="1">
        <f>B3/3</f>
        <v>0</v>
      </c>
      <c r="J3" s="4">
        <f>B3/6</f>
        <v>0</v>
      </c>
      <c r="K3" s="4">
        <f>J3/2</f>
        <v>0</v>
      </c>
      <c r="L3" s="4">
        <f t="shared" si="5"/>
        <v>0</v>
      </c>
      <c r="M3" s="1">
        <f t="shared" si="6"/>
        <v>0</v>
      </c>
    </row>
    <row r="4" spans="1:14" x14ac:dyDescent="0.25">
      <c r="A4" t="s">
        <v>12</v>
      </c>
      <c r="C4" s="75">
        <f t="shared" si="0"/>
        <v>0</v>
      </c>
      <c r="D4" s="2"/>
      <c r="E4" s="3"/>
      <c r="F4" s="47">
        <f t="shared" si="1"/>
        <v>0</v>
      </c>
      <c r="G4" s="1">
        <f t="shared" si="7"/>
        <v>0</v>
      </c>
      <c r="I4" s="1">
        <f t="shared" si="2"/>
        <v>0</v>
      </c>
      <c r="J4" s="4">
        <f t="shared" si="3"/>
        <v>0</v>
      </c>
      <c r="K4" s="4">
        <f t="shared" si="4"/>
        <v>0</v>
      </c>
      <c r="L4" s="4">
        <f>B4/12</f>
        <v>0</v>
      </c>
      <c r="M4" s="1">
        <f t="shared" si="6"/>
        <v>0</v>
      </c>
    </row>
    <row r="5" spans="1:14" x14ac:dyDescent="0.25">
      <c r="A5" t="s">
        <v>14</v>
      </c>
      <c r="C5" s="75">
        <f t="shared" si="0"/>
        <v>0</v>
      </c>
      <c r="D5" s="2"/>
      <c r="E5" s="3"/>
      <c r="F5" s="47">
        <f t="shared" si="1"/>
        <v>0</v>
      </c>
      <c r="G5" s="1">
        <f t="shared" si="7"/>
        <v>0</v>
      </c>
      <c r="I5" s="1">
        <f t="shared" si="2"/>
        <v>0</v>
      </c>
      <c r="J5" s="4">
        <f t="shared" si="3"/>
        <v>0</v>
      </c>
      <c r="K5" s="4">
        <f t="shared" si="4"/>
        <v>0</v>
      </c>
      <c r="L5" s="4">
        <f t="shared" si="5"/>
        <v>0</v>
      </c>
      <c r="M5" s="1">
        <f>(B5*E5)/12</f>
        <v>0</v>
      </c>
    </row>
    <row r="6" spans="1:14" x14ac:dyDescent="0.25">
      <c r="A6" t="s">
        <v>15</v>
      </c>
      <c r="C6" s="75">
        <f t="shared" si="0"/>
        <v>0</v>
      </c>
      <c r="D6" s="2"/>
      <c r="E6" s="3"/>
      <c r="F6" s="47">
        <f t="shared" si="1"/>
        <v>0</v>
      </c>
      <c r="G6" s="1">
        <f t="shared" si="7"/>
        <v>0</v>
      </c>
      <c r="I6" s="1">
        <f t="shared" si="2"/>
        <v>0</v>
      </c>
      <c r="J6" s="4">
        <f t="shared" si="3"/>
        <v>0</v>
      </c>
      <c r="K6" s="4">
        <f t="shared" si="4"/>
        <v>0</v>
      </c>
      <c r="L6" s="4">
        <f t="shared" si="5"/>
        <v>0</v>
      </c>
      <c r="M6" s="1">
        <f t="shared" si="6"/>
        <v>0</v>
      </c>
    </row>
    <row r="7" spans="1:14" x14ac:dyDescent="0.25">
      <c r="A7" t="s">
        <v>16</v>
      </c>
      <c r="C7" s="75">
        <f t="shared" si="0"/>
        <v>0</v>
      </c>
      <c r="D7" s="2"/>
      <c r="E7" s="3"/>
      <c r="F7" s="47">
        <f t="shared" si="1"/>
        <v>0</v>
      </c>
      <c r="G7" s="1">
        <f t="shared" si="7"/>
        <v>0</v>
      </c>
      <c r="I7" s="1">
        <f t="shared" si="2"/>
        <v>0</v>
      </c>
      <c r="J7" s="4">
        <f t="shared" si="3"/>
        <v>0</v>
      </c>
      <c r="K7" s="4">
        <f t="shared" si="4"/>
        <v>0</v>
      </c>
      <c r="L7" s="4">
        <f t="shared" si="5"/>
        <v>0</v>
      </c>
      <c r="M7" s="1">
        <f t="shared" si="6"/>
        <v>0</v>
      </c>
    </row>
    <row r="8" spans="1:14" x14ac:dyDescent="0.25">
      <c r="A8" t="s">
        <v>17</v>
      </c>
      <c r="C8" s="75">
        <f t="shared" si="0"/>
        <v>0</v>
      </c>
      <c r="D8" s="2"/>
      <c r="E8" s="3"/>
      <c r="F8" s="47">
        <f t="shared" si="1"/>
        <v>0</v>
      </c>
      <c r="G8" s="1">
        <f t="shared" si="7"/>
        <v>0</v>
      </c>
      <c r="I8" s="1">
        <f t="shared" si="2"/>
        <v>0</v>
      </c>
      <c r="J8" s="4">
        <f t="shared" si="3"/>
        <v>0</v>
      </c>
      <c r="K8" s="4">
        <f t="shared" si="4"/>
        <v>0</v>
      </c>
      <c r="L8" s="4">
        <f t="shared" si="5"/>
        <v>0</v>
      </c>
      <c r="M8" s="1">
        <f t="shared" si="6"/>
        <v>0</v>
      </c>
      <c r="N8" s="4"/>
    </row>
    <row r="9" spans="1:14" x14ac:dyDescent="0.25">
      <c r="A9" t="s">
        <v>18</v>
      </c>
      <c r="C9" s="75">
        <f t="shared" si="0"/>
        <v>0</v>
      </c>
      <c r="D9" s="2"/>
      <c r="E9" s="3"/>
      <c r="F9" s="47">
        <f t="shared" si="1"/>
        <v>0</v>
      </c>
      <c r="G9" s="1">
        <f t="shared" si="7"/>
        <v>0</v>
      </c>
      <c r="I9" s="1">
        <f>B9/3</f>
        <v>0</v>
      </c>
      <c r="J9" s="4">
        <f t="shared" si="3"/>
        <v>0</v>
      </c>
      <c r="K9" s="4">
        <f t="shared" si="4"/>
        <v>0</v>
      </c>
      <c r="L9" s="4">
        <f t="shared" si="5"/>
        <v>0</v>
      </c>
      <c r="M9" s="1">
        <f t="shared" si="6"/>
        <v>0</v>
      </c>
    </row>
    <row r="10" spans="1:14" x14ac:dyDescent="0.25">
      <c r="A10" t="s">
        <v>19</v>
      </c>
      <c r="C10" s="75">
        <f t="shared" si="0"/>
        <v>0</v>
      </c>
      <c r="D10" s="2"/>
      <c r="E10" s="3"/>
      <c r="F10" s="47">
        <f t="shared" si="1"/>
        <v>0</v>
      </c>
      <c r="G10" s="1">
        <f>IF(ISERROR(B11/(F10+1))," ",B11/(F10+1))</f>
        <v>0</v>
      </c>
      <c r="I10" s="1">
        <f t="shared" ref="I10" si="8">B10/3</f>
        <v>0</v>
      </c>
      <c r="J10" s="4">
        <f>B10/6</f>
        <v>0</v>
      </c>
      <c r="K10" s="4">
        <f>J10/2</f>
        <v>0</v>
      </c>
      <c r="L10" s="4">
        <f t="shared" si="5"/>
        <v>0</v>
      </c>
      <c r="M10" s="1">
        <f t="shared" si="6"/>
        <v>0</v>
      </c>
    </row>
    <row r="11" spans="1:14" x14ac:dyDescent="0.25">
      <c r="A11" t="s">
        <v>19</v>
      </c>
      <c r="C11" s="75">
        <f t="shared" si="0"/>
        <v>0</v>
      </c>
      <c r="D11" s="2"/>
      <c r="E11" s="3"/>
      <c r="F11" s="47">
        <f t="shared" si="1"/>
        <v>0</v>
      </c>
      <c r="G11" s="1" t="str">
        <f>IF(ISERROR(#REF!/(F11+1))," ",#REF!/(F11+1))</f>
        <v xml:space="preserve"> </v>
      </c>
      <c r="I11" s="1">
        <f>B11/3</f>
        <v>0</v>
      </c>
      <c r="J11" s="4">
        <f t="shared" ref="J11" si="9">B11/6</f>
        <v>0</v>
      </c>
      <c r="K11" s="4">
        <f t="shared" ref="K11" si="10">J11/2</f>
        <v>0</v>
      </c>
      <c r="L11" s="4">
        <f>B11/12</f>
        <v>0</v>
      </c>
      <c r="M11" s="1">
        <f t="shared" si="6"/>
        <v>0</v>
      </c>
    </row>
    <row r="12" spans="1:14" x14ac:dyDescent="0.25">
      <c r="A12" t="s">
        <v>38</v>
      </c>
      <c r="C12" s="75">
        <f t="shared" si="0"/>
        <v>0</v>
      </c>
      <c r="D12" s="2"/>
      <c r="E12" s="3"/>
      <c r="F12" s="47">
        <f t="shared" si="1"/>
        <v>0</v>
      </c>
      <c r="G12" s="1">
        <f t="shared" si="7"/>
        <v>0</v>
      </c>
      <c r="I12" s="1">
        <f t="shared" si="2"/>
        <v>0</v>
      </c>
      <c r="J12" s="4">
        <f t="shared" si="3"/>
        <v>0</v>
      </c>
      <c r="K12" s="4">
        <f t="shared" si="4"/>
        <v>0</v>
      </c>
      <c r="L12" s="4">
        <f t="shared" si="5"/>
        <v>0</v>
      </c>
      <c r="M12" s="1">
        <f t="shared" si="6"/>
        <v>0</v>
      </c>
    </row>
    <row r="13" spans="1:14" x14ac:dyDescent="0.25">
      <c r="A13" t="s">
        <v>21</v>
      </c>
      <c r="C13" s="75">
        <f t="shared" si="0"/>
        <v>0</v>
      </c>
      <c r="D13" s="2"/>
      <c r="E13" s="3"/>
      <c r="F13" s="47">
        <f t="shared" si="1"/>
        <v>0</v>
      </c>
      <c r="G13" s="1">
        <f t="shared" si="7"/>
        <v>0</v>
      </c>
      <c r="I13" s="1">
        <f t="shared" si="2"/>
        <v>0</v>
      </c>
      <c r="J13" s="4">
        <f t="shared" si="3"/>
        <v>0</v>
      </c>
      <c r="K13" s="4">
        <f t="shared" si="4"/>
        <v>0</v>
      </c>
      <c r="L13" s="4">
        <f t="shared" si="5"/>
        <v>0</v>
      </c>
      <c r="M13" s="1">
        <f t="shared" si="6"/>
        <v>0</v>
      </c>
    </row>
    <row r="14" spans="1:14" x14ac:dyDescent="0.25">
      <c r="A14" t="s">
        <v>10</v>
      </c>
      <c r="C14" s="75">
        <f t="shared" si="0"/>
        <v>0</v>
      </c>
      <c r="D14" s="2"/>
      <c r="E14" s="3"/>
      <c r="F14" s="47">
        <f t="shared" si="1"/>
        <v>0</v>
      </c>
      <c r="G14" s="1">
        <f t="shared" si="7"/>
        <v>0</v>
      </c>
      <c r="I14" s="1">
        <f t="shared" si="2"/>
        <v>0</v>
      </c>
      <c r="J14" s="4">
        <f t="shared" si="3"/>
        <v>0</v>
      </c>
      <c r="K14" s="4">
        <f t="shared" si="4"/>
        <v>0</v>
      </c>
      <c r="L14" s="4">
        <f t="shared" si="5"/>
        <v>0</v>
      </c>
      <c r="M14" s="1">
        <f t="shared" si="6"/>
        <v>0</v>
      </c>
    </row>
    <row r="15" spans="1:14" x14ac:dyDescent="0.25">
      <c r="A15" t="s">
        <v>56</v>
      </c>
      <c r="C15" s="75">
        <f t="shared" si="0"/>
        <v>0</v>
      </c>
      <c r="D15" s="2"/>
      <c r="E15" s="3"/>
      <c r="F15" s="47">
        <f t="shared" si="1"/>
        <v>0</v>
      </c>
      <c r="G15" s="1">
        <f t="shared" si="7"/>
        <v>0</v>
      </c>
      <c r="I15" s="1">
        <f t="shared" si="2"/>
        <v>0</v>
      </c>
      <c r="J15" s="4">
        <f t="shared" si="3"/>
        <v>0</v>
      </c>
      <c r="K15" s="4">
        <f t="shared" si="4"/>
        <v>0</v>
      </c>
      <c r="L15" s="4">
        <f t="shared" si="5"/>
        <v>0</v>
      </c>
      <c r="M15" s="1">
        <f t="shared" si="6"/>
        <v>0</v>
      </c>
    </row>
    <row r="16" spans="1:14" x14ac:dyDescent="0.25">
      <c r="A16" t="s">
        <v>35</v>
      </c>
      <c r="C16" s="75">
        <f t="shared" si="0"/>
        <v>0</v>
      </c>
      <c r="D16" s="2"/>
      <c r="E16" s="3"/>
      <c r="F16" s="47">
        <f t="shared" si="1"/>
        <v>0</v>
      </c>
      <c r="G16" s="1">
        <f t="shared" si="7"/>
        <v>0</v>
      </c>
      <c r="I16" s="1">
        <f t="shared" si="2"/>
        <v>0</v>
      </c>
      <c r="J16" s="4">
        <f t="shared" si="3"/>
        <v>0</v>
      </c>
      <c r="K16" s="4">
        <f t="shared" si="4"/>
        <v>0</v>
      </c>
      <c r="L16" s="4">
        <f t="shared" si="5"/>
        <v>0</v>
      </c>
      <c r="M16" s="1">
        <f t="shared" si="6"/>
        <v>0</v>
      </c>
    </row>
    <row r="17" spans="1:13" x14ac:dyDescent="0.25">
      <c r="A17" t="s">
        <v>52</v>
      </c>
      <c r="C17" s="75">
        <f>B17</f>
        <v>0</v>
      </c>
      <c r="D17" s="2"/>
      <c r="E17" s="3"/>
      <c r="F17" s="47">
        <f t="shared" si="1"/>
        <v>0</v>
      </c>
      <c r="G17" s="1">
        <f t="shared" si="7"/>
        <v>0</v>
      </c>
      <c r="I17" s="1">
        <f t="shared" si="2"/>
        <v>0</v>
      </c>
      <c r="J17" s="4">
        <f t="shared" si="3"/>
        <v>0</v>
      </c>
      <c r="K17" s="4">
        <f t="shared" si="4"/>
        <v>0</v>
      </c>
      <c r="L17" s="4">
        <f t="shared" si="5"/>
        <v>0</v>
      </c>
      <c r="M17" s="1">
        <f t="shared" si="6"/>
        <v>0</v>
      </c>
    </row>
    <row r="18" spans="1:13" x14ac:dyDescent="0.25">
      <c r="A18" t="s">
        <v>57</v>
      </c>
      <c r="C18" s="1">
        <v>1382.89</v>
      </c>
      <c r="D18" s="2"/>
      <c r="E18" s="3">
        <v>0.14649999999999999</v>
      </c>
      <c r="F18" s="47">
        <f t="shared" si="1"/>
        <v>0</v>
      </c>
      <c r="G18" s="1">
        <f t="shared" si="7"/>
        <v>0</v>
      </c>
      <c r="I18" s="1">
        <f t="shared" si="2"/>
        <v>0</v>
      </c>
      <c r="J18" s="4">
        <f t="shared" si="3"/>
        <v>0</v>
      </c>
      <c r="K18" s="4">
        <f t="shared" si="4"/>
        <v>0</v>
      </c>
      <c r="L18" s="4">
        <f t="shared" si="5"/>
        <v>0</v>
      </c>
      <c r="M18" s="1">
        <f t="shared" si="6"/>
        <v>0</v>
      </c>
    </row>
    <row r="19" spans="1:13" x14ac:dyDescent="0.25">
      <c r="A19" t="s">
        <v>124</v>
      </c>
      <c r="C19" s="1">
        <f>B19</f>
        <v>0</v>
      </c>
      <c r="D19" s="2"/>
      <c r="E19" s="3"/>
      <c r="F19" s="47">
        <f t="shared" si="1"/>
        <v>0</v>
      </c>
      <c r="G19" s="1">
        <f t="shared" si="7"/>
        <v>0</v>
      </c>
      <c r="I19" s="1">
        <f t="shared" si="2"/>
        <v>0</v>
      </c>
      <c r="J19" s="4">
        <f t="shared" si="3"/>
        <v>0</v>
      </c>
      <c r="K19" s="4">
        <f t="shared" si="4"/>
        <v>0</v>
      </c>
      <c r="L19" s="4">
        <f t="shared" si="5"/>
        <v>0</v>
      </c>
      <c r="M19" s="1">
        <f t="shared" si="6"/>
        <v>0</v>
      </c>
    </row>
    <row r="20" spans="1:13" x14ac:dyDescent="0.25">
      <c r="A20" t="s">
        <v>107</v>
      </c>
      <c r="C20" s="1">
        <f>B20</f>
        <v>0</v>
      </c>
      <c r="D20" s="2"/>
      <c r="E20" s="3"/>
      <c r="F20" s="47">
        <f t="shared" ref="F20" si="11">IF(ISERROR(DATEDIF($A$24,D20,"m"))," ",DATEDIF($A$24,D20,"m"))</f>
        <v>0</v>
      </c>
      <c r="G20" s="1">
        <f t="shared" si="7"/>
        <v>0</v>
      </c>
      <c r="I20" s="1">
        <f t="shared" si="2"/>
        <v>0</v>
      </c>
      <c r="J20" s="4">
        <f t="shared" si="3"/>
        <v>0</v>
      </c>
      <c r="K20" s="4">
        <f t="shared" si="4"/>
        <v>0</v>
      </c>
      <c r="L20" s="4">
        <f t="shared" si="5"/>
        <v>0</v>
      </c>
      <c r="M20" s="1">
        <f t="shared" si="6"/>
        <v>0</v>
      </c>
    </row>
    <row r="21" spans="1:13" x14ac:dyDescent="0.25">
      <c r="A21" t="s">
        <v>46</v>
      </c>
      <c r="C21" s="1">
        <v>847.62</v>
      </c>
      <c r="D21" s="2"/>
      <c r="E21" s="3">
        <v>2.9000000000000001E-2</v>
      </c>
      <c r="F21" s="47">
        <f>IF(ISERROR(DATEDIF($A$24,D21,"m"))," ",DATEDIF($A$24,D21,"m"))</f>
        <v>0</v>
      </c>
      <c r="G21" s="1">
        <f t="shared" si="7"/>
        <v>0</v>
      </c>
      <c r="I21" s="1">
        <f t="shared" si="2"/>
        <v>0</v>
      </c>
      <c r="J21" s="4">
        <f t="shared" si="3"/>
        <v>0</v>
      </c>
      <c r="K21" s="4">
        <f t="shared" si="4"/>
        <v>0</v>
      </c>
      <c r="L21" s="4">
        <f t="shared" si="5"/>
        <v>0</v>
      </c>
      <c r="M21" s="1">
        <f t="shared" si="6"/>
        <v>0</v>
      </c>
    </row>
    <row r="22" spans="1:13" ht="15.75" thickBot="1" x14ac:dyDescent="0.3">
      <c r="A22" s="34"/>
      <c r="B22" s="35"/>
      <c r="C22" s="35"/>
      <c r="D22" s="34"/>
      <c r="E22" s="36"/>
      <c r="F22" s="48"/>
      <c r="G22" s="35"/>
      <c r="H22" s="35"/>
      <c r="I22" s="35"/>
      <c r="J22" s="34"/>
      <c r="K22" s="34"/>
      <c r="L22" s="34"/>
      <c r="M22" s="35"/>
    </row>
    <row r="23" spans="1:13" ht="15.75" thickTop="1" x14ac:dyDescent="0.25">
      <c r="B23" s="1">
        <f>SUM(B2:B22)</f>
        <v>0</v>
      </c>
      <c r="C23" s="1">
        <f>SUM(C2:C22)</f>
        <v>2230.5100000000002</v>
      </c>
      <c r="D23"/>
      <c r="E23" s="3">
        <f>AVERAGE(E2:E22)</f>
        <v>8.7749999999999995E-2</v>
      </c>
      <c r="G23" s="1">
        <f t="shared" ref="G23:M23" si="12">SUM(G2:G22)</f>
        <v>0</v>
      </c>
      <c r="H23" s="1">
        <f t="shared" si="12"/>
        <v>0</v>
      </c>
      <c r="I23" s="1">
        <f t="shared" si="12"/>
        <v>0</v>
      </c>
      <c r="J23" s="1">
        <f t="shared" si="12"/>
        <v>0</v>
      </c>
      <c r="K23" s="1">
        <f t="shared" si="12"/>
        <v>0</v>
      </c>
      <c r="L23" s="1">
        <f t="shared" si="12"/>
        <v>0</v>
      </c>
      <c r="M23" s="1">
        <f t="shared" si="12"/>
        <v>0</v>
      </c>
    </row>
    <row r="24" spans="1:13" x14ac:dyDescent="0.25">
      <c r="A24" s="46"/>
      <c r="C24" s="1"/>
      <c r="D24"/>
      <c r="E24" s="3"/>
      <c r="I24" s="1"/>
      <c r="L24"/>
      <c r="M24" s="1">
        <f>(B23*E23)/12</f>
        <v>0</v>
      </c>
    </row>
    <row r="25" spans="1:13" x14ac:dyDescent="0.25">
      <c r="C25" s="1"/>
      <c r="D25"/>
      <c r="E25" s="3"/>
      <c r="F25" s="1"/>
      <c r="H25" s="47"/>
      <c r="I25" s="1"/>
      <c r="L25"/>
      <c r="M25" s="1"/>
    </row>
    <row r="26" spans="1:13" x14ac:dyDescent="0.25">
      <c r="A26" s="8" t="s">
        <v>36</v>
      </c>
      <c r="B26" s="18"/>
      <c r="C26" s="18"/>
      <c r="D26" s="18">
        <v>3034.48</v>
      </c>
      <c r="E26" s="1">
        <f t="shared" ref="E26:E52" si="13">D26</f>
        <v>3034.48</v>
      </c>
      <c r="F26" s="1"/>
      <c r="H26" s="47"/>
      <c r="I26" s="6"/>
      <c r="L26"/>
      <c r="M26" s="1"/>
    </row>
    <row r="27" spans="1:13" x14ac:dyDescent="0.25">
      <c r="A27" s="8" t="s">
        <v>24</v>
      </c>
      <c r="B27" s="18">
        <f>$C$21</f>
        <v>847.62</v>
      </c>
      <c r="C27" s="18">
        <f t="shared" ref="C27:C36" si="14">B27</f>
        <v>847.62</v>
      </c>
      <c r="D27" s="18"/>
      <c r="E27" s="1">
        <f t="shared" si="13"/>
        <v>0</v>
      </c>
      <c r="F27" s="12"/>
      <c r="H27" s="47"/>
      <c r="I27" s="7"/>
      <c r="L27"/>
      <c r="M27" s="1"/>
    </row>
    <row r="28" spans="1:13" x14ac:dyDescent="0.25">
      <c r="A28" s="8" t="s">
        <v>57</v>
      </c>
      <c r="B28" s="18">
        <f>$C$18</f>
        <v>1382.89</v>
      </c>
      <c r="C28" s="18">
        <f t="shared" si="14"/>
        <v>1382.89</v>
      </c>
      <c r="D28" s="18"/>
      <c r="E28" s="1">
        <f t="shared" si="13"/>
        <v>0</v>
      </c>
      <c r="F28" s="1"/>
      <c r="H28" s="47"/>
      <c r="I28" s="1"/>
      <c r="L28"/>
      <c r="M28" s="1"/>
    </row>
    <row r="29" spans="1:13" x14ac:dyDescent="0.25">
      <c r="A29" s="8" t="s">
        <v>106</v>
      </c>
      <c r="B29" s="15">
        <f>$C$2</f>
        <v>0</v>
      </c>
      <c r="C29" s="18">
        <f t="shared" si="14"/>
        <v>0</v>
      </c>
      <c r="D29" s="18"/>
      <c r="E29" s="1">
        <f t="shared" si="13"/>
        <v>0</v>
      </c>
      <c r="F29" s="1"/>
      <c r="H29" s="47"/>
      <c r="I29" s="1"/>
      <c r="L29"/>
      <c r="M29" s="1"/>
    </row>
    <row r="30" spans="1:13" x14ac:dyDescent="0.25">
      <c r="A30" s="8" t="s">
        <v>132</v>
      </c>
      <c r="B30" s="15">
        <f>$C$3</f>
        <v>0</v>
      </c>
      <c r="C30" s="18">
        <f t="shared" si="14"/>
        <v>0</v>
      </c>
      <c r="D30" s="18"/>
      <c r="E30" s="1">
        <f t="shared" si="13"/>
        <v>0</v>
      </c>
      <c r="F30" s="1"/>
      <c r="H30" s="47"/>
      <c r="I30" s="1"/>
      <c r="L30"/>
      <c r="M30" s="1"/>
    </row>
    <row r="31" spans="1:13" x14ac:dyDescent="0.25">
      <c r="A31" s="8" t="s">
        <v>12</v>
      </c>
      <c r="B31" s="15">
        <f>$C$4</f>
        <v>0</v>
      </c>
      <c r="C31" s="18">
        <f t="shared" si="14"/>
        <v>0</v>
      </c>
      <c r="D31" s="18"/>
      <c r="E31" s="1">
        <f t="shared" si="13"/>
        <v>0</v>
      </c>
      <c r="F31" s="1"/>
      <c r="H31" s="47"/>
      <c r="I31" s="1"/>
      <c r="L31"/>
      <c r="M31" s="1"/>
    </row>
    <row r="32" spans="1:13" x14ac:dyDescent="0.25">
      <c r="A32" s="8" t="s">
        <v>14</v>
      </c>
      <c r="B32" s="15">
        <f>$C$5</f>
        <v>0</v>
      </c>
      <c r="C32" s="18">
        <f t="shared" si="14"/>
        <v>0</v>
      </c>
      <c r="D32" s="18"/>
      <c r="E32" s="1">
        <f t="shared" si="13"/>
        <v>0</v>
      </c>
      <c r="F32" s="1"/>
      <c r="H32" s="47"/>
      <c r="I32" s="1"/>
      <c r="L32"/>
      <c r="M32" s="1"/>
    </row>
    <row r="33" spans="1:14" x14ac:dyDescent="0.25">
      <c r="A33" s="8" t="s">
        <v>15</v>
      </c>
      <c r="B33" s="18">
        <f>$C$6</f>
        <v>0</v>
      </c>
      <c r="C33" s="18">
        <f t="shared" si="14"/>
        <v>0</v>
      </c>
      <c r="D33" s="18"/>
      <c r="E33" s="1">
        <f t="shared" si="13"/>
        <v>0</v>
      </c>
      <c r="F33" s="1"/>
      <c r="H33" s="47"/>
      <c r="I33" s="1"/>
      <c r="L33"/>
      <c r="M33" s="13"/>
    </row>
    <row r="34" spans="1:14" x14ac:dyDescent="0.25">
      <c r="A34" s="8" t="s">
        <v>16</v>
      </c>
      <c r="B34" s="15">
        <f>$C$7</f>
        <v>0</v>
      </c>
      <c r="C34" s="18">
        <f t="shared" si="14"/>
        <v>0</v>
      </c>
      <c r="D34" s="18"/>
      <c r="E34" s="1">
        <f t="shared" si="13"/>
        <v>0</v>
      </c>
      <c r="F34" s="1"/>
      <c r="H34" s="47"/>
      <c r="I34" s="1"/>
      <c r="J34" s="1"/>
      <c r="L34"/>
      <c r="M34" s="1"/>
    </row>
    <row r="35" spans="1:14" x14ac:dyDescent="0.25">
      <c r="A35" s="8" t="s">
        <v>17</v>
      </c>
      <c r="B35" s="15">
        <f>$C$8</f>
        <v>0</v>
      </c>
      <c r="C35" s="18">
        <f t="shared" si="14"/>
        <v>0</v>
      </c>
      <c r="D35" s="18"/>
      <c r="E35" s="1">
        <f t="shared" si="13"/>
        <v>0</v>
      </c>
      <c r="F35" s="1"/>
      <c r="H35" s="47"/>
      <c r="I35" s="1"/>
      <c r="L35"/>
      <c r="M35" s="1"/>
    </row>
    <row r="36" spans="1:14" x14ac:dyDescent="0.25">
      <c r="A36" s="8" t="s">
        <v>18</v>
      </c>
      <c r="B36" s="15">
        <f>$C$9</f>
        <v>0</v>
      </c>
      <c r="C36" s="18">
        <f t="shared" si="14"/>
        <v>0</v>
      </c>
      <c r="D36" s="18"/>
      <c r="E36" s="1">
        <f t="shared" si="13"/>
        <v>0</v>
      </c>
      <c r="F36" s="1"/>
      <c r="H36" s="47"/>
      <c r="I36" s="1"/>
      <c r="J36" s="13"/>
      <c r="L36"/>
      <c r="M36" s="1"/>
    </row>
    <row r="37" spans="1:14" x14ac:dyDescent="0.25">
      <c r="A37" s="8" t="s">
        <v>19</v>
      </c>
      <c r="B37" s="18">
        <v>250</v>
      </c>
      <c r="C37" s="18">
        <f>B37</f>
        <v>250</v>
      </c>
      <c r="D37" s="18">
        <v>250</v>
      </c>
      <c r="E37" s="1">
        <f t="shared" si="13"/>
        <v>250</v>
      </c>
      <c r="F37" s="1"/>
      <c r="H37" s="47"/>
      <c r="I37" s="1"/>
      <c r="J37" s="1"/>
      <c r="L37"/>
      <c r="M37" s="1"/>
    </row>
    <row r="38" spans="1:14" x14ac:dyDescent="0.25">
      <c r="A38" s="8" t="s">
        <v>38</v>
      </c>
      <c r="B38" s="18">
        <f>$C$12</f>
        <v>0</v>
      </c>
      <c r="C38" s="18">
        <f t="shared" ref="C38:C52" si="15">B38</f>
        <v>0</v>
      </c>
      <c r="D38" s="18"/>
      <c r="E38" s="1">
        <f t="shared" si="13"/>
        <v>0</v>
      </c>
      <c r="F38" s="1"/>
      <c r="H38" s="47"/>
      <c r="I38" s="1"/>
      <c r="J38" s="1"/>
      <c r="L38"/>
      <c r="M38" s="1"/>
    </row>
    <row r="39" spans="1:14" x14ac:dyDescent="0.25">
      <c r="A39" s="56" t="s">
        <v>21</v>
      </c>
      <c r="B39" s="18">
        <f>$C$13</f>
        <v>0</v>
      </c>
      <c r="C39" s="18">
        <f t="shared" si="15"/>
        <v>0</v>
      </c>
      <c r="D39" s="18"/>
      <c r="E39" s="1">
        <f t="shared" si="13"/>
        <v>0</v>
      </c>
      <c r="F39" s="1"/>
      <c r="H39" s="47"/>
      <c r="I39" s="1"/>
      <c r="L39"/>
      <c r="M39" s="1"/>
    </row>
    <row r="40" spans="1:14" x14ac:dyDescent="0.25">
      <c r="A40" s="8" t="s">
        <v>10</v>
      </c>
      <c r="B40" s="18">
        <f>C14</f>
        <v>0</v>
      </c>
      <c r="C40" s="18">
        <f t="shared" si="15"/>
        <v>0</v>
      </c>
      <c r="D40" s="18"/>
      <c r="E40" s="1">
        <f t="shared" si="13"/>
        <v>0</v>
      </c>
      <c r="F40" s="1"/>
      <c r="H40" s="47"/>
      <c r="I40" s="1"/>
      <c r="L40"/>
      <c r="M40" s="1"/>
    </row>
    <row r="41" spans="1:14" s="3" customFormat="1" x14ac:dyDescent="0.25">
      <c r="A41" s="8" t="s">
        <v>35</v>
      </c>
      <c r="B41" s="18">
        <f>$C$16</f>
        <v>0</v>
      </c>
      <c r="C41" s="18">
        <f t="shared" si="15"/>
        <v>0</v>
      </c>
      <c r="D41" s="18"/>
      <c r="E41" s="1">
        <f t="shared" si="13"/>
        <v>0</v>
      </c>
      <c r="F41" s="1"/>
      <c r="G41" s="1"/>
      <c r="H41" s="47"/>
      <c r="I41" s="1"/>
      <c r="J41" s="4"/>
      <c r="K41"/>
      <c r="L41"/>
      <c r="M41" s="1"/>
      <c r="N41"/>
    </row>
    <row r="42" spans="1:14" s="3" customFormat="1" x14ac:dyDescent="0.25">
      <c r="A42" s="8" t="s">
        <v>33</v>
      </c>
      <c r="B42" s="18">
        <v>265</v>
      </c>
      <c r="C42" s="18">
        <f t="shared" si="15"/>
        <v>265</v>
      </c>
      <c r="D42" s="18"/>
      <c r="E42" s="1">
        <f t="shared" si="13"/>
        <v>0</v>
      </c>
      <c r="F42" s="1"/>
      <c r="G42" s="1"/>
      <c r="H42" s="47"/>
      <c r="I42" s="1"/>
      <c r="J42"/>
      <c r="K42"/>
      <c r="L42"/>
      <c r="M42" s="1"/>
      <c r="N42"/>
    </row>
    <row r="43" spans="1:14" s="3" customFormat="1" x14ac:dyDescent="0.25">
      <c r="A43" s="8" t="s">
        <v>44</v>
      </c>
      <c r="B43" s="18"/>
      <c r="C43" s="18">
        <f t="shared" si="15"/>
        <v>0</v>
      </c>
      <c r="D43" s="18"/>
      <c r="E43" s="1">
        <f t="shared" si="13"/>
        <v>0</v>
      </c>
      <c r="F43" s="1"/>
      <c r="G43" s="1"/>
      <c r="H43" s="47"/>
      <c r="I43" s="1"/>
      <c r="J43"/>
      <c r="K43"/>
      <c r="L43"/>
      <c r="N43"/>
    </row>
    <row r="44" spans="1:14" x14ac:dyDescent="0.25">
      <c r="A44" s="8" t="s">
        <v>45</v>
      </c>
      <c r="B44" s="18">
        <v>0</v>
      </c>
      <c r="C44" s="18">
        <f t="shared" si="15"/>
        <v>0</v>
      </c>
      <c r="D44" s="18"/>
      <c r="E44" s="1">
        <f t="shared" si="13"/>
        <v>0</v>
      </c>
      <c r="F44" s="1"/>
      <c r="H44" s="47"/>
      <c r="I44" s="1"/>
      <c r="L44"/>
      <c r="M44" s="1"/>
    </row>
    <row r="45" spans="1:14" s="3" customFormat="1" x14ac:dyDescent="0.25">
      <c r="A45" s="8" t="s">
        <v>52</v>
      </c>
      <c r="B45" s="18">
        <f>C14</f>
        <v>0</v>
      </c>
      <c r="C45" s="18">
        <f t="shared" si="15"/>
        <v>0</v>
      </c>
      <c r="D45" s="18"/>
      <c r="E45" s="1">
        <f t="shared" si="13"/>
        <v>0</v>
      </c>
      <c r="F45" s="1"/>
      <c r="G45" s="1"/>
      <c r="H45" s="47"/>
      <c r="I45" s="1"/>
      <c r="J45"/>
      <c r="K45"/>
      <c r="L45"/>
      <c r="M45" s="1"/>
      <c r="N45"/>
    </row>
    <row r="46" spans="1:14" s="3" customFormat="1" x14ac:dyDescent="0.25">
      <c r="A46" s="8" t="s">
        <v>55</v>
      </c>
      <c r="B46" s="18">
        <f>$B$15</f>
        <v>0</v>
      </c>
      <c r="C46" s="18">
        <f t="shared" si="15"/>
        <v>0</v>
      </c>
      <c r="E46" s="1">
        <f t="shared" si="13"/>
        <v>0</v>
      </c>
      <c r="F46" s="1"/>
      <c r="G46" s="1"/>
      <c r="H46" s="47"/>
      <c r="I46" s="1"/>
      <c r="K46"/>
      <c r="L46"/>
      <c r="M46" s="1"/>
      <c r="N46"/>
    </row>
    <row r="47" spans="1:14" s="3" customFormat="1" x14ac:dyDescent="0.25">
      <c r="A47" s="8" t="s">
        <v>124</v>
      </c>
      <c r="B47" s="18">
        <f>$C$19</f>
        <v>0</v>
      </c>
      <c r="C47" s="18">
        <f t="shared" si="15"/>
        <v>0</v>
      </c>
      <c r="E47" s="1">
        <f t="shared" si="13"/>
        <v>0</v>
      </c>
      <c r="F47" s="1"/>
      <c r="G47" s="1"/>
      <c r="H47" s="47"/>
      <c r="I47" s="1"/>
      <c r="K47"/>
      <c r="L47"/>
      <c r="M47" s="1"/>
      <c r="N47"/>
    </row>
    <row r="48" spans="1:14" s="3" customFormat="1" x14ac:dyDescent="0.25">
      <c r="A48" s="8" t="s">
        <v>107</v>
      </c>
      <c r="B48" s="18">
        <f>$C$20</f>
        <v>0</v>
      </c>
      <c r="C48" s="18">
        <f t="shared" si="15"/>
        <v>0</v>
      </c>
      <c r="E48" s="1">
        <f t="shared" si="13"/>
        <v>0</v>
      </c>
      <c r="F48" s="1"/>
      <c r="G48" s="1"/>
      <c r="H48" s="47"/>
      <c r="I48" s="1"/>
      <c r="K48"/>
      <c r="L48"/>
      <c r="M48" s="1"/>
      <c r="N48"/>
    </row>
    <row r="49" spans="1:14" s="3" customFormat="1" x14ac:dyDescent="0.25">
      <c r="A49" s="8" t="s">
        <v>120</v>
      </c>
      <c r="B49" s="18"/>
      <c r="C49" s="18">
        <f t="shared" si="15"/>
        <v>0</v>
      </c>
      <c r="D49" s="1"/>
      <c r="E49" s="1">
        <f t="shared" si="13"/>
        <v>0</v>
      </c>
      <c r="F49" s="1"/>
      <c r="G49" s="1"/>
      <c r="H49" s="47"/>
      <c r="I49" s="1"/>
      <c r="K49"/>
      <c r="L49"/>
      <c r="M49" s="1"/>
      <c r="N49"/>
    </row>
    <row r="50" spans="1:14" s="3" customFormat="1" x14ac:dyDescent="0.25">
      <c r="A50" s="8" t="s">
        <v>131</v>
      </c>
      <c r="B50" s="18"/>
      <c r="C50" s="18">
        <f t="shared" si="15"/>
        <v>0</v>
      </c>
      <c r="D50" s="1">
        <v>79.989999999999995</v>
      </c>
      <c r="E50" s="1">
        <f t="shared" si="13"/>
        <v>79.989999999999995</v>
      </c>
      <c r="F50" s="1"/>
      <c r="G50" s="1"/>
      <c r="H50" s="47"/>
      <c r="I50" s="1"/>
      <c r="K50"/>
      <c r="L50"/>
      <c r="M50" s="1"/>
      <c r="N50"/>
    </row>
    <row r="51" spans="1:14" s="3" customFormat="1" x14ac:dyDescent="0.25">
      <c r="A51" s="8" t="s">
        <v>136</v>
      </c>
      <c r="B51" s="18"/>
      <c r="C51" s="18">
        <f t="shared" si="15"/>
        <v>0</v>
      </c>
      <c r="D51" s="1"/>
      <c r="E51" s="1">
        <f t="shared" si="13"/>
        <v>0</v>
      </c>
      <c r="F51" s="1"/>
      <c r="G51" s="1"/>
      <c r="H51" s="47"/>
      <c r="I51" s="1"/>
      <c r="K51"/>
      <c r="L51"/>
      <c r="M51" s="1"/>
      <c r="N51"/>
    </row>
    <row r="52" spans="1:14" s="3" customFormat="1" x14ac:dyDescent="0.25">
      <c r="A52" s="8" t="s">
        <v>130</v>
      </c>
      <c r="B52" s="18"/>
      <c r="C52" s="18">
        <f t="shared" si="15"/>
        <v>0</v>
      </c>
      <c r="D52" s="1">
        <v>500</v>
      </c>
      <c r="E52" s="1">
        <f t="shared" si="13"/>
        <v>500</v>
      </c>
      <c r="F52" s="1"/>
      <c r="G52" s="1"/>
      <c r="H52" s="47"/>
      <c r="I52" s="1"/>
      <c r="K52"/>
      <c r="L52"/>
      <c r="M52" s="1"/>
      <c r="N52"/>
    </row>
    <row r="53" spans="1:14" s="3" customFormat="1" ht="15.75" thickBot="1" x14ac:dyDescent="0.3">
      <c r="A53" s="37"/>
      <c r="B53" s="35"/>
      <c r="C53" s="35"/>
      <c r="D53" s="35"/>
      <c r="E53" s="36"/>
      <c r="F53" s="35"/>
      <c r="G53" s="35"/>
      <c r="H53" s="48"/>
      <c r="I53" s="35"/>
      <c r="J53" s="36"/>
      <c r="K53"/>
      <c r="L53"/>
      <c r="M53" s="1"/>
      <c r="N53"/>
    </row>
    <row r="54" spans="1:14" s="3" customFormat="1" ht="15.75" thickTop="1" x14ac:dyDescent="0.25">
      <c r="A54" s="8" t="s">
        <v>41</v>
      </c>
      <c r="B54" s="1">
        <f>SUM(B26:B53)</f>
        <v>2745.51</v>
      </c>
      <c r="C54" s="1">
        <f>SUM(C26:C53)</f>
        <v>2745.51</v>
      </c>
      <c r="D54" s="1">
        <f>SUM(D26:D53)</f>
        <v>3864.47</v>
      </c>
      <c r="E54" s="1">
        <f>SUM(E27:E53)</f>
        <v>829.99</v>
      </c>
      <c r="F54" s="1"/>
      <c r="G54" s="1"/>
      <c r="H54" s="47"/>
      <c r="I54" s="1"/>
      <c r="K54"/>
      <c r="L54"/>
      <c r="M54" s="1"/>
      <c r="N54"/>
    </row>
    <row r="55" spans="1:14" s="3" customFormat="1" ht="15.75" thickBot="1" x14ac:dyDescent="0.3">
      <c r="A55" s="34" t="s">
        <v>106</v>
      </c>
      <c r="B55" s="35"/>
      <c r="C55" s="35"/>
      <c r="D55" s="49"/>
      <c r="E55" s="36"/>
      <c r="F55" s="35"/>
      <c r="G55" s="35"/>
      <c r="H55" s="48"/>
      <c r="I55" s="35"/>
      <c r="J55" s="34"/>
      <c r="K55"/>
      <c r="L55"/>
      <c r="M55" s="1"/>
      <c r="N55"/>
    </row>
    <row r="56" spans="1:14" s="3" customFormat="1" ht="15.75" thickTop="1" x14ac:dyDescent="0.25">
      <c r="A56" s="50"/>
      <c r="B56" s="51">
        <f>B55-B54</f>
        <v>-2745.51</v>
      </c>
      <c r="C56" s="51">
        <f>C55-C54</f>
        <v>-2745.51</v>
      </c>
      <c r="D56" s="51">
        <f t="shared" ref="D56:E56" si="16">D55-D54</f>
        <v>-3864.47</v>
      </c>
      <c r="E56" s="51">
        <f t="shared" si="16"/>
        <v>-829.99</v>
      </c>
      <c r="F56" s="51"/>
      <c r="G56" s="51"/>
      <c r="H56" s="54"/>
      <c r="I56" s="51"/>
      <c r="J56" s="50"/>
      <c r="K56"/>
      <c r="L56"/>
      <c r="M56" s="1"/>
      <c r="N56"/>
    </row>
    <row r="57" spans="1:14" s="53" customFormat="1" x14ac:dyDescent="0.25">
      <c r="A57" s="50"/>
      <c r="B57" s="51"/>
      <c r="C57" s="51"/>
      <c r="D57" s="52"/>
      <c r="F57" s="51"/>
      <c r="G57" s="51"/>
      <c r="H57" s="54"/>
      <c r="I57" s="51"/>
      <c r="J57" s="50"/>
      <c r="K57" s="50"/>
      <c r="L57" s="50"/>
      <c r="M57" s="51"/>
      <c r="N57" s="50"/>
    </row>
    <row r="58" spans="1:14" x14ac:dyDescent="0.25">
      <c r="A58" s="8" t="s">
        <v>40</v>
      </c>
      <c r="B58" s="9"/>
      <c r="C58" s="9"/>
      <c r="D58" s="28"/>
      <c r="E58" s="3"/>
      <c r="F58" s="1"/>
      <c r="H58" s="47"/>
      <c r="I58" s="1"/>
      <c r="L58"/>
      <c r="M58" s="1"/>
    </row>
    <row r="59" spans="1:14" x14ac:dyDescent="0.25">
      <c r="A59" s="8" t="s">
        <v>129</v>
      </c>
      <c r="B59" s="9"/>
      <c r="C59" s="9">
        <v>0</v>
      </c>
      <c r="D59" s="28"/>
      <c r="E59" s="3"/>
      <c r="F59" s="1"/>
      <c r="H59" s="47"/>
      <c r="I59" s="1"/>
      <c r="L59"/>
      <c r="M59" s="1"/>
    </row>
    <row r="60" spans="1:14" ht="15.75" thickBot="1" x14ac:dyDescent="0.3">
      <c r="A60" s="34"/>
      <c r="B60" s="35"/>
      <c r="C60" s="35"/>
      <c r="D60" s="43"/>
      <c r="E60" s="36"/>
      <c r="F60" s="35"/>
      <c r="G60" s="35"/>
      <c r="H60" s="48"/>
      <c r="I60" s="35"/>
      <c r="J60" s="34"/>
      <c r="L60"/>
      <c r="M60" s="1"/>
    </row>
    <row r="61" spans="1:14" ht="15.75" thickTop="1" x14ac:dyDescent="0.25">
      <c r="A61" t="s">
        <v>125</v>
      </c>
      <c r="B61" s="1">
        <f>SUM(B58:B60)-B54</f>
        <v>-2745.51</v>
      </c>
      <c r="C61" s="1">
        <f>SUM(C58:C60)-C54</f>
        <v>-2745.51</v>
      </c>
      <c r="D61" s="1">
        <f>SUM(D58:D60)-D54</f>
        <v>-3864.47</v>
      </c>
      <c r="E61" s="1">
        <f>SUM(E58:E60)-E54</f>
        <v>-829.99</v>
      </c>
      <c r="F61" s="1"/>
      <c r="H61" s="47"/>
      <c r="I61" s="1"/>
      <c r="L61"/>
      <c r="M61" s="1"/>
    </row>
    <row r="62" spans="1:14" x14ac:dyDescent="0.25">
      <c r="C62" s="1"/>
      <c r="D62"/>
      <c r="E62" s="3"/>
      <c r="F62" s="1"/>
      <c r="H62" s="47"/>
      <c r="I62" s="1"/>
      <c r="L62"/>
      <c r="M62" s="1"/>
    </row>
    <row r="63" spans="1:14" x14ac:dyDescent="0.25">
      <c r="C63" s="1"/>
      <c r="D63"/>
      <c r="E63" s="3"/>
      <c r="F63" s="1"/>
      <c r="H63" s="47"/>
      <c r="I63" s="1"/>
      <c r="L63"/>
      <c r="M63" s="1"/>
    </row>
    <row r="64" spans="1:14" x14ac:dyDescent="0.25">
      <c r="C64" s="1"/>
      <c r="D64"/>
      <c r="E64" s="3"/>
      <c r="F64" s="1"/>
      <c r="H64" s="47"/>
      <c r="I64" s="1"/>
      <c r="L64"/>
      <c r="M64" s="1"/>
    </row>
  </sheetData>
  <autoFilter ref="A1:L20" xr:uid="{2946977F-407D-456D-AD87-CDC6A67FE974}"/>
  <conditionalFormatting sqref="D27:D52 B27:B52">
    <cfRule type="cellIs" dxfId="36" priority="3" operator="equal">
      <formula>0</formula>
    </cfRule>
  </conditionalFormatting>
  <conditionalFormatting sqref="B2:C21">
    <cfRule type="cellIs" dxfId="35" priority="1" operator="equal">
      <formula>0</formula>
    </cfRule>
    <cfRule type="cellIs" dxfId="34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F01C-7D8B-41AD-B328-36519CDC3A99}">
  <dimension ref="A1:L56"/>
  <sheetViews>
    <sheetView workbookViewId="0">
      <selection activeCell="C41" sqref="C41"/>
    </sheetView>
  </sheetViews>
  <sheetFormatPr defaultRowHeight="15" x14ac:dyDescent="0.25"/>
  <cols>
    <col min="1" max="1" width="12" bestFit="1" customWidth="1"/>
    <col min="2" max="2" width="12.5703125" style="1" bestFit="1" customWidth="1"/>
    <col min="3" max="3" width="18.5703125" customWidth="1"/>
    <col min="4" max="4" width="12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12.140625" bestFit="1" customWidth="1"/>
  </cols>
  <sheetData>
    <row r="1" spans="1:12" x14ac:dyDescent="0.25">
      <c r="A1" t="s">
        <v>0</v>
      </c>
      <c r="B1" s="1" t="s">
        <v>1</v>
      </c>
      <c r="C1" s="1" t="s">
        <v>50</v>
      </c>
      <c r="D1" s="5">
        <v>0</v>
      </c>
      <c r="E1" s="3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7</v>
      </c>
      <c r="K1" s="1" t="s">
        <v>8</v>
      </c>
    </row>
    <row r="2" spans="1:12" x14ac:dyDescent="0.25">
      <c r="A2" t="s">
        <v>106</v>
      </c>
      <c r="B2" s="1">
        <v>16096.54</v>
      </c>
      <c r="C2" s="1">
        <v>162</v>
      </c>
      <c r="D2" s="42">
        <v>44105</v>
      </c>
      <c r="E2" s="3">
        <v>0</v>
      </c>
      <c r="F2" s="1">
        <v>543</v>
      </c>
      <c r="G2" s="1">
        <f t="shared" ref="G2:G19" si="0">B2/3</f>
        <v>5365.5133333333333</v>
      </c>
      <c r="H2" s="4">
        <f t="shared" ref="H2:H19" si="1">B2/6</f>
        <v>2682.7566666666667</v>
      </c>
      <c r="I2" s="4">
        <f t="shared" ref="I2:I19" si="2">H2/2</f>
        <v>1341.3783333333333</v>
      </c>
      <c r="J2" s="4">
        <f t="shared" ref="J2:J19" si="3">B2/12</f>
        <v>1341.3783333333333</v>
      </c>
      <c r="K2" s="1">
        <f t="shared" ref="K2:K19" si="4">(B2*E2)/12</f>
        <v>0</v>
      </c>
    </row>
    <row r="3" spans="1:12" x14ac:dyDescent="0.25">
      <c r="A3" t="s">
        <v>12</v>
      </c>
      <c r="B3" s="1">
        <v>12086</v>
      </c>
      <c r="C3" s="1">
        <v>121</v>
      </c>
      <c r="D3" s="2">
        <v>44211</v>
      </c>
      <c r="E3" s="3">
        <v>0</v>
      </c>
      <c r="F3" s="1">
        <v>410</v>
      </c>
      <c r="G3" s="1">
        <f t="shared" si="0"/>
        <v>4028.6666666666665</v>
      </c>
      <c r="H3" s="4">
        <f t="shared" si="1"/>
        <v>2014.3333333333333</v>
      </c>
      <c r="I3" s="4">
        <f t="shared" si="2"/>
        <v>1007.1666666666666</v>
      </c>
      <c r="J3" s="4">
        <f t="shared" si="3"/>
        <v>1007.1666666666666</v>
      </c>
      <c r="K3" s="1">
        <f t="shared" si="4"/>
        <v>0</v>
      </c>
    </row>
    <row r="4" spans="1:12" x14ac:dyDescent="0.25">
      <c r="A4" t="s">
        <v>14</v>
      </c>
      <c r="B4" s="1">
        <v>84.1</v>
      </c>
      <c r="C4" s="1">
        <v>64.86</v>
      </c>
      <c r="D4" s="2"/>
      <c r="E4" s="3"/>
      <c r="G4" s="1">
        <f t="shared" si="0"/>
        <v>28.033333333333331</v>
      </c>
      <c r="H4" s="4">
        <f t="shared" si="1"/>
        <v>14.016666666666666</v>
      </c>
      <c r="I4" s="4">
        <f t="shared" si="2"/>
        <v>7.0083333333333329</v>
      </c>
      <c r="J4" s="4">
        <f t="shared" si="3"/>
        <v>7.0083333333333329</v>
      </c>
      <c r="K4" s="1">
        <f t="shared" si="4"/>
        <v>0</v>
      </c>
    </row>
    <row r="5" spans="1:12" x14ac:dyDescent="0.25">
      <c r="A5" t="s">
        <v>15</v>
      </c>
      <c r="B5" s="1">
        <v>0</v>
      </c>
      <c r="C5" s="1">
        <v>0</v>
      </c>
      <c r="D5" s="2"/>
      <c r="E5" s="3"/>
      <c r="G5" s="1">
        <f t="shared" si="0"/>
        <v>0</v>
      </c>
      <c r="H5" s="4">
        <f t="shared" si="1"/>
        <v>0</v>
      </c>
      <c r="I5" s="4">
        <f t="shared" si="2"/>
        <v>0</v>
      </c>
      <c r="J5" s="4">
        <f t="shared" si="3"/>
        <v>0</v>
      </c>
      <c r="K5" s="1">
        <f t="shared" si="4"/>
        <v>0</v>
      </c>
    </row>
    <row r="6" spans="1:12" x14ac:dyDescent="0.25">
      <c r="A6" t="s">
        <v>16</v>
      </c>
      <c r="B6" s="1">
        <v>11066.4</v>
      </c>
      <c r="C6" s="1">
        <v>113</v>
      </c>
      <c r="D6" s="2">
        <v>44209</v>
      </c>
      <c r="E6" s="3">
        <v>0</v>
      </c>
      <c r="F6" s="1">
        <v>426</v>
      </c>
      <c r="G6" s="1">
        <f t="shared" si="0"/>
        <v>3688.7999999999997</v>
      </c>
      <c r="H6" s="4">
        <f t="shared" si="1"/>
        <v>1844.3999999999999</v>
      </c>
      <c r="I6" s="4">
        <f t="shared" si="2"/>
        <v>922.19999999999993</v>
      </c>
      <c r="J6" s="4">
        <f t="shared" si="3"/>
        <v>922.19999999999993</v>
      </c>
      <c r="K6" s="1">
        <f t="shared" si="4"/>
        <v>0</v>
      </c>
    </row>
    <row r="7" spans="1:12" x14ac:dyDescent="0.25">
      <c r="A7" t="s">
        <v>17</v>
      </c>
      <c r="B7" s="1">
        <v>1561.3</v>
      </c>
      <c r="C7" s="1">
        <v>36</v>
      </c>
      <c r="D7" s="2"/>
      <c r="E7" s="3">
        <v>0.15240000000000001</v>
      </c>
      <c r="F7" s="1">
        <v>54</v>
      </c>
      <c r="G7" s="1">
        <f t="shared" si="0"/>
        <v>520.43333333333328</v>
      </c>
      <c r="H7" s="4">
        <f t="shared" si="1"/>
        <v>260.21666666666664</v>
      </c>
      <c r="I7" s="4">
        <f t="shared" si="2"/>
        <v>130.10833333333332</v>
      </c>
      <c r="J7" s="4">
        <f t="shared" si="3"/>
        <v>130.10833333333332</v>
      </c>
      <c r="K7" s="1">
        <f t="shared" si="4"/>
        <v>19.828510000000001</v>
      </c>
      <c r="L7" s="4"/>
    </row>
    <row r="8" spans="1:12" x14ac:dyDescent="0.25">
      <c r="A8" t="s">
        <v>18</v>
      </c>
      <c r="B8" s="1">
        <v>453.58</v>
      </c>
      <c r="C8" s="1">
        <v>36</v>
      </c>
      <c r="D8" s="2"/>
      <c r="E8" s="3">
        <v>0.15240000000000001</v>
      </c>
      <c r="F8" s="1">
        <v>0</v>
      </c>
      <c r="G8" s="1">
        <f t="shared" si="0"/>
        <v>151.19333333333333</v>
      </c>
      <c r="H8" s="4">
        <f t="shared" si="1"/>
        <v>75.596666666666664</v>
      </c>
      <c r="I8" s="4">
        <f t="shared" si="2"/>
        <v>37.798333333333332</v>
      </c>
      <c r="J8" s="4">
        <f t="shared" si="3"/>
        <v>37.798333333333332</v>
      </c>
      <c r="K8" s="1">
        <f t="shared" si="4"/>
        <v>5.7604660000000001</v>
      </c>
    </row>
    <row r="9" spans="1:12" x14ac:dyDescent="0.25">
      <c r="A9" t="s">
        <v>19</v>
      </c>
      <c r="C9" s="1"/>
      <c r="D9" s="2"/>
      <c r="E9" s="3"/>
      <c r="G9" s="1">
        <f t="shared" si="0"/>
        <v>0</v>
      </c>
      <c r="H9" s="4">
        <f t="shared" si="1"/>
        <v>0</v>
      </c>
      <c r="I9" s="4">
        <f t="shared" si="2"/>
        <v>0</v>
      </c>
      <c r="J9" s="4">
        <f t="shared" si="3"/>
        <v>0</v>
      </c>
      <c r="K9" s="1">
        <f t="shared" si="4"/>
        <v>0</v>
      </c>
    </row>
    <row r="10" spans="1:12" x14ac:dyDescent="0.25">
      <c r="A10" t="s">
        <v>38</v>
      </c>
      <c r="B10" s="1">
        <v>207.75</v>
      </c>
      <c r="C10" s="1">
        <v>207.75</v>
      </c>
      <c r="D10" s="2"/>
      <c r="E10" s="3"/>
      <c r="G10" s="1">
        <f t="shared" si="0"/>
        <v>69.25</v>
      </c>
      <c r="H10" s="4">
        <f t="shared" si="1"/>
        <v>34.625</v>
      </c>
      <c r="I10" s="4">
        <f t="shared" si="2"/>
        <v>17.3125</v>
      </c>
      <c r="J10" s="4">
        <f t="shared" si="3"/>
        <v>17.3125</v>
      </c>
      <c r="K10" s="1">
        <f t="shared" si="4"/>
        <v>0</v>
      </c>
    </row>
    <row r="11" spans="1:12" x14ac:dyDescent="0.25">
      <c r="A11" t="s">
        <v>21</v>
      </c>
      <c r="B11" s="1">
        <v>432.09</v>
      </c>
      <c r="C11" s="1">
        <v>80</v>
      </c>
      <c r="D11" s="2">
        <v>44358</v>
      </c>
      <c r="E11" s="3">
        <v>0</v>
      </c>
      <c r="G11" s="1">
        <f t="shared" si="0"/>
        <v>144.03</v>
      </c>
      <c r="H11" s="4">
        <f t="shared" si="1"/>
        <v>72.015000000000001</v>
      </c>
      <c r="I11" s="4">
        <f t="shared" si="2"/>
        <v>36.0075</v>
      </c>
      <c r="J11" s="4">
        <f t="shared" si="3"/>
        <v>36.0075</v>
      </c>
      <c r="K11" s="1">
        <f t="shared" si="4"/>
        <v>0</v>
      </c>
    </row>
    <row r="12" spans="1:12" x14ac:dyDescent="0.25">
      <c r="A12" t="s">
        <v>10</v>
      </c>
      <c r="B12" s="1">
        <v>31175.91</v>
      </c>
      <c r="C12" s="1"/>
      <c r="D12" s="2"/>
      <c r="E12" s="3">
        <v>0.15989999999999999</v>
      </c>
      <c r="F12" s="1">
        <v>1098</v>
      </c>
      <c r="G12" s="1">
        <f t="shared" si="0"/>
        <v>10391.969999999999</v>
      </c>
      <c r="H12" s="4">
        <f t="shared" si="1"/>
        <v>5195.9849999999997</v>
      </c>
      <c r="I12" s="4">
        <f t="shared" si="2"/>
        <v>2597.9924999999998</v>
      </c>
      <c r="J12" s="4">
        <f t="shared" si="3"/>
        <v>2597.9924999999998</v>
      </c>
      <c r="K12" s="1">
        <f t="shared" si="4"/>
        <v>415.41900074999995</v>
      </c>
    </row>
    <row r="13" spans="1:12" x14ac:dyDescent="0.25">
      <c r="A13" t="s">
        <v>56</v>
      </c>
      <c r="C13" s="1"/>
      <c r="D13" s="2"/>
      <c r="E13" s="3"/>
      <c r="G13" s="1">
        <f t="shared" si="0"/>
        <v>0</v>
      </c>
      <c r="H13" s="4">
        <f t="shared" si="1"/>
        <v>0</v>
      </c>
      <c r="I13" s="4">
        <f t="shared" si="2"/>
        <v>0</v>
      </c>
      <c r="J13" s="4">
        <f t="shared" si="3"/>
        <v>0</v>
      </c>
      <c r="K13" s="1">
        <f t="shared" si="4"/>
        <v>0</v>
      </c>
    </row>
    <row r="14" spans="1:12" x14ac:dyDescent="0.25">
      <c r="A14" t="s">
        <v>35</v>
      </c>
      <c r="B14" s="1">
        <v>103.96</v>
      </c>
      <c r="C14" s="1">
        <v>103.96</v>
      </c>
      <c r="D14" s="2"/>
      <c r="E14" s="3"/>
      <c r="G14" s="1">
        <f t="shared" si="0"/>
        <v>34.653333333333329</v>
      </c>
      <c r="H14" s="4">
        <f t="shared" si="1"/>
        <v>17.326666666666664</v>
      </c>
      <c r="I14" s="4">
        <f t="shared" si="2"/>
        <v>8.6633333333333322</v>
      </c>
      <c r="J14" s="4">
        <f t="shared" si="3"/>
        <v>8.6633333333333322</v>
      </c>
      <c r="K14" s="1">
        <f t="shared" si="4"/>
        <v>0</v>
      </c>
    </row>
    <row r="15" spans="1:12" x14ac:dyDescent="0.25">
      <c r="A15" t="s">
        <v>52</v>
      </c>
      <c r="B15" s="1">
        <v>172.49</v>
      </c>
      <c r="C15" s="1"/>
      <c r="D15" s="2"/>
      <c r="E15" s="3"/>
      <c r="G15" s="1">
        <f t="shared" si="0"/>
        <v>57.49666666666667</v>
      </c>
      <c r="H15" s="4">
        <f t="shared" si="1"/>
        <v>28.748333333333335</v>
      </c>
      <c r="I15" s="4">
        <f t="shared" si="2"/>
        <v>14.374166666666667</v>
      </c>
      <c r="J15" s="4">
        <f t="shared" si="3"/>
        <v>14.374166666666667</v>
      </c>
      <c r="K15" s="1">
        <f t="shared" si="4"/>
        <v>0</v>
      </c>
    </row>
    <row r="16" spans="1:12" x14ac:dyDescent="0.25">
      <c r="A16" t="s">
        <v>57</v>
      </c>
      <c r="B16" s="1">
        <v>40380.43</v>
      </c>
      <c r="C16" s="1">
        <f>B26</f>
        <v>1382.89</v>
      </c>
      <c r="D16" s="2"/>
      <c r="E16" s="3"/>
      <c r="G16" s="1">
        <f t="shared" si="0"/>
        <v>13460.143333333333</v>
      </c>
      <c r="H16" s="4">
        <f t="shared" si="1"/>
        <v>6730.0716666666667</v>
      </c>
      <c r="I16" s="4">
        <f t="shared" si="2"/>
        <v>3365.0358333333334</v>
      </c>
      <c r="J16" s="4">
        <f t="shared" si="3"/>
        <v>3365.0358333333334</v>
      </c>
      <c r="K16" s="1">
        <f t="shared" si="4"/>
        <v>0</v>
      </c>
    </row>
    <row r="17" spans="1:11" x14ac:dyDescent="0.25">
      <c r="A17" t="s">
        <v>124</v>
      </c>
      <c r="C17" s="1">
        <f>B44</f>
        <v>76</v>
      </c>
      <c r="D17" s="2"/>
      <c r="E17" s="3"/>
      <c r="G17" s="1">
        <f t="shared" si="0"/>
        <v>0</v>
      </c>
      <c r="H17" s="4">
        <f t="shared" si="1"/>
        <v>0</v>
      </c>
      <c r="I17" s="4">
        <f t="shared" si="2"/>
        <v>0</v>
      </c>
      <c r="J17" s="4">
        <f t="shared" si="3"/>
        <v>0</v>
      </c>
      <c r="K17" s="1">
        <f t="shared" si="4"/>
        <v>0</v>
      </c>
    </row>
    <row r="18" spans="1:11" x14ac:dyDescent="0.25">
      <c r="A18" t="s">
        <v>107</v>
      </c>
      <c r="B18" s="1">
        <v>1383</v>
      </c>
      <c r="C18" s="1">
        <f>B45</f>
        <v>347</v>
      </c>
      <c r="D18" s="2">
        <v>44176</v>
      </c>
      <c r="E18" s="3">
        <v>0</v>
      </c>
      <c r="G18" s="1">
        <f t="shared" si="0"/>
        <v>461</v>
      </c>
      <c r="H18" s="4">
        <f t="shared" si="1"/>
        <v>230.5</v>
      </c>
      <c r="I18" s="4">
        <f t="shared" si="2"/>
        <v>115.25</v>
      </c>
      <c r="J18" s="4">
        <f t="shared" si="3"/>
        <v>115.25</v>
      </c>
      <c r="K18" s="1">
        <f t="shared" si="4"/>
        <v>0</v>
      </c>
    </row>
    <row r="19" spans="1:11" x14ac:dyDescent="0.25">
      <c r="A19" t="s">
        <v>46</v>
      </c>
      <c r="B19" s="1">
        <v>39812.03</v>
      </c>
      <c r="C19" s="1"/>
      <c r="D19" s="2"/>
      <c r="E19" s="3"/>
      <c r="G19" s="1">
        <f t="shared" si="0"/>
        <v>13270.676666666666</v>
      </c>
      <c r="H19" s="4">
        <f t="shared" si="1"/>
        <v>6635.3383333333331</v>
      </c>
      <c r="I19" s="4">
        <f t="shared" si="2"/>
        <v>3317.6691666666666</v>
      </c>
      <c r="J19" s="4">
        <f t="shared" si="3"/>
        <v>3317.6691666666666</v>
      </c>
      <c r="K19" s="1">
        <f t="shared" si="4"/>
        <v>0</v>
      </c>
    </row>
    <row r="20" spans="1:11" ht="15.75" thickBot="1" x14ac:dyDescent="0.3">
      <c r="A20" s="34"/>
      <c r="B20" s="35"/>
      <c r="C20" s="35"/>
      <c r="D20" s="34"/>
      <c r="E20" s="36"/>
      <c r="F20" s="35"/>
      <c r="G20" s="35"/>
      <c r="H20" s="34"/>
      <c r="I20" s="34"/>
      <c r="J20" s="34"/>
      <c r="K20" s="35"/>
    </row>
    <row r="21" spans="1:11" ht="15.75" thickTop="1" x14ac:dyDescent="0.25">
      <c r="B21" s="1">
        <f>SUM(B2:B20)</f>
        <v>155015.58000000002</v>
      </c>
      <c r="C21" s="1">
        <f>SUM(C2:C20)</f>
        <v>2730.46</v>
      </c>
      <c r="D21"/>
      <c r="E21" s="3">
        <f>AVERAGE(E2:E20)</f>
        <v>5.80875E-2</v>
      </c>
      <c r="F21" s="1">
        <f t="shared" ref="F21:K21" si="5">SUM(F2:F20)</f>
        <v>2531</v>
      </c>
      <c r="G21" s="1">
        <f t="shared" si="5"/>
        <v>51671.86</v>
      </c>
      <c r="H21" s="1">
        <f t="shared" si="5"/>
        <v>25835.93</v>
      </c>
      <c r="I21" s="1">
        <f t="shared" si="5"/>
        <v>12917.965</v>
      </c>
      <c r="J21" s="1">
        <f t="shared" si="5"/>
        <v>12917.965</v>
      </c>
      <c r="K21" s="1">
        <f t="shared" si="5"/>
        <v>441.00797674999995</v>
      </c>
    </row>
    <row r="22" spans="1:11" x14ac:dyDescent="0.25">
      <c r="C22" s="1"/>
      <c r="D22"/>
      <c r="E22" s="3"/>
      <c r="G22" s="1"/>
      <c r="J22"/>
      <c r="K22" s="1">
        <f>(B21*E21)/12</f>
        <v>750.37229193750011</v>
      </c>
    </row>
    <row r="24" spans="1:11" x14ac:dyDescent="0.25">
      <c r="A24" s="8" t="s">
        <v>36</v>
      </c>
      <c r="B24" s="18"/>
      <c r="C24" s="15">
        <f>D24</f>
        <v>3385.94</v>
      </c>
      <c r="D24" s="1">
        <v>3385.94</v>
      </c>
      <c r="F24" s="6"/>
    </row>
    <row r="25" spans="1:11" x14ac:dyDescent="0.25">
      <c r="A25" s="8" t="s">
        <v>24</v>
      </c>
      <c r="B25" s="15">
        <f>D25</f>
        <v>847.62</v>
      </c>
      <c r="C25" s="18"/>
      <c r="D25" s="1">
        <v>847.62</v>
      </c>
      <c r="E25" s="12">
        <f>SUM(B25:B25)</f>
        <v>847.62</v>
      </c>
      <c r="F25" s="7"/>
    </row>
    <row r="26" spans="1:11" x14ac:dyDescent="0.25">
      <c r="A26" s="8" t="s">
        <v>57</v>
      </c>
      <c r="B26" s="15">
        <f>D26</f>
        <v>1382.89</v>
      </c>
      <c r="C26" s="18"/>
      <c r="D26" s="1">
        <v>1382.89</v>
      </c>
    </row>
    <row r="27" spans="1:11" x14ac:dyDescent="0.25">
      <c r="A27" s="8" t="s">
        <v>106</v>
      </c>
      <c r="B27" s="15">
        <f>C2</f>
        <v>162</v>
      </c>
      <c r="C27" s="18"/>
      <c r="D27" s="1"/>
    </row>
    <row r="28" spans="1:11" x14ac:dyDescent="0.25">
      <c r="A28" s="8" t="s">
        <v>12</v>
      </c>
      <c r="B28" s="15">
        <f t="shared" ref="B28:B33" si="6">C3</f>
        <v>121</v>
      </c>
      <c r="C28" s="18"/>
    </row>
    <row r="29" spans="1:11" x14ac:dyDescent="0.25">
      <c r="A29" s="8" t="s">
        <v>14</v>
      </c>
      <c r="B29" s="15">
        <f t="shared" si="6"/>
        <v>64.86</v>
      </c>
      <c r="C29" s="18"/>
    </row>
    <row r="30" spans="1:11" x14ac:dyDescent="0.25">
      <c r="A30" s="8" t="s">
        <v>15</v>
      </c>
      <c r="B30" s="18">
        <f t="shared" si="6"/>
        <v>0</v>
      </c>
      <c r="C30" s="18"/>
      <c r="J30" s="13"/>
    </row>
    <row r="31" spans="1:11" x14ac:dyDescent="0.25">
      <c r="A31" s="8" t="s">
        <v>16</v>
      </c>
      <c r="B31" s="15">
        <f t="shared" si="6"/>
        <v>113</v>
      </c>
      <c r="C31" s="18"/>
      <c r="G31" s="1"/>
    </row>
    <row r="32" spans="1:11" x14ac:dyDescent="0.25">
      <c r="A32" s="8" t="s">
        <v>17</v>
      </c>
      <c r="B32" s="15">
        <f t="shared" si="6"/>
        <v>36</v>
      </c>
      <c r="C32" s="18"/>
    </row>
    <row r="33" spans="1:11" x14ac:dyDescent="0.25">
      <c r="A33" s="8" t="s">
        <v>18</v>
      </c>
      <c r="B33" s="15">
        <f t="shared" si="6"/>
        <v>36</v>
      </c>
      <c r="C33" s="18"/>
      <c r="G33" s="13"/>
    </row>
    <row r="34" spans="1:11" x14ac:dyDescent="0.25">
      <c r="A34" s="8" t="s">
        <v>19</v>
      </c>
      <c r="B34" s="15">
        <v>250</v>
      </c>
      <c r="C34" s="15">
        <v>250</v>
      </c>
      <c r="G34" s="1"/>
    </row>
    <row r="35" spans="1:11" x14ac:dyDescent="0.25">
      <c r="A35" s="8" t="s">
        <v>38</v>
      </c>
      <c r="B35" s="15">
        <f>C10</f>
        <v>207.75</v>
      </c>
      <c r="C35" s="18"/>
      <c r="G35" s="1"/>
    </row>
    <row r="36" spans="1:11" x14ac:dyDescent="0.25">
      <c r="A36" s="8" t="s">
        <v>21</v>
      </c>
      <c r="B36" s="15">
        <f>C11</f>
        <v>80</v>
      </c>
      <c r="C36" s="18"/>
    </row>
    <row r="37" spans="1:11" x14ac:dyDescent="0.25">
      <c r="A37" s="8" t="s">
        <v>10</v>
      </c>
      <c r="B37" s="18">
        <f>C12</f>
        <v>0</v>
      </c>
      <c r="C37" s="18"/>
    </row>
    <row r="38" spans="1:11" s="3" customFormat="1" x14ac:dyDescent="0.25">
      <c r="A38" s="8" t="s">
        <v>35</v>
      </c>
      <c r="B38" s="15">
        <f>C14</f>
        <v>103.96</v>
      </c>
      <c r="C38" s="18"/>
      <c r="E38" s="1"/>
      <c r="F38" s="1"/>
      <c r="G38" s="4"/>
      <c r="H38"/>
      <c r="I38"/>
      <c r="J38" s="1"/>
      <c r="K38"/>
    </row>
    <row r="39" spans="1:11" s="3" customFormat="1" x14ac:dyDescent="0.25">
      <c r="A39" s="8" t="s">
        <v>33</v>
      </c>
      <c r="B39" s="15">
        <v>253</v>
      </c>
      <c r="C39" s="18"/>
      <c r="E39" s="1"/>
      <c r="F39" s="1"/>
      <c r="G39"/>
      <c r="H39"/>
      <c r="I39"/>
      <c r="J39" s="1"/>
      <c r="K39"/>
    </row>
    <row r="40" spans="1:11" s="3" customFormat="1" x14ac:dyDescent="0.25">
      <c r="A40" s="8" t="s">
        <v>44</v>
      </c>
      <c r="B40" s="15">
        <f>484.08-204.72</f>
        <v>279.36</v>
      </c>
      <c r="C40" s="15">
        <f>454.23-279.36</f>
        <v>174.87</v>
      </c>
      <c r="E40" s="1"/>
      <c r="F40" s="1"/>
      <c r="G40"/>
      <c r="H40"/>
      <c r="I40"/>
      <c r="K40"/>
    </row>
    <row r="41" spans="1:11" x14ac:dyDescent="0.25">
      <c r="A41" s="8" t="s">
        <v>45</v>
      </c>
      <c r="B41" s="18">
        <v>0</v>
      </c>
      <c r="C41" s="18"/>
      <c r="D41" s="1"/>
    </row>
    <row r="42" spans="1:11" s="3" customFormat="1" x14ac:dyDescent="0.25">
      <c r="A42" s="8" t="s">
        <v>52</v>
      </c>
      <c r="B42" s="15">
        <v>168.59</v>
      </c>
      <c r="C42" s="18"/>
      <c r="D42" s="1"/>
      <c r="E42" s="1"/>
      <c r="F42" s="1"/>
      <c r="G42"/>
      <c r="H42"/>
      <c r="I42"/>
      <c r="J42" s="1"/>
      <c r="K42"/>
    </row>
    <row r="43" spans="1:11" s="3" customFormat="1" x14ac:dyDescent="0.25">
      <c r="A43" s="8" t="s">
        <v>55</v>
      </c>
      <c r="B43" s="18">
        <f>B13</f>
        <v>0</v>
      </c>
      <c r="D43" s="1"/>
      <c r="E43" s="1"/>
      <c r="F43" s="1"/>
      <c r="H43"/>
      <c r="I43"/>
      <c r="J43" s="1"/>
      <c r="K43"/>
    </row>
    <row r="44" spans="1:11" s="3" customFormat="1" x14ac:dyDescent="0.25">
      <c r="A44" s="8" t="s">
        <v>124</v>
      </c>
      <c r="B44" s="15">
        <v>76</v>
      </c>
      <c r="D44" s="1"/>
      <c r="E44" s="1"/>
      <c r="F44" s="1"/>
      <c r="H44"/>
      <c r="I44"/>
      <c r="J44" s="1"/>
      <c r="K44"/>
    </row>
    <row r="45" spans="1:11" s="3" customFormat="1" x14ac:dyDescent="0.25">
      <c r="A45" s="8" t="s">
        <v>107</v>
      </c>
      <c r="B45" s="15">
        <v>347</v>
      </c>
      <c r="D45" s="1"/>
      <c r="E45" s="1"/>
      <c r="F45" s="1"/>
      <c r="H45"/>
      <c r="I45"/>
      <c r="J45" s="1"/>
      <c r="K45"/>
    </row>
    <row r="46" spans="1:11" s="3" customFormat="1" x14ac:dyDescent="0.25">
      <c r="A46" s="8" t="s">
        <v>120</v>
      </c>
      <c r="B46" s="18"/>
      <c r="C46" s="1"/>
      <c r="D46" s="1"/>
      <c r="E46" s="1"/>
      <c r="F46" s="1"/>
      <c r="H46"/>
      <c r="I46"/>
      <c r="J46" s="1"/>
      <c r="K46"/>
    </row>
    <row r="47" spans="1:11" s="3" customFormat="1" x14ac:dyDescent="0.25">
      <c r="A47" s="8" t="s">
        <v>131</v>
      </c>
      <c r="B47" s="18"/>
      <c r="C47" s="15">
        <v>79.989999999999995</v>
      </c>
      <c r="D47" s="1"/>
      <c r="E47" s="1"/>
      <c r="F47" s="1"/>
      <c r="H47"/>
      <c r="I47"/>
      <c r="J47" s="1"/>
      <c r="K47"/>
    </row>
    <row r="48" spans="1:11" s="3" customFormat="1" x14ac:dyDescent="0.25">
      <c r="A48" s="8" t="s">
        <v>130</v>
      </c>
      <c r="B48" s="18"/>
      <c r="C48" s="15">
        <v>500</v>
      </c>
      <c r="D48" s="1"/>
      <c r="E48" s="1"/>
      <c r="F48" s="1"/>
      <c r="H48"/>
      <c r="I48"/>
      <c r="J48" s="1"/>
      <c r="K48"/>
    </row>
    <row r="49" spans="1:11" s="3" customFormat="1" ht="15.75" thickBot="1" x14ac:dyDescent="0.3">
      <c r="A49" s="37"/>
      <c r="B49" s="35"/>
      <c r="C49" s="35"/>
      <c r="D49" s="36"/>
      <c r="E49" s="35"/>
      <c r="F49" s="35"/>
      <c r="G49" s="36"/>
      <c r="H49"/>
      <c r="I49"/>
      <c r="J49" s="1"/>
      <c r="K49"/>
    </row>
    <row r="50" spans="1:11" s="3" customFormat="1" ht="15.75" thickTop="1" x14ac:dyDescent="0.25">
      <c r="A50" s="8" t="s">
        <v>41</v>
      </c>
      <c r="B50" s="1">
        <f>SUM(B24:B49)</f>
        <v>4529.0300000000007</v>
      </c>
      <c r="C50" s="1">
        <f>SUM(C24:C49)</f>
        <v>4390.7999999999993</v>
      </c>
      <c r="D50" s="1">
        <f>SUM(D24:D49)</f>
        <v>5616.4500000000007</v>
      </c>
      <c r="E50" s="1"/>
      <c r="F50" s="1"/>
      <c r="H50"/>
      <c r="I50"/>
      <c r="J50" s="1"/>
      <c r="K50"/>
    </row>
    <row r="51" spans="1:11" s="3" customFormat="1" x14ac:dyDescent="0.25">
      <c r="A51"/>
      <c r="B51" s="1"/>
      <c r="C51" s="45">
        <f>SUM(C25:C49)</f>
        <v>1004.86</v>
      </c>
      <c r="D51" s="3" t="s">
        <v>119</v>
      </c>
      <c r="E51" s="1"/>
      <c r="F51" s="1"/>
      <c r="G51"/>
      <c r="H51"/>
      <c r="I51"/>
      <c r="J51" s="1"/>
      <c r="K51"/>
    </row>
    <row r="52" spans="1:11" s="3" customFormat="1" ht="15.75" thickBot="1" x14ac:dyDescent="0.3">
      <c r="A52" s="34"/>
      <c r="B52" s="35"/>
      <c r="C52" s="43"/>
      <c r="D52" s="36"/>
      <c r="E52" s="35"/>
      <c r="F52" s="35"/>
      <c r="G52" s="34"/>
      <c r="H52"/>
      <c r="I52"/>
      <c r="J52" s="1"/>
      <c r="K52"/>
    </row>
    <row r="53" spans="1:11" ht="15.75" thickTop="1" x14ac:dyDescent="0.25">
      <c r="A53" s="8" t="s">
        <v>40</v>
      </c>
      <c r="B53" s="9">
        <v>3889.12</v>
      </c>
      <c r="C53" s="28">
        <v>3965.43</v>
      </c>
    </row>
    <row r="54" spans="1:11" x14ac:dyDescent="0.25">
      <c r="A54" s="8" t="s">
        <v>129</v>
      </c>
      <c r="B54" s="9">
        <v>0</v>
      </c>
      <c r="C54" s="9">
        <v>0</v>
      </c>
    </row>
    <row r="55" spans="1:11" ht="15.75" thickBot="1" x14ac:dyDescent="0.3">
      <c r="A55" s="34"/>
      <c r="B55" s="35"/>
      <c r="C55" s="43"/>
      <c r="D55" s="36"/>
      <c r="E55" s="35"/>
      <c r="F55" s="35"/>
      <c r="G55" s="34"/>
    </row>
    <row r="56" spans="1:11" ht="15.75" thickTop="1" x14ac:dyDescent="0.25">
      <c r="A56" t="s">
        <v>125</v>
      </c>
      <c r="B56" s="1">
        <f>SUM(B53:B55)-B50</f>
        <v>-639.91000000000076</v>
      </c>
      <c r="C56" s="1">
        <f>SUM(C53:C55)-C50</f>
        <v>-425.36999999999944</v>
      </c>
    </row>
  </sheetData>
  <autoFilter ref="A1:K19" xr:uid="{2946977F-407D-456D-AD87-CDC6A67FE974}"/>
  <conditionalFormatting sqref="B25:C48">
    <cfRule type="cellIs" dxfId="18" priority="3" operator="equal">
      <formula>0</formula>
    </cfRule>
  </conditionalFormatting>
  <conditionalFormatting sqref="B2:C19">
    <cfRule type="cellIs" dxfId="17" priority="1" operator="equal">
      <formula>0</formula>
    </cfRule>
    <cfRule type="cellIs" dxfId="16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2DCB-DE96-445E-B3E3-A41D84F4C7B6}">
  <dimension ref="A1:K60"/>
  <sheetViews>
    <sheetView workbookViewId="0">
      <selection activeCell="C25" sqref="C25"/>
    </sheetView>
  </sheetViews>
  <sheetFormatPr defaultRowHeight="15" x14ac:dyDescent="0.25"/>
  <cols>
    <col min="1" max="1" width="12" bestFit="1" customWidth="1"/>
    <col min="2" max="2" width="12.5703125" style="1" bestFit="1" customWidth="1"/>
    <col min="3" max="3" width="18.5703125" style="23" customWidth="1"/>
    <col min="4" max="4" width="12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7" bestFit="1" customWidth="1"/>
  </cols>
  <sheetData>
    <row r="1" spans="1:11" x14ac:dyDescent="0.25">
      <c r="A1" t="s">
        <v>0</v>
      </c>
      <c r="B1" s="1" t="s">
        <v>1</v>
      </c>
      <c r="C1" s="5" t="s">
        <v>126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1" x14ac:dyDescent="0.25">
      <c r="A2" t="s">
        <v>106</v>
      </c>
      <c r="B2" s="1">
        <v>16766.54</v>
      </c>
      <c r="C2" s="22">
        <v>44105</v>
      </c>
      <c r="D2" s="3">
        <v>0</v>
      </c>
      <c r="F2" s="1">
        <f>B2/3</f>
        <v>5588.8466666666673</v>
      </c>
      <c r="G2" s="4">
        <f>B2/6</f>
        <v>2794.4233333333336</v>
      </c>
      <c r="H2" s="4">
        <f>G2/2</f>
        <v>1397.2116666666668</v>
      </c>
      <c r="I2" s="4">
        <f>B2/12</f>
        <v>1397.2116666666668</v>
      </c>
      <c r="J2" s="1">
        <f>(B2*D2)/12</f>
        <v>0</v>
      </c>
    </row>
    <row r="3" spans="1:11" x14ac:dyDescent="0.25">
      <c r="A3" t="s">
        <v>12</v>
      </c>
      <c r="B3" s="1">
        <v>12211</v>
      </c>
      <c r="C3" s="22">
        <v>44211</v>
      </c>
      <c r="D3" s="3">
        <v>0</v>
      </c>
      <c r="F3" s="1">
        <f t="shared" ref="F3:F20" si="0">B3/3</f>
        <v>4070.3333333333335</v>
      </c>
      <c r="G3" s="4">
        <f t="shared" ref="G3:G20" si="1">B3/6</f>
        <v>2035.1666666666667</v>
      </c>
      <c r="H3" s="4">
        <f t="shared" ref="H3:H20" si="2">G3/2</f>
        <v>1017.5833333333334</v>
      </c>
      <c r="I3" s="4">
        <f t="shared" ref="I3:I20" si="3">B3/12</f>
        <v>1017.5833333333334</v>
      </c>
      <c r="J3" s="1">
        <f t="shared" ref="J3:J20" si="4">(B3*D3)/12</f>
        <v>0</v>
      </c>
    </row>
    <row r="4" spans="1:11" x14ac:dyDescent="0.25">
      <c r="A4" t="s">
        <v>14</v>
      </c>
      <c r="B4" s="1">
        <v>64.86</v>
      </c>
      <c r="C4" s="22"/>
      <c r="F4" s="1">
        <f t="shared" si="0"/>
        <v>21.62</v>
      </c>
      <c r="G4" s="4">
        <f t="shared" si="1"/>
        <v>10.81</v>
      </c>
      <c r="H4" s="4">
        <f t="shared" si="2"/>
        <v>5.4050000000000002</v>
      </c>
      <c r="I4" s="4">
        <f t="shared" si="3"/>
        <v>5.4050000000000002</v>
      </c>
      <c r="J4" s="1">
        <f t="shared" si="4"/>
        <v>0</v>
      </c>
    </row>
    <row r="5" spans="1:11" x14ac:dyDescent="0.25">
      <c r="A5" t="s">
        <v>15</v>
      </c>
      <c r="B5" s="1">
        <v>0</v>
      </c>
      <c r="C5" s="22"/>
      <c r="F5" s="1">
        <f t="shared" si="0"/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1">
        <f t="shared" si="4"/>
        <v>0</v>
      </c>
    </row>
    <row r="6" spans="1:11" x14ac:dyDescent="0.25">
      <c r="A6" t="s">
        <v>16</v>
      </c>
      <c r="B6" s="1">
        <v>11179.24</v>
      </c>
      <c r="C6" s="22">
        <v>44227</v>
      </c>
      <c r="D6" s="3">
        <v>0</v>
      </c>
      <c r="F6" s="1">
        <f t="shared" si="0"/>
        <v>3726.4133333333334</v>
      </c>
      <c r="G6" s="4">
        <f t="shared" si="1"/>
        <v>1863.2066666666667</v>
      </c>
      <c r="H6" s="4">
        <f t="shared" si="2"/>
        <v>931.60333333333335</v>
      </c>
      <c r="I6" s="4">
        <f t="shared" si="3"/>
        <v>931.60333333333335</v>
      </c>
      <c r="J6" s="1">
        <f t="shared" si="4"/>
        <v>0</v>
      </c>
    </row>
    <row r="7" spans="1:11" x14ac:dyDescent="0.25">
      <c r="A7" t="s">
        <v>17</v>
      </c>
      <c r="B7" s="1">
        <v>1580.94</v>
      </c>
      <c r="C7" s="22"/>
      <c r="D7" s="3">
        <v>0.15240000000000001</v>
      </c>
      <c r="F7" s="1">
        <f t="shared" si="0"/>
        <v>526.98</v>
      </c>
      <c r="G7" s="4">
        <f t="shared" si="1"/>
        <v>263.49</v>
      </c>
      <c r="H7" s="4">
        <f t="shared" si="2"/>
        <v>131.745</v>
      </c>
      <c r="I7" s="4">
        <f t="shared" si="3"/>
        <v>131.745</v>
      </c>
      <c r="J7" s="1">
        <f t="shared" si="4"/>
        <v>20.077938</v>
      </c>
      <c r="K7" s="4"/>
    </row>
    <row r="8" spans="1:11" x14ac:dyDescent="0.25">
      <c r="A8" t="s">
        <v>18</v>
      </c>
      <c r="B8" s="1">
        <v>0</v>
      </c>
      <c r="C8" s="22"/>
      <c r="F8" s="1">
        <f t="shared" si="0"/>
        <v>0</v>
      </c>
      <c r="G8" s="4">
        <f t="shared" si="1"/>
        <v>0</v>
      </c>
      <c r="H8" s="4">
        <f t="shared" si="2"/>
        <v>0</v>
      </c>
      <c r="I8" s="4">
        <f t="shared" si="3"/>
        <v>0</v>
      </c>
      <c r="J8" s="1">
        <f t="shared" si="4"/>
        <v>0</v>
      </c>
    </row>
    <row r="9" spans="1:11" x14ac:dyDescent="0.25">
      <c r="A9" t="s">
        <v>19</v>
      </c>
      <c r="B9" s="1">
        <v>8794.06</v>
      </c>
      <c r="C9" s="22">
        <v>44306</v>
      </c>
      <c r="D9" s="3">
        <v>0</v>
      </c>
      <c r="F9" s="1">
        <f t="shared" si="0"/>
        <v>2931.353333333333</v>
      </c>
      <c r="G9" s="4">
        <f t="shared" si="1"/>
        <v>1465.6766666666665</v>
      </c>
      <c r="H9" s="4">
        <f t="shared" si="2"/>
        <v>732.83833333333325</v>
      </c>
      <c r="I9" s="4">
        <f t="shared" si="3"/>
        <v>732.83833333333325</v>
      </c>
      <c r="J9" s="1">
        <f>(B9*D9)/12</f>
        <v>0</v>
      </c>
    </row>
    <row r="10" spans="1:11" x14ac:dyDescent="0.25">
      <c r="A10" t="s">
        <v>19</v>
      </c>
      <c r="B10" s="1">
        <v>10300.790000000001</v>
      </c>
      <c r="C10" s="22"/>
      <c r="D10" s="3">
        <v>7.2400000000000006E-2</v>
      </c>
      <c r="F10" s="1">
        <f>B10/3</f>
        <v>3433.5966666666668</v>
      </c>
      <c r="G10" s="4">
        <f>B10/6</f>
        <v>1716.7983333333334</v>
      </c>
      <c r="H10" s="4">
        <f>G10/2</f>
        <v>858.3991666666667</v>
      </c>
      <c r="I10" s="4">
        <f>B10/12</f>
        <v>858.3991666666667</v>
      </c>
      <c r="J10" s="1">
        <f>(B10*D10)/12</f>
        <v>62.148099666666674</v>
      </c>
    </row>
    <row r="11" spans="1:11" x14ac:dyDescent="0.25">
      <c r="A11" t="s">
        <v>38</v>
      </c>
      <c r="B11" s="1">
        <v>11.9</v>
      </c>
      <c r="C11" s="22"/>
      <c r="F11" s="1">
        <f t="shared" si="0"/>
        <v>3.9666666666666668</v>
      </c>
      <c r="G11" s="4">
        <f t="shared" si="1"/>
        <v>1.9833333333333334</v>
      </c>
      <c r="H11" s="4">
        <f t="shared" si="2"/>
        <v>0.9916666666666667</v>
      </c>
      <c r="I11" s="4">
        <f t="shared" si="3"/>
        <v>0.9916666666666667</v>
      </c>
      <c r="J11" s="1">
        <f t="shared" si="4"/>
        <v>0</v>
      </c>
    </row>
    <row r="12" spans="1:11" x14ac:dyDescent="0.25">
      <c r="A12" t="s">
        <v>21</v>
      </c>
      <c r="B12" s="1">
        <v>382.13</v>
      </c>
      <c r="C12" s="22">
        <v>44358</v>
      </c>
      <c r="D12" s="3">
        <v>0</v>
      </c>
      <c r="F12" s="1">
        <f t="shared" si="0"/>
        <v>127.37666666666667</v>
      </c>
      <c r="G12" s="4">
        <f t="shared" si="1"/>
        <v>63.688333333333333</v>
      </c>
      <c r="H12" s="4">
        <f t="shared" si="2"/>
        <v>31.844166666666666</v>
      </c>
      <c r="I12" s="4">
        <f t="shared" si="3"/>
        <v>31.844166666666666</v>
      </c>
      <c r="J12" s="1">
        <f t="shared" si="4"/>
        <v>0</v>
      </c>
    </row>
    <row r="13" spans="1:11" x14ac:dyDescent="0.25">
      <c r="A13" t="s">
        <v>10</v>
      </c>
      <c r="C13" s="22"/>
      <c r="F13" s="1">
        <f t="shared" si="0"/>
        <v>0</v>
      </c>
      <c r="G13" s="4">
        <f t="shared" si="1"/>
        <v>0</v>
      </c>
      <c r="H13" s="4">
        <f t="shared" si="2"/>
        <v>0</v>
      </c>
      <c r="I13" s="4">
        <f t="shared" si="3"/>
        <v>0</v>
      </c>
      <c r="J13" s="1">
        <f t="shared" si="4"/>
        <v>0</v>
      </c>
    </row>
    <row r="14" spans="1:11" x14ac:dyDescent="0.25">
      <c r="A14" t="s">
        <v>56</v>
      </c>
      <c r="C14" s="22"/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  <c r="J14" s="1">
        <f t="shared" si="4"/>
        <v>0</v>
      </c>
    </row>
    <row r="15" spans="1:11" x14ac:dyDescent="0.25">
      <c r="A15" t="s">
        <v>35</v>
      </c>
      <c r="C15" s="22"/>
      <c r="F15" s="1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  <c r="J15" s="1">
        <f t="shared" si="4"/>
        <v>0</v>
      </c>
    </row>
    <row r="16" spans="1:11" x14ac:dyDescent="0.25">
      <c r="A16" t="s">
        <v>52</v>
      </c>
      <c r="C16" s="22"/>
      <c r="F16" s="1">
        <f t="shared" si="0"/>
        <v>0</v>
      </c>
      <c r="G16" s="4">
        <f t="shared" si="1"/>
        <v>0</v>
      </c>
      <c r="H16" s="4">
        <f t="shared" si="2"/>
        <v>0</v>
      </c>
      <c r="I16" s="4">
        <f t="shared" si="3"/>
        <v>0</v>
      </c>
      <c r="J16" s="1">
        <f t="shared" si="4"/>
        <v>0</v>
      </c>
    </row>
    <row r="17" spans="1:10" x14ac:dyDescent="0.25">
      <c r="A17" t="s">
        <v>57</v>
      </c>
      <c r="B17" s="1">
        <v>41277.69</v>
      </c>
      <c r="C17" s="22"/>
      <c r="F17" s="1">
        <f t="shared" si="0"/>
        <v>13759.230000000001</v>
      </c>
      <c r="G17" s="4">
        <f t="shared" si="1"/>
        <v>6879.6150000000007</v>
      </c>
      <c r="H17" s="4">
        <f t="shared" si="2"/>
        <v>3439.8075000000003</v>
      </c>
      <c r="I17" s="4">
        <f t="shared" si="3"/>
        <v>3439.8075000000003</v>
      </c>
      <c r="J17" s="1">
        <f t="shared" si="4"/>
        <v>0</v>
      </c>
    </row>
    <row r="18" spans="1:10" x14ac:dyDescent="0.25">
      <c r="A18" t="s">
        <v>124</v>
      </c>
      <c r="B18" s="1">
        <v>454.55</v>
      </c>
      <c r="C18" s="22">
        <v>44211</v>
      </c>
      <c r="D18" s="3">
        <v>0</v>
      </c>
      <c r="F18" s="1">
        <f t="shared" si="0"/>
        <v>151.51666666666668</v>
      </c>
      <c r="G18" s="4">
        <f t="shared" si="1"/>
        <v>75.75833333333334</v>
      </c>
      <c r="H18" s="4">
        <f t="shared" si="2"/>
        <v>37.87916666666667</v>
      </c>
      <c r="I18" s="4">
        <f t="shared" si="3"/>
        <v>37.87916666666667</v>
      </c>
      <c r="J18" s="1">
        <f t="shared" si="4"/>
        <v>0</v>
      </c>
    </row>
    <row r="19" spans="1:10" x14ac:dyDescent="0.25">
      <c r="A19" t="s">
        <v>107</v>
      </c>
      <c r="B19" s="1">
        <v>1730</v>
      </c>
      <c r="C19" s="22">
        <v>44176</v>
      </c>
      <c r="D19" s="3">
        <v>0</v>
      </c>
      <c r="F19" s="1">
        <f t="shared" si="0"/>
        <v>576.66666666666663</v>
      </c>
      <c r="G19" s="4">
        <f t="shared" si="1"/>
        <v>288.33333333333331</v>
      </c>
      <c r="H19" s="4">
        <f t="shared" si="2"/>
        <v>144.16666666666666</v>
      </c>
      <c r="I19" s="4">
        <f t="shared" si="3"/>
        <v>144.16666666666666</v>
      </c>
      <c r="J19" s="1">
        <f t="shared" si="4"/>
        <v>0</v>
      </c>
    </row>
    <row r="20" spans="1:10" x14ac:dyDescent="0.25">
      <c r="A20" t="s">
        <v>46</v>
      </c>
      <c r="C20" s="22"/>
      <c r="F20" s="1">
        <f t="shared" si="0"/>
        <v>0</v>
      </c>
      <c r="G20" s="4">
        <f t="shared" si="1"/>
        <v>0</v>
      </c>
      <c r="H20" s="4">
        <f t="shared" si="2"/>
        <v>0</v>
      </c>
      <c r="I20" s="4">
        <f t="shared" si="3"/>
        <v>0</v>
      </c>
      <c r="J20" s="1">
        <f t="shared" si="4"/>
        <v>0</v>
      </c>
    </row>
    <row r="21" spans="1:10" ht="15.75" thickBot="1" x14ac:dyDescent="0.3">
      <c r="A21" s="34"/>
      <c r="B21" s="35"/>
      <c r="C21" s="43"/>
      <c r="D21" s="36"/>
      <c r="E21" s="35"/>
      <c r="F21" s="35"/>
      <c r="G21" s="34"/>
      <c r="H21" s="34"/>
      <c r="I21" s="34"/>
      <c r="J21" s="35"/>
    </row>
    <row r="22" spans="1:10" ht="15.75" thickTop="1" x14ac:dyDescent="0.25">
      <c r="B22" s="1">
        <f>SUM(B2:B21)</f>
        <v>104753.7</v>
      </c>
      <c r="D22" s="3">
        <f>AVERAGE(D2:D21)</f>
        <v>2.4977777777777779E-2</v>
      </c>
      <c r="E22" s="1">
        <f t="shared" ref="E22:J22" si="5">SUM(E2:E21)</f>
        <v>0</v>
      </c>
      <c r="F22" s="1">
        <f t="shared" si="5"/>
        <v>34917.900000000009</v>
      </c>
      <c r="G22" s="1">
        <f t="shared" si="5"/>
        <v>17458.950000000004</v>
      </c>
      <c r="H22" s="1">
        <f t="shared" si="5"/>
        <v>8729.4750000000022</v>
      </c>
      <c r="I22" s="1">
        <f t="shared" si="5"/>
        <v>8729.4750000000022</v>
      </c>
      <c r="J22" s="1">
        <f t="shared" si="5"/>
        <v>82.22603766666667</v>
      </c>
    </row>
    <row r="23" spans="1:10" x14ac:dyDescent="0.25">
      <c r="J23" s="1">
        <f>(B22*D22)/12</f>
        <v>218.04288666666665</v>
      </c>
    </row>
    <row r="25" spans="1:10" x14ac:dyDescent="0.25">
      <c r="A25" s="8" t="s">
        <v>36</v>
      </c>
      <c r="B25" s="18"/>
      <c r="C25" s="29">
        <f>D25</f>
        <v>3385.94</v>
      </c>
      <c r="D25" s="1">
        <v>3385.94</v>
      </c>
      <c r="F25" s="6"/>
    </row>
    <row r="26" spans="1:10" x14ac:dyDescent="0.25">
      <c r="A26" s="8" t="s">
        <v>24</v>
      </c>
      <c r="B26" s="15">
        <f>D26</f>
        <v>847.62</v>
      </c>
      <c r="C26" s="26"/>
      <c r="D26" s="1">
        <v>847.62</v>
      </c>
      <c r="E26" s="12">
        <f>SUM(B26:B26)</f>
        <v>847.62</v>
      </c>
      <c r="F26" s="7"/>
    </row>
    <row r="27" spans="1:10" x14ac:dyDescent="0.25">
      <c r="A27" s="8" t="s">
        <v>57</v>
      </c>
      <c r="B27" s="15">
        <f>D27</f>
        <v>1382.89</v>
      </c>
      <c r="C27" s="26"/>
      <c r="D27" s="1">
        <v>1382.89</v>
      </c>
    </row>
    <row r="28" spans="1:10" x14ac:dyDescent="0.25">
      <c r="A28" s="8" t="s">
        <v>106</v>
      </c>
      <c r="B28" s="15">
        <v>170</v>
      </c>
      <c r="C28" s="29">
        <v>500</v>
      </c>
      <c r="D28" s="1"/>
    </row>
    <row r="29" spans="1:10" x14ac:dyDescent="0.25">
      <c r="A29" s="8" t="s">
        <v>12</v>
      </c>
      <c r="B29" s="15">
        <v>125</v>
      </c>
      <c r="C29" s="26"/>
    </row>
    <row r="30" spans="1:10" x14ac:dyDescent="0.25">
      <c r="A30" s="8" t="s">
        <v>14</v>
      </c>
      <c r="B30" s="15">
        <v>45.62</v>
      </c>
      <c r="C30" s="26"/>
    </row>
    <row r="31" spans="1:10" x14ac:dyDescent="0.25">
      <c r="A31" s="8" t="s">
        <v>15</v>
      </c>
      <c r="B31" s="18">
        <v>0</v>
      </c>
      <c r="C31" s="26"/>
      <c r="J31" s="13"/>
    </row>
    <row r="32" spans="1:10" x14ac:dyDescent="0.25">
      <c r="A32" s="8" t="s">
        <v>16</v>
      </c>
      <c r="B32" s="15">
        <v>115</v>
      </c>
      <c r="C32" s="26"/>
      <c r="G32" s="1"/>
    </row>
    <row r="33" spans="1:11" x14ac:dyDescent="0.25">
      <c r="A33" s="8" t="s">
        <v>17</v>
      </c>
      <c r="B33" s="15">
        <v>40</v>
      </c>
      <c r="C33" s="26"/>
    </row>
    <row r="34" spans="1:11" x14ac:dyDescent="0.25">
      <c r="A34" s="8" t="s">
        <v>18</v>
      </c>
      <c r="B34" s="18">
        <v>0</v>
      </c>
      <c r="C34" s="26"/>
      <c r="G34" s="13"/>
    </row>
    <row r="35" spans="1:11" x14ac:dyDescent="0.25">
      <c r="A35" s="8" t="s">
        <v>19</v>
      </c>
      <c r="B35" s="15">
        <v>250</v>
      </c>
      <c r="C35" s="29">
        <v>250</v>
      </c>
      <c r="G35" s="1"/>
    </row>
    <row r="36" spans="1:11" x14ac:dyDescent="0.25">
      <c r="A36" s="8" t="s">
        <v>38</v>
      </c>
      <c r="B36" s="15">
        <v>11.9</v>
      </c>
      <c r="C36" s="26"/>
      <c r="F36" s="1">
        <f>SUM(B26,B27,B37,B40,B41,B45,B48)</f>
        <v>3552.23</v>
      </c>
      <c r="G36" s="1"/>
    </row>
    <row r="37" spans="1:11" x14ac:dyDescent="0.25">
      <c r="A37" s="8" t="s">
        <v>21</v>
      </c>
      <c r="B37" s="15">
        <v>30</v>
      </c>
      <c r="C37" s="26"/>
    </row>
    <row r="38" spans="1:11" x14ac:dyDescent="0.25">
      <c r="A38" s="8" t="s">
        <v>10</v>
      </c>
      <c r="B38" s="15">
        <v>1000</v>
      </c>
      <c r="C38" s="29">
        <v>500</v>
      </c>
    </row>
    <row r="39" spans="1:11" s="3" customFormat="1" x14ac:dyDescent="0.25">
      <c r="A39" s="8" t="s">
        <v>35</v>
      </c>
      <c r="B39" s="18"/>
      <c r="C39" s="26"/>
      <c r="E39" s="1"/>
      <c r="F39" s="1"/>
      <c r="G39" s="4"/>
      <c r="H39"/>
      <c r="I39"/>
      <c r="J39" s="1"/>
      <c r="K39"/>
    </row>
    <row r="40" spans="1:11" s="3" customFormat="1" x14ac:dyDescent="0.25">
      <c r="A40" s="8" t="s">
        <v>33</v>
      </c>
      <c r="B40" s="15">
        <v>253</v>
      </c>
      <c r="C40" s="26"/>
      <c r="E40" s="1"/>
      <c r="F40" s="1"/>
      <c r="G40"/>
      <c r="H40"/>
      <c r="I40"/>
      <c r="J40" s="1"/>
      <c r="K40"/>
    </row>
    <row r="41" spans="1:11" s="3" customFormat="1" x14ac:dyDescent="0.25">
      <c r="A41" s="8" t="s">
        <v>44</v>
      </c>
      <c r="B41" s="15">
        <v>204.72</v>
      </c>
      <c r="C41" s="26"/>
      <c r="E41" s="1"/>
      <c r="F41" s="1"/>
      <c r="G41"/>
      <c r="H41"/>
      <c r="I41"/>
      <c r="K41"/>
    </row>
    <row r="42" spans="1:11" x14ac:dyDescent="0.25">
      <c r="A42" s="8" t="s">
        <v>45</v>
      </c>
      <c r="B42" s="18">
        <v>0</v>
      </c>
      <c r="C42" s="26"/>
      <c r="D42" s="1"/>
    </row>
    <row r="43" spans="1:11" s="3" customFormat="1" x14ac:dyDescent="0.25">
      <c r="A43" s="8" t="s">
        <v>52</v>
      </c>
      <c r="B43" s="15">
        <v>86.04</v>
      </c>
      <c r="C43" s="26"/>
      <c r="D43" s="1"/>
      <c r="E43" s="1"/>
      <c r="F43" s="1"/>
      <c r="G43"/>
      <c r="H43"/>
      <c r="I43"/>
      <c r="J43" s="1"/>
      <c r="K43"/>
    </row>
    <row r="44" spans="1:11" s="3" customFormat="1" x14ac:dyDescent="0.25">
      <c r="A44" s="8" t="s">
        <v>55</v>
      </c>
      <c r="B44" s="18">
        <v>0</v>
      </c>
      <c r="C44" s="27"/>
      <c r="D44" s="1"/>
      <c r="E44" s="1"/>
      <c r="F44" s="1"/>
      <c r="H44"/>
      <c r="I44"/>
      <c r="J44" s="1"/>
      <c r="K44"/>
    </row>
    <row r="45" spans="1:11" s="3" customFormat="1" x14ac:dyDescent="0.25">
      <c r="A45" s="8" t="s">
        <v>124</v>
      </c>
      <c r="B45" s="15">
        <v>76</v>
      </c>
      <c r="C45" s="27"/>
      <c r="D45" s="1"/>
      <c r="E45" s="1"/>
      <c r="F45" s="1"/>
      <c r="H45"/>
      <c r="I45"/>
      <c r="J45" s="1"/>
      <c r="K45"/>
    </row>
    <row r="46" spans="1:11" s="3" customFormat="1" x14ac:dyDescent="0.25">
      <c r="A46" s="8" t="s">
        <v>107</v>
      </c>
      <c r="B46" s="15">
        <v>347</v>
      </c>
      <c r="C46" s="27"/>
      <c r="D46" s="1"/>
      <c r="E46" s="1"/>
      <c r="F46" s="1"/>
      <c r="H46"/>
      <c r="I46"/>
      <c r="J46" s="1"/>
      <c r="K46"/>
    </row>
    <row r="47" spans="1:11" s="3" customFormat="1" x14ac:dyDescent="0.25">
      <c r="A47" s="8" t="s">
        <v>120</v>
      </c>
      <c r="B47" s="18"/>
      <c r="C47" s="24"/>
      <c r="D47" s="1"/>
      <c r="E47" s="1"/>
      <c r="F47" s="1"/>
      <c r="H47"/>
      <c r="I47"/>
      <c r="J47" s="1"/>
      <c r="K47"/>
    </row>
    <row r="48" spans="1:11" s="3" customFormat="1" x14ac:dyDescent="0.25">
      <c r="A48" s="8" t="s">
        <v>128</v>
      </c>
      <c r="B48" s="15">
        <v>758</v>
      </c>
      <c r="C48" s="24"/>
      <c r="D48" s="1"/>
      <c r="E48" s="1"/>
      <c r="F48" s="1"/>
      <c r="H48"/>
      <c r="I48"/>
      <c r="J48" s="1"/>
      <c r="K48"/>
    </row>
    <row r="49" spans="1:11" s="3" customFormat="1" x14ac:dyDescent="0.25">
      <c r="A49" s="8" t="s">
        <v>130</v>
      </c>
      <c r="B49" s="15"/>
      <c r="C49" s="24">
        <v>500</v>
      </c>
      <c r="D49" s="1"/>
      <c r="E49" s="1"/>
      <c r="F49" s="1"/>
      <c r="H49"/>
      <c r="I49"/>
      <c r="J49" s="1"/>
      <c r="K49"/>
    </row>
    <row r="50" spans="1:11" s="3" customFormat="1" ht="15.75" thickBot="1" x14ac:dyDescent="0.3">
      <c r="A50" s="37"/>
      <c r="B50" s="35"/>
      <c r="C50" s="44"/>
      <c r="D50" s="36"/>
      <c r="E50" s="35"/>
      <c r="F50" s="35"/>
      <c r="G50" s="36"/>
      <c r="H50"/>
      <c r="I50"/>
      <c r="J50" s="1"/>
      <c r="K50"/>
    </row>
    <row r="51" spans="1:11" s="3" customFormat="1" ht="15.75" thickTop="1" x14ac:dyDescent="0.25">
      <c r="A51" s="8" t="s">
        <v>41</v>
      </c>
      <c r="B51" s="1">
        <f>SUM(B25:B50)</f>
        <v>5742.7900000000009</v>
      </c>
      <c r="C51" s="24">
        <f>SUM(C25:C50)</f>
        <v>5135.9400000000005</v>
      </c>
      <c r="D51" s="1">
        <f>SUM(D26:D50)</f>
        <v>2230.5100000000002</v>
      </c>
      <c r="E51" s="1"/>
      <c r="F51" s="1"/>
      <c r="H51"/>
      <c r="I51"/>
      <c r="J51" s="1"/>
      <c r="K51"/>
    </row>
    <row r="52" spans="1:11" s="3" customFormat="1" x14ac:dyDescent="0.25">
      <c r="A52"/>
      <c r="B52" s="1"/>
      <c r="C52" s="45">
        <f>SUM(C26:C50)</f>
        <v>1750</v>
      </c>
      <c r="D52" s="3" t="s">
        <v>119</v>
      </c>
      <c r="E52" s="1"/>
      <c r="F52" s="1"/>
      <c r="G52"/>
      <c r="H52"/>
      <c r="I52"/>
      <c r="J52" s="1"/>
      <c r="K52"/>
    </row>
    <row r="53" spans="1:11" s="3" customFormat="1" ht="15.75" thickBot="1" x14ac:dyDescent="0.3">
      <c r="A53" s="34"/>
      <c r="B53" s="35"/>
      <c r="C53" s="43"/>
      <c r="D53" s="36"/>
      <c r="E53" s="35"/>
      <c r="F53" s="35"/>
      <c r="G53" s="34"/>
      <c r="H53"/>
      <c r="I53"/>
      <c r="J53" s="1"/>
      <c r="K53"/>
    </row>
    <row r="54" spans="1:11" ht="15.75" thickTop="1" x14ac:dyDescent="0.25">
      <c r="A54" s="8" t="s">
        <v>40</v>
      </c>
      <c r="B54" s="9">
        <v>3889.12</v>
      </c>
      <c r="C54" s="28">
        <v>3889.12</v>
      </c>
    </row>
    <row r="55" spans="1:11" x14ac:dyDescent="0.25">
      <c r="A55" s="8" t="s">
        <v>129</v>
      </c>
      <c r="B55" s="9">
        <v>0</v>
      </c>
      <c r="C55" s="28"/>
    </row>
    <row r="56" spans="1:11" x14ac:dyDescent="0.25">
      <c r="A56" s="8"/>
      <c r="B56" s="9"/>
      <c r="C56" s="28"/>
    </row>
    <row r="57" spans="1:11" x14ac:dyDescent="0.25">
      <c r="A57" s="8"/>
      <c r="B57" s="9"/>
      <c r="C57" s="28"/>
    </row>
    <row r="58" spans="1:11" x14ac:dyDescent="0.25">
      <c r="A58" s="8"/>
      <c r="B58" s="9"/>
      <c r="C58" s="28"/>
    </row>
    <row r="59" spans="1:11" ht="15.75" thickBot="1" x14ac:dyDescent="0.3">
      <c r="A59" s="34"/>
      <c r="B59" s="35"/>
      <c r="C59" s="43"/>
      <c r="D59" s="36"/>
      <c r="E59" s="35"/>
      <c r="F59" s="35"/>
      <c r="G59" s="34"/>
    </row>
    <row r="60" spans="1:11" ht="15.75" thickTop="1" x14ac:dyDescent="0.25">
      <c r="A60" t="s">
        <v>125</v>
      </c>
      <c r="B60" s="1">
        <f>SUM(B54:B59)-B51</f>
        <v>-1853.670000000001</v>
      </c>
      <c r="C60" s="1">
        <f>SUM(C54:C59)-C51</f>
        <v>-1246.8200000000006</v>
      </c>
    </row>
  </sheetData>
  <autoFilter ref="A1:J13" xr:uid="{1F705934-551F-4A30-809C-BD2B1658412C}">
    <sortState xmlns:xlrd2="http://schemas.microsoft.com/office/spreadsheetml/2017/richdata2" ref="A2:J13">
      <sortCondition descending="1" ref="D1:D13"/>
    </sortState>
  </autoFilter>
  <conditionalFormatting sqref="B26:C47 C48:C49">
    <cfRule type="cellIs" dxfId="15" priority="4" operator="equal">
      <formula>0</formula>
    </cfRule>
  </conditionalFormatting>
  <conditionalFormatting sqref="B2:B20">
    <cfRule type="cellIs" dxfId="14" priority="2" operator="equal">
      <formula>0</formula>
    </cfRule>
    <cfRule type="cellIs" dxfId="13" priority="3" operator="equal">
      <formula>0</formula>
    </cfRule>
  </conditionalFormatting>
  <conditionalFormatting sqref="B48:B49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2226-EF5D-45C0-AD3F-3DDA90A5834B}">
  <dimension ref="A1:K53"/>
  <sheetViews>
    <sheetView workbookViewId="0">
      <selection activeCell="B21" sqref="B21"/>
    </sheetView>
  </sheetViews>
  <sheetFormatPr defaultRowHeight="15" x14ac:dyDescent="0.25"/>
  <cols>
    <col min="1" max="1" width="12" bestFit="1" customWidth="1"/>
    <col min="2" max="2" width="12.5703125" style="1" bestFit="1" customWidth="1"/>
    <col min="3" max="3" width="18.5703125" customWidth="1"/>
    <col min="4" max="4" width="12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7" bestFit="1" customWidth="1"/>
  </cols>
  <sheetData>
    <row r="1" spans="1:11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1" x14ac:dyDescent="0.25">
      <c r="A2" t="s">
        <v>106</v>
      </c>
      <c r="B2" s="1">
        <v>17442.54</v>
      </c>
      <c r="C2" s="2">
        <v>44105</v>
      </c>
      <c r="D2" s="3">
        <v>0</v>
      </c>
      <c r="E2" s="1">
        <v>582</v>
      </c>
      <c r="F2" s="1">
        <f>B2/3</f>
        <v>5814.18</v>
      </c>
      <c r="G2" s="4">
        <f>B2/6</f>
        <v>2907.09</v>
      </c>
      <c r="H2" s="4">
        <f>G2/2</f>
        <v>1453.5450000000001</v>
      </c>
      <c r="I2" s="4">
        <f>B2/12</f>
        <v>1453.5450000000001</v>
      </c>
      <c r="J2" s="1">
        <f>(B2*D2)/12</f>
        <v>0</v>
      </c>
    </row>
    <row r="3" spans="1:11" x14ac:dyDescent="0.25">
      <c r="A3" t="s">
        <v>12</v>
      </c>
      <c r="B3" s="1">
        <v>12336</v>
      </c>
      <c r="C3" s="2">
        <v>44211</v>
      </c>
      <c r="D3" s="3">
        <v>0</v>
      </c>
      <c r="E3" s="1">
        <v>414</v>
      </c>
      <c r="F3" s="1">
        <f t="shared" ref="F3:F15" si="0">B3/3</f>
        <v>4112</v>
      </c>
      <c r="G3" s="4">
        <f t="shared" ref="G3:G15" si="1">B3/6</f>
        <v>2056</v>
      </c>
      <c r="H3" s="4">
        <f t="shared" ref="H3:H16" si="2">G3/2</f>
        <v>1028</v>
      </c>
      <c r="I3" s="4">
        <f t="shared" ref="I3:I15" si="3">B3/12</f>
        <v>1028</v>
      </c>
      <c r="J3" s="1">
        <f t="shared" ref="J3:J16" si="4">(B3*D3)/12</f>
        <v>0</v>
      </c>
    </row>
    <row r="4" spans="1:11" x14ac:dyDescent="0.25">
      <c r="A4" t="s">
        <v>14</v>
      </c>
      <c r="B4" s="1">
        <v>39.549999999999997</v>
      </c>
      <c r="C4" s="2"/>
      <c r="F4" s="1">
        <f t="shared" si="0"/>
        <v>13.183333333333332</v>
      </c>
      <c r="G4" s="4">
        <f t="shared" si="1"/>
        <v>6.5916666666666659</v>
      </c>
      <c r="H4" s="4">
        <f t="shared" si="2"/>
        <v>3.2958333333333329</v>
      </c>
      <c r="I4" s="4">
        <f t="shared" si="3"/>
        <v>3.2958333333333329</v>
      </c>
      <c r="J4" s="1">
        <f t="shared" si="4"/>
        <v>0</v>
      </c>
    </row>
    <row r="5" spans="1:11" x14ac:dyDescent="0.25">
      <c r="A5" t="s">
        <v>15</v>
      </c>
      <c r="C5" s="2"/>
      <c r="F5" s="1">
        <f t="shared" si="0"/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1">
        <f t="shared" si="4"/>
        <v>0</v>
      </c>
    </row>
    <row r="6" spans="1:11" x14ac:dyDescent="0.25">
      <c r="A6" t="s">
        <v>16</v>
      </c>
      <c r="B6" s="1">
        <v>11293.17</v>
      </c>
      <c r="C6" s="2">
        <v>44209</v>
      </c>
      <c r="D6" s="3">
        <v>0</v>
      </c>
      <c r="E6" s="1">
        <v>427</v>
      </c>
      <c r="F6" s="1">
        <f>B6/3</f>
        <v>3764.39</v>
      </c>
      <c r="G6" s="4">
        <f>B6/6</f>
        <v>1882.1949999999999</v>
      </c>
      <c r="H6" s="4">
        <f>G6/2</f>
        <v>941.09749999999997</v>
      </c>
      <c r="I6" s="4">
        <f>B6/12</f>
        <v>941.09749999999997</v>
      </c>
      <c r="J6" s="1">
        <f>(B6*D6)/12</f>
        <v>0</v>
      </c>
    </row>
    <row r="7" spans="1:11" x14ac:dyDescent="0.25">
      <c r="A7" t="s">
        <v>17</v>
      </c>
      <c r="B7" s="1">
        <v>1403.16</v>
      </c>
      <c r="C7" s="2"/>
      <c r="D7" s="3">
        <v>0.15240000000000001</v>
      </c>
      <c r="E7" s="1">
        <v>49</v>
      </c>
      <c r="F7" s="1">
        <f t="shared" si="0"/>
        <v>467.72</v>
      </c>
      <c r="G7" s="4">
        <f t="shared" si="1"/>
        <v>233.86</v>
      </c>
      <c r="H7" s="4">
        <f t="shared" si="2"/>
        <v>116.93</v>
      </c>
      <c r="I7" s="4">
        <f t="shared" si="3"/>
        <v>116.93</v>
      </c>
      <c r="J7" s="1">
        <f>(B7*D7)/12</f>
        <v>17.820132000000001</v>
      </c>
      <c r="K7" s="4"/>
    </row>
    <row r="8" spans="1:11" x14ac:dyDescent="0.25">
      <c r="A8" t="s">
        <v>18</v>
      </c>
      <c r="B8" s="1">
        <v>450</v>
      </c>
      <c r="C8" s="2">
        <v>15.24</v>
      </c>
      <c r="F8" s="1">
        <f t="shared" si="0"/>
        <v>150</v>
      </c>
      <c r="G8" s="4">
        <f t="shared" si="1"/>
        <v>75</v>
      </c>
      <c r="H8" s="4">
        <f t="shared" si="2"/>
        <v>37.5</v>
      </c>
      <c r="I8" s="4">
        <f t="shared" si="3"/>
        <v>37.5</v>
      </c>
      <c r="J8" s="1">
        <f t="shared" si="4"/>
        <v>0</v>
      </c>
    </row>
    <row r="9" spans="1:11" x14ac:dyDescent="0.25">
      <c r="A9" t="s">
        <v>19</v>
      </c>
      <c r="B9" s="1">
        <v>19423.5</v>
      </c>
      <c r="C9" s="2">
        <v>44306</v>
      </c>
      <c r="D9" s="3">
        <v>0</v>
      </c>
      <c r="E9" s="1">
        <v>594</v>
      </c>
      <c r="F9" s="1">
        <f t="shared" si="0"/>
        <v>6474.5</v>
      </c>
      <c r="G9" s="4">
        <f t="shared" si="1"/>
        <v>3237.25</v>
      </c>
      <c r="H9" s="4">
        <f t="shared" si="2"/>
        <v>1618.625</v>
      </c>
      <c r="I9" s="4">
        <f t="shared" si="3"/>
        <v>1618.625</v>
      </c>
      <c r="J9" s="1">
        <f t="shared" si="4"/>
        <v>0</v>
      </c>
    </row>
    <row r="10" spans="1:11" x14ac:dyDescent="0.25">
      <c r="A10" t="s">
        <v>38</v>
      </c>
      <c r="C10" s="2"/>
      <c r="F10" s="1">
        <f t="shared" si="0"/>
        <v>0</v>
      </c>
      <c r="G10" s="4">
        <f t="shared" si="1"/>
        <v>0</v>
      </c>
      <c r="H10" s="4">
        <f t="shared" si="2"/>
        <v>0</v>
      </c>
      <c r="I10" s="4">
        <f t="shared" si="3"/>
        <v>0</v>
      </c>
      <c r="J10" s="1">
        <f t="shared" si="4"/>
        <v>0</v>
      </c>
    </row>
    <row r="11" spans="1:11" x14ac:dyDescent="0.25">
      <c r="A11" t="s">
        <v>21</v>
      </c>
      <c r="B11" s="1">
        <v>482.13</v>
      </c>
      <c r="C11" s="2">
        <v>43794</v>
      </c>
      <c r="D11" s="3">
        <v>0</v>
      </c>
      <c r="F11" s="1">
        <f t="shared" si="0"/>
        <v>160.71</v>
      </c>
      <c r="G11" s="4">
        <f t="shared" si="1"/>
        <v>80.355000000000004</v>
      </c>
      <c r="H11" s="4">
        <f t="shared" si="2"/>
        <v>40.177500000000002</v>
      </c>
      <c r="I11" s="4">
        <f t="shared" si="3"/>
        <v>40.177500000000002</v>
      </c>
      <c r="J11" s="1">
        <f t="shared" si="4"/>
        <v>0</v>
      </c>
    </row>
    <row r="12" spans="1:11" x14ac:dyDescent="0.25">
      <c r="A12" t="s">
        <v>10</v>
      </c>
      <c r="C12" s="2"/>
      <c r="F12" s="1">
        <f t="shared" si="0"/>
        <v>0</v>
      </c>
      <c r="G12" s="4">
        <f t="shared" si="1"/>
        <v>0</v>
      </c>
      <c r="H12" s="4">
        <f t="shared" si="2"/>
        <v>0</v>
      </c>
      <c r="I12" s="4">
        <f t="shared" si="3"/>
        <v>0</v>
      </c>
      <c r="J12" s="1">
        <f t="shared" si="4"/>
        <v>0</v>
      </c>
    </row>
    <row r="13" spans="1:11" x14ac:dyDescent="0.25">
      <c r="A13" t="s">
        <v>56</v>
      </c>
      <c r="C13" s="2"/>
      <c r="F13" s="1">
        <f t="shared" si="0"/>
        <v>0</v>
      </c>
      <c r="G13" s="4">
        <f t="shared" si="1"/>
        <v>0</v>
      </c>
      <c r="H13" s="4">
        <f t="shared" si="2"/>
        <v>0</v>
      </c>
      <c r="I13" s="4">
        <f t="shared" si="3"/>
        <v>0</v>
      </c>
      <c r="J13" s="1">
        <f t="shared" si="4"/>
        <v>0</v>
      </c>
    </row>
    <row r="14" spans="1:11" x14ac:dyDescent="0.25">
      <c r="A14" t="s">
        <v>35</v>
      </c>
      <c r="C14" s="2"/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  <c r="J14" s="1">
        <f t="shared" si="4"/>
        <v>0</v>
      </c>
    </row>
    <row r="15" spans="1:11" x14ac:dyDescent="0.25">
      <c r="A15" t="s">
        <v>52</v>
      </c>
      <c r="B15" s="1">
        <v>485.53</v>
      </c>
      <c r="C15" s="2"/>
      <c r="F15" s="1">
        <f t="shared" si="0"/>
        <v>161.84333333333333</v>
      </c>
      <c r="G15" s="4">
        <f t="shared" si="1"/>
        <v>80.921666666666667</v>
      </c>
      <c r="H15" s="4">
        <f t="shared" si="2"/>
        <v>40.460833333333333</v>
      </c>
      <c r="I15" s="4">
        <f t="shared" si="3"/>
        <v>40.460833333333333</v>
      </c>
      <c r="J15" s="1">
        <f t="shared" si="4"/>
        <v>0</v>
      </c>
    </row>
    <row r="16" spans="1:11" x14ac:dyDescent="0.25">
      <c r="A16" t="s">
        <v>57</v>
      </c>
      <c r="B16" s="1">
        <v>42231.77</v>
      </c>
      <c r="C16" s="2"/>
      <c r="F16" s="1">
        <f>B16/3</f>
        <v>14077.256666666666</v>
      </c>
      <c r="G16" s="4">
        <f>B16/6</f>
        <v>7038.6283333333331</v>
      </c>
      <c r="H16" s="4">
        <f t="shared" si="2"/>
        <v>3519.3141666666666</v>
      </c>
      <c r="I16" s="4">
        <f>B16/12</f>
        <v>3519.3141666666666</v>
      </c>
      <c r="J16" s="1">
        <f t="shared" si="4"/>
        <v>0</v>
      </c>
    </row>
    <row r="17" spans="1:10" x14ac:dyDescent="0.25">
      <c r="A17" t="s">
        <v>124</v>
      </c>
      <c r="B17" s="1">
        <v>454.55</v>
      </c>
      <c r="C17" s="2"/>
      <c r="G17" s="4"/>
      <c r="H17" s="4"/>
      <c r="I17" s="4"/>
    </row>
    <row r="18" spans="1:10" x14ac:dyDescent="0.25">
      <c r="A18" t="s">
        <v>107</v>
      </c>
      <c r="B18" s="1">
        <v>2077</v>
      </c>
      <c r="C18" s="2"/>
      <c r="F18" s="1">
        <f>B18/3</f>
        <v>692.33333333333337</v>
      </c>
      <c r="G18" s="4">
        <f>B18/6</f>
        <v>346.16666666666669</v>
      </c>
      <c r="H18" s="4">
        <f>G18/2</f>
        <v>173.08333333333334</v>
      </c>
      <c r="I18" s="4">
        <f>B18/12</f>
        <v>173.08333333333334</v>
      </c>
      <c r="J18" s="1">
        <f>(B18*D18)/12</f>
        <v>0</v>
      </c>
    </row>
    <row r="19" spans="1:10" ht="15.75" thickBot="1" x14ac:dyDescent="0.3">
      <c r="A19" s="34"/>
      <c r="B19" s="35"/>
      <c r="C19" s="34"/>
      <c r="D19" s="36"/>
      <c r="E19" s="35"/>
      <c r="F19" s="35"/>
      <c r="G19" s="34"/>
      <c r="H19" s="34"/>
      <c r="I19" s="34"/>
      <c r="J19" s="35"/>
    </row>
    <row r="20" spans="1:10" ht="15.75" thickTop="1" x14ac:dyDescent="0.25">
      <c r="B20" s="1">
        <f>SUM(B2:B19)</f>
        <v>108118.90000000001</v>
      </c>
      <c r="D20" s="3">
        <f>AVERAGE(D2:D19)</f>
        <v>2.5400000000000002E-2</v>
      </c>
      <c r="E20" s="1">
        <f t="shared" ref="E20:J20" si="5">SUM(E2:E19)</f>
        <v>2066</v>
      </c>
      <c r="F20" s="1">
        <f t="shared" si="5"/>
        <v>35888.116666666669</v>
      </c>
      <c r="G20" s="1">
        <f t="shared" si="5"/>
        <v>17944.058333333334</v>
      </c>
      <c r="H20" s="1">
        <f t="shared" si="5"/>
        <v>8972.0291666666672</v>
      </c>
      <c r="I20" s="1">
        <f t="shared" si="5"/>
        <v>8972.0291666666672</v>
      </c>
      <c r="J20" s="1">
        <f t="shared" si="5"/>
        <v>17.820132000000001</v>
      </c>
    </row>
    <row r="21" spans="1:10" x14ac:dyDescent="0.25">
      <c r="J21" s="1">
        <f>(B20*D20)/12</f>
        <v>228.8516716666667</v>
      </c>
    </row>
    <row r="23" spans="1:10" x14ac:dyDescent="0.25">
      <c r="A23" s="8" t="s">
        <v>36</v>
      </c>
      <c r="B23" s="18"/>
      <c r="C23" s="15">
        <f>D23</f>
        <v>3385.94</v>
      </c>
      <c r="D23" s="1">
        <v>3385.94</v>
      </c>
      <c r="F23" s="6"/>
    </row>
    <row r="24" spans="1:10" x14ac:dyDescent="0.25">
      <c r="A24" s="8" t="s">
        <v>24</v>
      </c>
      <c r="B24" s="15">
        <f>D24</f>
        <v>847.62</v>
      </c>
      <c r="C24" s="18"/>
      <c r="D24" s="1">
        <v>847.62</v>
      </c>
      <c r="E24" s="12">
        <f>SUM(B24:B24)</f>
        <v>847.62</v>
      </c>
      <c r="F24" s="7"/>
    </row>
    <row r="25" spans="1:10" x14ac:dyDescent="0.25">
      <c r="A25" s="8" t="s">
        <v>57</v>
      </c>
      <c r="B25" s="15">
        <f>D25</f>
        <v>1382.89</v>
      </c>
      <c r="C25" s="18"/>
      <c r="D25" s="1">
        <v>1382.89</v>
      </c>
    </row>
    <row r="26" spans="1:10" x14ac:dyDescent="0.25">
      <c r="A26" s="8" t="s">
        <v>106</v>
      </c>
      <c r="B26" s="15">
        <v>176</v>
      </c>
      <c r="C26" s="18"/>
      <c r="D26" s="1"/>
    </row>
    <row r="27" spans="1:10" x14ac:dyDescent="0.25">
      <c r="A27" s="8" t="s">
        <v>12</v>
      </c>
      <c r="B27" s="15">
        <v>125</v>
      </c>
      <c r="C27" s="18"/>
    </row>
    <row r="28" spans="1:10" x14ac:dyDescent="0.25">
      <c r="A28" s="8" t="s">
        <v>14</v>
      </c>
      <c r="B28" s="15">
        <v>39.549999999999997</v>
      </c>
      <c r="C28" s="18"/>
    </row>
    <row r="29" spans="1:10" x14ac:dyDescent="0.25">
      <c r="A29" s="8" t="s">
        <v>15</v>
      </c>
      <c r="B29" s="18"/>
      <c r="C29" s="18"/>
      <c r="J29" s="13"/>
    </row>
    <row r="30" spans="1:10" x14ac:dyDescent="0.25">
      <c r="A30" s="8" t="s">
        <v>16</v>
      </c>
      <c r="B30" s="15">
        <v>116</v>
      </c>
      <c r="C30" s="18"/>
      <c r="G30" s="1"/>
    </row>
    <row r="31" spans="1:10" x14ac:dyDescent="0.25">
      <c r="A31" s="8" t="s">
        <v>17</v>
      </c>
      <c r="B31" s="15">
        <v>100</v>
      </c>
      <c r="C31" s="18"/>
    </row>
    <row r="32" spans="1:10" x14ac:dyDescent="0.25">
      <c r="A32" s="8" t="s">
        <v>18</v>
      </c>
      <c r="B32" s="15">
        <v>450</v>
      </c>
      <c r="C32" s="18"/>
      <c r="G32" s="13"/>
    </row>
    <row r="33" spans="1:11" x14ac:dyDescent="0.25">
      <c r="A33" s="8" t="s">
        <v>19</v>
      </c>
      <c r="B33" s="15">
        <v>250</v>
      </c>
      <c r="C33" s="15">
        <v>250</v>
      </c>
      <c r="G33" s="1"/>
    </row>
    <row r="34" spans="1:11" x14ac:dyDescent="0.25">
      <c r="A34" s="8" t="s">
        <v>38</v>
      </c>
      <c r="B34" s="18"/>
      <c r="C34" s="18"/>
      <c r="G34" s="1"/>
    </row>
    <row r="35" spans="1:11" x14ac:dyDescent="0.25">
      <c r="A35" s="8" t="s">
        <v>21</v>
      </c>
      <c r="B35" s="15">
        <v>100</v>
      </c>
      <c r="C35" s="18"/>
    </row>
    <row r="36" spans="1:11" x14ac:dyDescent="0.25">
      <c r="A36" s="8" t="s">
        <v>10</v>
      </c>
      <c r="B36" s="18"/>
      <c r="C36" s="18"/>
    </row>
    <row r="37" spans="1:11" s="3" customFormat="1" x14ac:dyDescent="0.25">
      <c r="A37" s="8" t="s">
        <v>35</v>
      </c>
      <c r="B37" s="18"/>
      <c r="C37" s="18"/>
      <c r="E37" s="1"/>
      <c r="F37" s="1"/>
      <c r="G37" s="4"/>
      <c r="H37"/>
      <c r="I37"/>
      <c r="J37" s="1"/>
      <c r="K37"/>
    </row>
    <row r="38" spans="1:11" s="3" customFormat="1" x14ac:dyDescent="0.25">
      <c r="A38" s="8" t="s">
        <v>33</v>
      </c>
      <c r="B38" s="15">
        <v>253</v>
      </c>
      <c r="C38" s="18"/>
      <c r="E38" s="1"/>
      <c r="F38" s="1"/>
      <c r="G38"/>
      <c r="H38"/>
      <c r="I38"/>
      <c r="J38" s="1"/>
      <c r="K38"/>
    </row>
    <row r="39" spans="1:11" s="3" customFormat="1" x14ac:dyDescent="0.25">
      <c r="A39" s="8" t="s">
        <v>44</v>
      </c>
      <c r="B39" s="18"/>
      <c r="C39" s="18"/>
      <c r="E39" s="1"/>
      <c r="F39" s="1"/>
      <c r="G39"/>
      <c r="H39"/>
      <c r="I39"/>
      <c r="K39"/>
    </row>
    <row r="40" spans="1:11" x14ac:dyDescent="0.25">
      <c r="A40" s="8" t="s">
        <v>45</v>
      </c>
      <c r="B40" s="15">
        <v>104</v>
      </c>
      <c r="C40" s="18"/>
      <c r="D40" s="1"/>
    </row>
    <row r="41" spans="1:11" s="3" customFormat="1" x14ac:dyDescent="0.25">
      <c r="A41" s="8" t="s">
        <v>52</v>
      </c>
      <c r="B41" s="15">
        <v>485.53</v>
      </c>
      <c r="C41" s="18"/>
      <c r="D41" s="1"/>
      <c r="E41" s="1"/>
      <c r="F41" s="1"/>
      <c r="G41"/>
      <c r="H41"/>
      <c r="I41"/>
      <c r="J41" s="1"/>
      <c r="K41"/>
    </row>
    <row r="42" spans="1:11" s="3" customFormat="1" x14ac:dyDescent="0.25">
      <c r="A42" s="8" t="s">
        <v>55</v>
      </c>
      <c r="B42" s="18">
        <v>0</v>
      </c>
      <c r="D42" s="1"/>
      <c r="E42" s="1"/>
      <c r="F42" s="1"/>
      <c r="H42"/>
      <c r="I42"/>
      <c r="J42" s="1"/>
      <c r="K42"/>
    </row>
    <row r="43" spans="1:11" s="3" customFormat="1" x14ac:dyDescent="0.25">
      <c r="A43" s="8" t="s">
        <v>124</v>
      </c>
      <c r="B43" s="18"/>
      <c r="D43" s="1"/>
      <c r="E43" s="1"/>
      <c r="F43" s="1"/>
      <c r="H43"/>
      <c r="I43"/>
      <c r="J43" s="1"/>
      <c r="K43"/>
    </row>
    <row r="44" spans="1:11" s="3" customFormat="1" x14ac:dyDescent="0.25">
      <c r="A44" s="8" t="s">
        <v>107</v>
      </c>
      <c r="B44" s="15">
        <v>347</v>
      </c>
      <c r="D44" s="1"/>
      <c r="E44" s="1"/>
      <c r="F44" s="1"/>
      <c r="H44"/>
      <c r="I44"/>
      <c r="J44" s="1"/>
      <c r="K44"/>
    </row>
    <row r="45" spans="1:11" s="3" customFormat="1" x14ac:dyDescent="0.25">
      <c r="A45" s="8" t="s">
        <v>120</v>
      </c>
      <c r="B45" s="15"/>
      <c r="C45" s="15">
        <v>200</v>
      </c>
      <c r="D45" s="1"/>
      <c r="E45" s="1"/>
      <c r="F45" s="1"/>
      <c r="H45"/>
      <c r="I45"/>
      <c r="J45" s="1"/>
      <c r="K45"/>
    </row>
    <row r="46" spans="1:11" s="3" customFormat="1" x14ac:dyDescent="0.25">
      <c r="A46" s="8" t="s">
        <v>127</v>
      </c>
      <c r="B46" s="15"/>
      <c r="C46" s="1"/>
      <c r="D46" s="1"/>
      <c r="E46" s="1"/>
      <c r="F46" s="1"/>
      <c r="H46"/>
      <c r="I46"/>
      <c r="J46" s="1"/>
      <c r="K46"/>
    </row>
    <row r="47" spans="1:11" s="3" customFormat="1" ht="15.75" thickBot="1" x14ac:dyDescent="0.3">
      <c r="A47" s="37"/>
      <c r="B47" s="35"/>
      <c r="C47" s="35"/>
      <c r="D47" s="36"/>
      <c r="E47" s="35"/>
      <c r="F47" s="35"/>
      <c r="G47" s="36"/>
      <c r="H47"/>
      <c r="I47"/>
      <c r="J47" s="1"/>
      <c r="K47"/>
    </row>
    <row r="48" spans="1:11" s="3" customFormat="1" ht="15.75" thickTop="1" x14ac:dyDescent="0.25">
      <c r="A48" s="8" t="s">
        <v>41</v>
      </c>
      <c r="B48" s="1">
        <f>SUM(B23:B47)</f>
        <v>4776.59</v>
      </c>
      <c r="C48" s="1">
        <f>SUM(C23:C47)</f>
        <v>3835.94</v>
      </c>
      <c r="D48" s="1">
        <f>SUM(D24:D47)</f>
        <v>2230.5100000000002</v>
      </c>
      <c r="E48" s="1"/>
      <c r="F48" s="1"/>
      <c r="H48"/>
      <c r="I48"/>
      <c r="J48" s="1"/>
      <c r="K48"/>
    </row>
    <row r="49" spans="1:11" s="3" customFormat="1" x14ac:dyDescent="0.25">
      <c r="A49"/>
      <c r="B49" s="1"/>
      <c r="C49" s="4">
        <f>SUM(C24:C47)</f>
        <v>450</v>
      </c>
      <c r="D49" s="3" t="s">
        <v>119</v>
      </c>
      <c r="E49" s="1"/>
      <c r="F49" s="1"/>
      <c r="G49"/>
      <c r="H49"/>
      <c r="I49"/>
      <c r="J49" s="1"/>
      <c r="K49"/>
    </row>
    <row r="50" spans="1:11" s="3" customFormat="1" ht="15.75" thickBot="1" x14ac:dyDescent="0.3">
      <c r="A50" s="34"/>
      <c r="B50" s="35"/>
      <c r="C50" s="34"/>
      <c r="D50" s="36"/>
      <c r="E50" s="35"/>
      <c r="F50" s="35"/>
      <c r="G50" s="34"/>
      <c r="H50"/>
      <c r="I50"/>
      <c r="J50" s="1"/>
      <c r="K50"/>
    </row>
    <row r="51" spans="1:11" ht="15.75" thickTop="1" x14ac:dyDescent="0.25">
      <c r="A51" s="8" t="s">
        <v>40</v>
      </c>
      <c r="B51" s="9">
        <v>4034.29</v>
      </c>
      <c r="C51" s="9">
        <v>3899.85</v>
      </c>
    </row>
    <row r="53" spans="1:11" x14ac:dyDescent="0.25">
      <c r="A53" t="s">
        <v>42</v>
      </c>
      <c r="B53" s="1">
        <f>B51-B48</f>
        <v>-742.30000000000018</v>
      </c>
      <c r="C53" s="1">
        <f>C51-C48</f>
        <v>63.909999999999854</v>
      </c>
    </row>
  </sheetData>
  <autoFilter ref="A1:J12" xr:uid="{1F705934-551F-4A30-809C-BD2B1658412C}">
    <sortState xmlns:xlrd2="http://schemas.microsoft.com/office/spreadsheetml/2017/richdata2" ref="A2:J12">
      <sortCondition descending="1" ref="D1:D12"/>
    </sortState>
  </autoFilter>
  <conditionalFormatting sqref="B24:C46">
    <cfRule type="cellIs" dxfId="11" priority="5" operator="equal">
      <formula>0</formula>
    </cfRule>
  </conditionalFormatting>
  <conditionalFormatting sqref="B2:B5 B7:B18">
    <cfRule type="cellIs" dxfId="10" priority="3" operator="equal">
      <formula>0</formula>
    </cfRule>
    <cfRule type="cellIs" dxfId="9" priority="4" operator="equal">
      <formula>0</formula>
    </cfRule>
  </conditionalFormatting>
  <conditionalFormatting sqref="B6">
    <cfRule type="cellIs" dxfId="8" priority="1" operator="equal">
      <formula>0</formula>
    </cfRule>
    <cfRule type="cellIs" dxfId="7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1E7A-31D3-4243-A4A1-43D57927F20F}">
  <dimension ref="A1:K50"/>
  <sheetViews>
    <sheetView workbookViewId="0">
      <selection activeCell="B20" sqref="B20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customWidth="1"/>
    <col min="4" max="4" width="12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7" bestFit="1" customWidth="1"/>
  </cols>
  <sheetData>
    <row r="1" spans="1:11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1" x14ac:dyDescent="0.25">
      <c r="A2" t="s">
        <v>106</v>
      </c>
      <c r="B2" s="1">
        <v>17692.54</v>
      </c>
      <c r="C2" s="41">
        <v>44105</v>
      </c>
      <c r="D2" s="3">
        <v>0</v>
      </c>
      <c r="E2" s="1">
        <v>588</v>
      </c>
    </row>
    <row r="3" spans="1:11" x14ac:dyDescent="0.25">
      <c r="A3" t="s">
        <v>12</v>
      </c>
      <c r="B3" s="1">
        <v>12463</v>
      </c>
      <c r="C3" s="39">
        <v>44211</v>
      </c>
      <c r="D3" s="3">
        <v>0</v>
      </c>
      <c r="E3" s="1">
        <v>416</v>
      </c>
      <c r="F3" s="1">
        <f t="shared" ref="F3:F15" si="0">B3/3</f>
        <v>4154.333333333333</v>
      </c>
      <c r="G3" s="4">
        <f t="shared" ref="G3:G15" si="1">B3/6</f>
        <v>2077.1666666666665</v>
      </c>
      <c r="H3" s="4">
        <f t="shared" ref="H3:H17" si="2">G3/2</f>
        <v>1038.5833333333333</v>
      </c>
      <c r="I3" s="4">
        <f t="shared" ref="I3:I15" si="3">B3/12</f>
        <v>1038.5833333333333</v>
      </c>
      <c r="J3" s="1">
        <f t="shared" ref="J3:J17" si="4">(B3*D3)/12</f>
        <v>0</v>
      </c>
    </row>
    <row r="4" spans="1:11" x14ac:dyDescent="0.25">
      <c r="A4" t="s">
        <v>14</v>
      </c>
      <c r="B4" s="1">
        <v>163.19</v>
      </c>
      <c r="C4" s="39"/>
      <c r="F4" s="1">
        <f t="shared" si="0"/>
        <v>54.396666666666668</v>
      </c>
      <c r="G4" s="4">
        <f t="shared" si="1"/>
        <v>27.198333333333334</v>
      </c>
      <c r="H4" s="4">
        <f t="shared" si="2"/>
        <v>13.599166666666667</v>
      </c>
      <c r="I4" s="4">
        <f t="shared" si="3"/>
        <v>13.599166666666667</v>
      </c>
      <c r="J4" s="1">
        <f t="shared" si="4"/>
        <v>0</v>
      </c>
    </row>
    <row r="5" spans="1:11" x14ac:dyDescent="0.25">
      <c r="A5" t="s">
        <v>15</v>
      </c>
      <c r="B5" s="1">
        <v>99</v>
      </c>
      <c r="C5" s="39"/>
      <c r="F5" s="1">
        <f t="shared" si="0"/>
        <v>33</v>
      </c>
      <c r="G5" s="4">
        <f t="shared" si="1"/>
        <v>16.5</v>
      </c>
      <c r="H5" s="4">
        <f t="shared" si="2"/>
        <v>8.25</v>
      </c>
      <c r="I5" s="4">
        <f t="shared" si="3"/>
        <v>8.25</v>
      </c>
      <c r="J5" s="1">
        <f t="shared" si="4"/>
        <v>0</v>
      </c>
    </row>
    <row r="6" spans="1:11" x14ac:dyDescent="0.25">
      <c r="A6" t="s">
        <v>16</v>
      </c>
      <c r="B6" s="1">
        <v>11411.01</v>
      </c>
      <c r="C6" s="39">
        <v>44209</v>
      </c>
      <c r="D6" s="3">
        <v>0</v>
      </c>
      <c r="E6" s="1">
        <v>427</v>
      </c>
      <c r="F6" s="1">
        <f t="shared" si="0"/>
        <v>3803.67</v>
      </c>
      <c r="G6" s="4">
        <f t="shared" si="1"/>
        <v>1901.835</v>
      </c>
      <c r="H6" s="4">
        <f t="shared" si="2"/>
        <v>950.91750000000002</v>
      </c>
      <c r="I6" s="4">
        <f t="shared" si="3"/>
        <v>950.91750000000002</v>
      </c>
      <c r="J6" s="1">
        <f t="shared" si="4"/>
        <v>0</v>
      </c>
    </row>
    <row r="7" spans="1:11" x14ac:dyDescent="0.25">
      <c r="A7" t="s">
        <v>17</v>
      </c>
      <c r="B7" s="1">
        <v>1434.81</v>
      </c>
      <c r="C7" s="39"/>
      <c r="D7" s="3">
        <v>0.15240000000000001</v>
      </c>
      <c r="E7" s="1">
        <v>50</v>
      </c>
      <c r="F7" s="1">
        <f t="shared" si="0"/>
        <v>478.27</v>
      </c>
      <c r="G7" s="4">
        <f t="shared" si="1"/>
        <v>239.13499999999999</v>
      </c>
      <c r="H7" s="4">
        <f t="shared" si="2"/>
        <v>119.5675</v>
      </c>
      <c r="I7" s="4">
        <f t="shared" si="3"/>
        <v>119.5675</v>
      </c>
      <c r="J7" s="1">
        <f>(B7*D7)/12</f>
        <v>18.222086999999998</v>
      </c>
      <c r="K7" s="4"/>
    </row>
    <row r="8" spans="1:11" x14ac:dyDescent="0.25">
      <c r="A8" t="s">
        <v>18</v>
      </c>
      <c r="B8" s="1">
        <v>450</v>
      </c>
      <c r="C8" s="39"/>
      <c r="F8" s="1">
        <f t="shared" si="0"/>
        <v>150</v>
      </c>
      <c r="G8" s="4">
        <f t="shared" si="1"/>
        <v>75</v>
      </c>
      <c r="H8" s="4">
        <f t="shared" si="2"/>
        <v>37.5</v>
      </c>
      <c r="I8" s="4">
        <f t="shared" si="3"/>
        <v>37.5</v>
      </c>
      <c r="J8" s="1">
        <f t="shared" si="4"/>
        <v>0</v>
      </c>
    </row>
    <row r="9" spans="1:11" x14ac:dyDescent="0.25">
      <c r="A9" t="s">
        <v>19</v>
      </c>
      <c r="B9" s="1">
        <v>19859.14</v>
      </c>
      <c r="C9" s="39">
        <v>44306</v>
      </c>
      <c r="D9" s="3">
        <v>0</v>
      </c>
      <c r="E9" s="1">
        <v>606</v>
      </c>
      <c r="F9" s="1">
        <f t="shared" si="0"/>
        <v>6619.7133333333331</v>
      </c>
      <c r="G9" s="4">
        <f t="shared" si="1"/>
        <v>3309.8566666666666</v>
      </c>
      <c r="H9" s="4">
        <f t="shared" si="2"/>
        <v>1654.9283333333333</v>
      </c>
      <c r="I9" s="4">
        <f t="shared" si="3"/>
        <v>1654.9283333333333</v>
      </c>
      <c r="J9" s="1">
        <f t="shared" si="4"/>
        <v>0</v>
      </c>
    </row>
    <row r="10" spans="1:11" x14ac:dyDescent="0.25">
      <c r="A10" t="s">
        <v>38</v>
      </c>
      <c r="B10" s="1">
        <v>-29.2</v>
      </c>
      <c r="C10" s="39"/>
      <c r="F10" s="1">
        <f t="shared" si="0"/>
        <v>-9.7333333333333325</v>
      </c>
      <c r="G10" s="4">
        <f t="shared" si="1"/>
        <v>-4.8666666666666663</v>
      </c>
      <c r="H10" s="4">
        <f t="shared" si="2"/>
        <v>-2.4333333333333331</v>
      </c>
      <c r="I10" s="4">
        <f t="shared" si="3"/>
        <v>-2.4333333333333331</v>
      </c>
      <c r="J10" s="1">
        <f t="shared" si="4"/>
        <v>0</v>
      </c>
    </row>
    <row r="11" spans="1:11" x14ac:dyDescent="0.25">
      <c r="A11" t="s">
        <v>21</v>
      </c>
      <c r="B11" s="1">
        <v>592.13</v>
      </c>
      <c r="C11" s="39">
        <v>44358</v>
      </c>
      <c r="D11" s="3">
        <v>0</v>
      </c>
      <c r="E11" s="1">
        <v>28</v>
      </c>
      <c r="F11" s="1">
        <f t="shared" si="0"/>
        <v>197.37666666666667</v>
      </c>
      <c r="G11" s="4">
        <f t="shared" si="1"/>
        <v>98.688333333333333</v>
      </c>
      <c r="H11" s="4">
        <f t="shared" si="2"/>
        <v>49.344166666666666</v>
      </c>
      <c r="I11" s="4">
        <f t="shared" si="3"/>
        <v>49.344166666666666</v>
      </c>
      <c r="J11" s="1">
        <f t="shared" si="4"/>
        <v>0</v>
      </c>
    </row>
    <row r="12" spans="1:11" x14ac:dyDescent="0.25">
      <c r="A12" t="s">
        <v>10</v>
      </c>
      <c r="B12" s="1">
        <v>27239.66</v>
      </c>
      <c r="C12" s="39"/>
      <c r="D12" s="3">
        <v>0.15989999999999999</v>
      </c>
      <c r="E12" s="1">
        <v>959</v>
      </c>
      <c r="F12" s="1">
        <f t="shared" si="0"/>
        <v>9079.8866666666672</v>
      </c>
      <c r="G12" s="4">
        <f t="shared" si="1"/>
        <v>4539.9433333333336</v>
      </c>
      <c r="H12" s="4">
        <f t="shared" si="2"/>
        <v>2269.9716666666668</v>
      </c>
      <c r="I12" s="4">
        <f t="shared" si="3"/>
        <v>2269.9716666666668</v>
      </c>
      <c r="J12" s="1">
        <f t="shared" si="4"/>
        <v>362.96846949999991</v>
      </c>
    </row>
    <row r="13" spans="1:11" x14ac:dyDescent="0.25">
      <c r="A13" t="s">
        <v>56</v>
      </c>
      <c r="C13" s="39"/>
      <c r="F13" s="1">
        <f t="shared" si="0"/>
        <v>0</v>
      </c>
      <c r="G13" s="4">
        <f t="shared" si="1"/>
        <v>0</v>
      </c>
      <c r="H13" s="4">
        <f t="shared" si="2"/>
        <v>0</v>
      </c>
      <c r="I13" s="4">
        <f t="shared" si="3"/>
        <v>0</v>
      </c>
      <c r="J13" s="1">
        <f t="shared" si="4"/>
        <v>0</v>
      </c>
    </row>
    <row r="14" spans="1:11" x14ac:dyDescent="0.25">
      <c r="A14" t="s">
        <v>35</v>
      </c>
      <c r="B14" s="1">
        <v>0</v>
      </c>
      <c r="C14" s="39"/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  <c r="J14" s="1">
        <f t="shared" si="4"/>
        <v>0</v>
      </c>
    </row>
    <row r="15" spans="1:11" x14ac:dyDescent="0.25">
      <c r="A15" t="s">
        <v>52</v>
      </c>
      <c r="C15" s="39"/>
      <c r="F15" s="1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  <c r="J15" s="1">
        <f t="shared" si="4"/>
        <v>0</v>
      </c>
    </row>
    <row r="16" spans="1:11" x14ac:dyDescent="0.25">
      <c r="A16" t="s">
        <v>57</v>
      </c>
      <c r="B16" s="1">
        <v>41846.519999999997</v>
      </c>
      <c r="C16" s="39"/>
      <c r="F16" s="1">
        <f>B16/3</f>
        <v>13948.839999999998</v>
      </c>
      <c r="G16" s="4">
        <f>B16/6</f>
        <v>6974.4199999999992</v>
      </c>
      <c r="H16" s="4">
        <f t="shared" si="2"/>
        <v>3487.2099999999996</v>
      </c>
      <c r="I16" s="4">
        <f>B16/12</f>
        <v>3487.2099999999996</v>
      </c>
      <c r="J16" s="1">
        <f t="shared" si="4"/>
        <v>0</v>
      </c>
    </row>
    <row r="17" spans="1:10" x14ac:dyDescent="0.25">
      <c r="A17" t="s">
        <v>107</v>
      </c>
      <c r="B17" s="1">
        <v>2424</v>
      </c>
      <c r="C17" s="39"/>
      <c r="F17" s="1">
        <f>B17/3</f>
        <v>808</v>
      </c>
      <c r="G17" s="4">
        <f>B17/6</f>
        <v>404</v>
      </c>
      <c r="H17" s="4">
        <f t="shared" si="2"/>
        <v>202</v>
      </c>
      <c r="I17" s="4">
        <f>B17/12</f>
        <v>202</v>
      </c>
      <c r="J17" s="1">
        <f t="shared" si="4"/>
        <v>0</v>
      </c>
    </row>
    <row r="18" spans="1:10" ht="15.75" thickBot="1" x14ac:dyDescent="0.3">
      <c r="A18" s="34"/>
      <c r="B18" s="35"/>
      <c r="C18" s="40"/>
      <c r="D18" s="36"/>
      <c r="E18" s="35"/>
      <c r="F18" s="35"/>
      <c r="G18" s="34"/>
      <c r="H18" s="34"/>
      <c r="I18" s="34"/>
      <c r="J18" s="35"/>
    </row>
    <row r="19" spans="1:10" ht="15.75" thickTop="1" x14ac:dyDescent="0.25">
      <c r="B19" s="1">
        <f>SUM(B2:B18)</f>
        <v>135645.79999999999</v>
      </c>
      <c r="D19" s="3">
        <f>AVERAGE(D2:D18)</f>
        <v>4.4614285714285717E-2</v>
      </c>
      <c r="E19" s="1">
        <f t="shared" ref="E19:J19" si="5">SUM(E2:E18)</f>
        <v>3074</v>
      </c>
      <c r="F19" s="1">
        <f t="shared" si="5"/>
        <v>39317.753333333334</v>
      </c>
      <c r="G19" s="1">
        <f t="shared" si="5"/>
        <v>19658.876666666667</v>
      </c>
      <c r="H19" s="1">
        <f t="shared" si="5"/>
        <v>9829.4383333333335</v>
      </c>
      <c r="I19" s="1">
        <f t="shared" si="5"/>
        <v>9829.4383333333335</v>
      </c>
      <c r="J19" s="1">
        <f t="shared" si="5"/>
        <v>381.1905564999999</v>
      </c>
    </row>
    <row r="20" spans="1:10" x14ac:dyDescent="0.25">
      <c r="J20" s="1">
        <f>(B19*D19)/12</f>
        <v>504.31170642857143</v>
      </c>
    </row>
    <row r="22" spans="1:10" x14ac:dyDescent="0.25">
      <c r="A22" s="8" t="s">
        <v>36</v>
      </c>
      <c r="B22" s="15"/>
      <c r="C22" s="17">
        <v>3385.94</v>
      </c>
      <c r="D22" s="1">
        <v>3385.94</v>
      </c>
      <c r="F22" s="6"/>
    </row>
    <row r="23" spans="1:10" x14ac:dyDescent="0.25">
      <c r="A23" s="8" t="s">
        <v>37</v>
      </c>
      <c r="B23" s="15">
        <f>D23</f>
        <v>550</v>
      </c>
      <c r="C23" s="19"/>
      <c r="D23" s="1">
        <v>550</v>
      </c>
      <c r="F23" s="6">
        <v>43926</v>
      </c>
    </row>
    <row r="24" spans="1:10" x14ac:dyDescent="0.25">
      <c r="A24" s="8" t="s">
        <v>24</v>
      </c>
      <c r="B24" s="15">
        <f>D24</f>
        <v>847.62</v>
      </c>
      <c r="C24" s="18"/>
      <c r="D24" s="1">
        <v>847.62</v>
      </c>
      <c r="E24" s="12">
        <f>SUM(B24:B24)</f>
        <v>847.62</v>
      </c>
      <c r="F24" s="7"/>
    </row>
    <row r="25" spans="1:10" x14ac:dyDescent="0.25">
      <c r="A25" s="8" t="s">
        <v>57</v>
      </c>
      <c r="B25" s="15">
        <f>D25</f>
        <v>1382.89</v>
      </c>
      <c r="C25" s="18"/>
      <c r="D25" s="1">
        <v>1382.89</v>
      </c>
    </row>
    <row r="26" spans="1:10" x14ac:dyDescent="0.25">
      <c r="A26" s="8" t="s">
        <v>106</v>
      </c>
      <c r="B26" s="15">
        <v>250</v>
      </c>
      <c r="C26" s="15">
        <v>500</v>
      </c>
      <c r="D26" s="1"/>
    </row>
    <row r="27" spans="1:10" x14ac:dyDescent="0.25">
      <c r="A27" s="8" t="s">
        <v>12</v>
      </c>
      <c r="B27" s="15">
        <v>127</v>
      </c>
      <c r="C27" s="18"/>
    </row>
    <row r="28" spans="1:10" x14ac:dyDescent="0.25">
      <c r="A28" s="8" t="s">
        <v>14</v>
      </c>
      <c r="B28" s="15">
        <v>163.19</v>
      </c>
      <c r="C28" s="18"/>
    </row>
    <row r="29" spans="1:10" x14ac:dyDescent="0.25">
      <c r="A29" s="8" t="s">
        <v>15</v>
      </c>
      <c r="B29" s="15">
        <v>99</v>
      </c>
      <c r="C29" s="18"/>
      <c r="J29" s="13"/>
    </row>
    <row r="30" spans="1:10" x14ac:dyDescent="0.25">
      <c r="A30" s="8" t="s">
        <v>16</v>
      </c>
      <c r="B30" s="15">
        <v>120</v>
      </c>
      <c r="C30" s="18"/>
      <c r="G30" s="1"/>
    </row>
    <row r="31" spans="1:10" x14ac:dyDescent="0.25">
      <c r="A31" s="8" t="s">
        <v>17</v>
      </c>
      <c r="B31" s="15">
        <v>50</v>
      </c>
      <c r="C31" s="18"/>
    </row>
    <row r="32" spans="1:10" x14ac:dyDescent="0.25">
      <c r="A32" s="8" t="s">
        <v>18</v>
      </c>
      <c r="B32" s="18">
        <v>450</v>
      </c>
      <c r="C32" s="18"/>
      <c r="G32" s="13"/>
    </row>
    <row r="33" spans="1:11" x14ac:dyDescent="0.25">
      <c r="A33" s="8" t="s">
        <v>19</v>
      </c>
      <c r="B33" s="15">
        <v>250</v>
      </c>
      <c r="C33" s="15">
        <v>250</v>
      </c>
      <c r="G33" s="1"/>
    </row>
    <row r="34" spans="1:11" x14ac:dyDescent="0.25">
      <c r="A34" s="8" t="s">
        <v>38</v>
      </c>
      <c r="B34" s="18">
        <v>0</v>
      </c>
      <c r="C34" s="18"/>
      <c r="G34" s="1"/>
    </row>
    <row r="35" spans="1:11" x14ac:dyDescent="0.25">
      <c r="A35" s="8" t="s">
        <v>21</v>
      </c>
      <c r="B35" s="15">
        <v>110</v>
      </c>
      <c r="C35" s="18"/>
    </row>
    <row r="36" spans="1:11" x14ac:dyDescent="0.25">
      <c r="A36" s="8" t="s">
        <v>10</v>
      </c>
      <c r="B36" s="18"/>
      <c r="C36" s="18"/>
    </row>
    <row r="37" spans="1:11" s="3" customFormat="1" x14ac:dyDescent="0.25">
      <c r="A37" s="8" t="s">
        <v>35</v>
      </c>
      <c r="B37" s="18">
        <v>0</v>
      </c>
      <c r="C37" s="18"/>
      <c r="E37" s="1"/>
      <c r="F37" s="1"/>
      <c r="G37" s="4"/>
      <c r="H37"/>
      <c r="I37"/>
      <c r="J37" s="1"/>
      <c r="K37"/>
    </row>
    <row r="38" spans="1:11" s="3" customFormat="1" x14ac:dyDescent="0.25">
      <c r="A38" s="8" t="s">
        <v>33</v>
      </c>
      <c r="B38" s="15">
        <v>253</v>
      </c>
      <c r="C38" s="18"/>
      <c r="E38" s="1"/>
      <c r="F38" s="1"/>
      <c r="G38"/>
      <c r="H38"/>
      <c r="I38"/>
      <c r="J38" s="1"/>
      <c r="K38"/>
    </row>
    <row r="39" spans="1:11" s="3" customFormat="1" x14ac:dyDescent="0.25">
      <c r="A39" s="8" t="s">
        <v>44</v>
      </c>
      <c r="B39" s="18"/>
      <c r="C39" s="15">
        <v>174.87</v>
      </c>
      <c r="E39" s="1"/>
      <c r="F39" s="1"/>
      <c r="G39"/>
      <c r="H39"/>
      <c r="I39"/>
      <c r="K39"/>
    </row>
    <row r="40" spans="1:11" x14ac:dyDescent="0.25">
      <c r="A40" s="8" t="s">
        <v>45</v>
      </c>
      <c r="B40" s="18"/>
      <c r="C40" s="18"/>
      <c r="D40" s="1"/>
    </row>
    <row r="41" spans="1:11" s="3" customFormat="1" x14ac:dyDescent="0.25">
      <c r="A41" s="8" t="s">
        <v>52</v>
      </c>
      <c r="B41" s="15">
        <v>383.88</v>
      </c>
      <c r="C41" s="18"/>
      <c r="D41" s="1"/>
      <c r="E41" s="1"/>
      <c r="F41" s="1"/>
      <c r="G41"/>
      <c r="H41"/>
      <c r="I41"/>
      <c r="J41" s="1"/>
      <c r="K41"/>
    </row>
    <row r="42" spans="1:11" s="3" customFormat="1" x14ac:dyDescent="0.25">
      <c r="A42" s="8" t="s">
        <v>55</v>
      </c>
      <c r="B42" s="18">
        <v>0</v>
      </c>
      <c r="D42" s="1"/>
      <c r="E42" s="1"/>
      <c r="F42" s="1"/>
      <c r="H42"/>
      <c r="I42"/>
      <c r="J42" s="1"/>
      <c r="K42"/>
    </row>
    <row r="43" spans="1:11" s="3" customFormat="1" x14ac:dyDescent="0.25">
      <c r="A43" s="8" t="s">
        <v>107</v>
      </c>
      <c r="B43" s="15">
        <v>347</v>
      </c>
      <c r="D43" s="1"/>
      <c r="E43" s="1"/>
      <c r="F43" s="1"/>
      <c r="H43"/>
      <c r="I43"/>
      <c r="J43" s="1"/>
      <c r="K43"/>
    </row>
    <row r="44" spans="1:11" s="3" customFormat="1" ht="15.75" thickBot="1" x14ac:dyDescent="0.3">
      <c r="A44" s="37"/>
      <c r="B44" s="35"/>
      <c r="C44" s="35"/>
      <c r="D44" s="36"/>
      <c r="E44" s="35"/>
      <c r="F44" s="35"/>
      <c r="G44" s="36"/>
      <c r="H44"/>
      <c r="I44"/>
      <c r="J44" s="1"/>
      <c r="K44"/>
    </row>
    <row r="45" spans="1:11" s="3" customFormat="1" ht="15.75" thickTop="1" x14ac:dyDescent="0.25">
      <c r="A45" s="8" t="s">
        <v>41</v>
      </c>
      <c r="B45" s="1">
        <f>SUM(B22:B44)</f>
        <v>5383.5800000000008</v>
      </c>
      <c r="C45" s="1">
        <f>SUM(C22:C44)</f>
        <v>4310.8100000000004</v>
      </c>
      <c r="D45" s="1">
        <f>SUM(D23:D44)</f>
        <v>2780.51</v>
      </c>
      <c r="E45" s="1"/>
      <c r="F45" s="1"/>
      <c r="H45"/>
      <c r="I45"/>
      <c r="J45" s="1"/>
      <c r="K45"/>
    </row>
    <row r="46" spans="1:11" s="3" customFormat="1" x14ac:dyDescent="0.25">
      <c r="A46"/>
      <c r="B46" s="1"/>
      <c r="C46" s="4">
        <f>SUM(C23:C44)</f>
        <v>924.87</v>
      </c>
      <c r="D46" s="3" t="s">
        <v>119</v>
      </c>
      <c r="E46" s="1"/>
      <c r="F46" s="1"/>
      <c r="G46"/>
      <c r="H46"/>
      <c r="I46"/>
      <c r="J46" s="1"/>
      <c r="K46"/>
    </row>
    <row r="47" spans="1:11" s="3" customFormat="1" ht="15.75" thickBot="1" x14ac:dyDescent="0.3">
      <c r="A47" s="34"/>
      <c r="B47" s="35"/>
      <c r="C47" s="34"/>
      <c r="D47" s="36"/>
      <c r="E47" s="35"/>
      <c r="F47" s="35"/>
      <c r="G47" s="34"/>
      <c r="H47"/>
      <c r="I47"/>
      <c r="J47" s="1"/>
      <c r="K47"/>
    </row>
    <row r="48" spans="1:11" ht="15.75" thickTop="1" x14ac:dyDescent="0.25">
      <c r="A48" s="8" t="s">
        <v>40</v>
      </c>
      <c r="B48" s="9">
        <v>4714.79</v>
      </c>
      <c r="C48" s="9">
        <v>3889.12</v>
      </c>
    </row>
    <row r="49" spans="1:3" x14ac:dyDescent="0.25">
      <c r="A49" t="s">
        <v>123</v>
      </c>
      <c r="B49" s="1">
        <v>348.38</v>
      </c>
    </row>
    <row r="50" spans="1:3" x14ac:dyDescent="0.25">
      <c r="A50" t="s">
        <v>42</v>
      </c>
      <c r="B50" s="1">
        <f>(B48+B49)-B45</f>
        <v>-320.41000000000076</v>
      </c>
      <c r="C50" s="1">
        <f>C48-C45</f>
        <v>-421.69000000000051</v>
      </c>
    </row>
  </sheetData>
  <autoFilter ref="A1:J12" xr:uid="{1F705934-551F-4A30-809C-BD2B1658412C}">
    <sortState xmlns:xlrd2="http://schemas.microsoft.com/office/spreadsheetml/2017/richdata2" ref="A2:J12">
      <sortCondition descending="1" ref="D1:D12"/>
    </sortState>
  </autoFilter>
  <conditionalFormatting sqref="B22:C43">
    <cfRule type="cellIs" dxfId="6" priority="3" operator="equal">
      <formula>0</formula>
    </cfRule>
  </conditionalFormatting>
  <conditionalFormatting sqref="B2:B17">
    <cfRule type="cellIs" dxfId="5" priority="1" operator="equal">
      <formula>0</formula>
    </cfRule>
    <cfRule type="cellIs" dxfId="4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EFA5-3FF5-4681-8FD9-27BADC83C488}">
  <dimension ref="A1:L57"/>
  <sheetViews>
    <sheetView workbookViewId="0">
      <selection activeCell="B23" sqref="B23"/>
    </sheetView>
  </sheetViews>
  <sheetFormatPr defaultRowHeight="15" x14ac:dyDescent="0.25"/>
  <cols>
    <col min="1" max="1" width="11" bestFit="1" customWidth="1"/>
    <col min="2" max="2" width="12.5703125" style="1" bestFit="1" customWidth="1"/>
    <col min="3" max="3" width="18.5703125" customWidth="1"/>
    <col min="4" max="4" width="12.140625" style="3" bestFit="1" customWidth="1"/>
    <col min="5" max="5" width="10.5703125" style="1" bestFit="1" customWidth="1"/>
    <col min="6" max="6" width="10.5703125" style="1" customWidth="1"/>
    <col min="7" max="7" width="11.5703125" style="1" bestFit="1" customWidth="1"/>
    <col min="8" max="8" width="11.5703125" bestFit="1" customWidth="1"/>
    <col min="9" max="9" width="13.140625" bestFit="1" customWidth="1"/>
    <col min="10" max="10" width="11.5703125" bestFit="1" customWidth="1"/>
    <col min="11" max="11" width="12.140625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122</v>
      </c>
      <c r="F1" s="1" t="s">
        <v>9</v>
      </c>
      <c r="G1" s="1" t="s">
        <v>4</v>
      </c>
      <c r="H1" t="s">
        <v>5</v>
      </c>
      <c r="I1" t="s">
        <v>6</v>
      </c>
      <c r="J1" t="s">
        <v>7</v>
      </c>
      <c r="K1" s="1" t="s">
        <v>8</v>
      </c>
    </row>
    <row r="2" spans="1:12" x14ac:dyDescent="0.25">
      <c r="A2" t="s">
        <v>106</v>
      </c>
      <c r="B2" s="1">
        <v>17872.54</v>
      </c>
      <c r="C2" s="2">
        <v>44105</v>
      </c>
      <c r="D2" s="3">
        <v>0</v>
      </c>
      <c r="E2" s="1">
        <v>179</v>
      </c>
      <c r="F2" s="1">
        <v>590</v>
      </c>
      <c r="G2" s="1">
        <f>B2/3</f>
        <v>5957.5133333333333</v>
      </c>
      <c r="H2" s="4">
        <f>B2/6</f>
        <v>2978.7566666666667</v>
      </c>
      <c r="I2" s="4">
        <f>H2/2</f>
        <v>1489.3783333333333</v>
      </c>
      <c r="J2" s="4">
        <f>B2/12</f>
        <v>1489.3783333333333</v>
      </c>
      <c r="K2" s="1">
        <f>(B2*D2)/12</f>
        <v>0</v>
      </c>
    </row>
    <row r="3" spans="1:12" x14ac:dyDescent="0.25">
      <c r="A3" t="s">
        <v>12</v>
      </c>
      <c r="B3" s="1">
        <v>12590</v>
      </c>
      <c r="C3" s="2">
        <v>44211</v>
      </c>
      <c r="D3" s="3">
        <v>0</v>
      </c>
      <c r="E3" s="1">
        <v>125.9</v>
      </c>
      <c r="F3" s="1">
        <v>417</v>
      </c>
      <c r="G3" s="1">
        <f t="shared" ref="G3:G17" si="0">B3/3</f>
        <v>4196.666666666667</v>
      </c>
      <c r="H3" s="4">
        <f t="shared" ref="H3:H17" si="1">B3/6</f>
        <v>2098.3333333333335</v>
      </c>
      <c r="I3" s="4">
        <f t="shared" ref="I3:I19" si="2">H3/2</f>
        <v>1049.1666666666667</v>
      </c>
      <c r="J3" s="4">
        <f t="shared" ref="J3:J17" si="3">B3/12</f>
        <v>1049.1666666666667</v>
      </c>
      <c r="K3" s="1">
        <f>(B3*D3)/12</f>
        <v>0</v>
      </c>
    </row>
    <row r="4" spans="1:12" x14ac:dyDescent="0.25">
      <c r="A4" t="s">
        <v>14</v>
      </c>
      <c r="C4" s="2"/>
      <c r="G4" s="1">
        <f t="shared" si="0"/>
        <v>0</v>
      </c>
      <c r="H4" s="4">
        <f t="shared" si="1"/>
        <v>0</v>
      </c>
      <c r="I4" s="4">
        <f t="shared" si="2"/>
        <v>0</v>
      </c>
      <c r="J4" s="4">
        <f t="shared" si="3"/>
        <v>0</v>
      </c>
      <c r="K4" s="1">
        <f t="shared" ref="K4:K19" si="4">(B4*D4)/12</f>
        <v>0</v>
      </c>
    </row>
    <row r="5" spans="1:12" x14ac:dyDescent="0.25">
      <c r="A5" t="s">
        <v>15</v>
      </c>
      <c r="B5" s="1">
        <v>0</v>
      </c>
      <c r="C5" s="2"/>
      <c r="G5" s="1">
        <f t="shared" si="0"/>
        <v>0</v>
      </c>
      <c r="H5" s="4">
        <f t="shared" si="1"/>
        <v>0</v>
      </c>
      <c r="I5" s="4">
        <f t="shared" si="2"/>
        <v>0</v>
      </c>
      <c r="J5" s="4">
        <f t="shared" si="3"/>
        <v>0</v>
      </c>
      <c r="K5" s="1">
        <f t="shared" si="4"/>
        <v>0</v>
      </c>
    </row>
    <row r="6" spans="1:12" x14ac:dyDescent="0.25">
      <c r="A6" t="s">
        <v>16</v>
      </c>
      <c r="B6" s="1">
        <v>11526.92</v>
      </c>
      <c r="C6" s="2">
        <v>44209</v>
      </c>
      <c r="D6" s="3">
        <v>0</v>
      </c>
      <c r="E6" s="1">
        <v>117</v>
      </c>
      <c r="F6" s="1">
        <v>427</v>
      </c>
      <c r="G6" s="1">
        <f t="shared" si="0"/>
        <v>3842.3066666666668</v>
      </c>
      <c r="H6" s="4">
        <f t="shared" si="1"/>
        <v>1921.1533333333334</v>
      </c>
      <c r="I6" s="4">
        <f t="shared" si="2"/>
        <v>960.57666666666671</v>
      </c>
      <c r="J6" s="4">
        <f t="shared" si="3"/>
        <v>960.57666666666671</v>
      </c>
      <c r="K6" s="1">
        <f t="shared" si="4"/>
        <v>0</v>
      </c>
    </row>
    <row r="7" spans="1:12" x14ac:dyDescent="0.25">
      <c r="A7" t="s">
        <v>17</v>
      </c>
      <c r="B7" s="1">
        <v>1444.28</v>
      </c>
      <c r="C7" s="2"/>
      <c r="D7" s="3">
        <v>0.15240000000000001</v>
      </c>
      <c r="E7" s="1">
        <v>35</v>
      </c>
      <c r="F7" s="1">
        <v>50</v>
      </c>
      <c r="G7" s="1">
        <f t="shared" si="0"/>
        <v>481.42666666666668</v>
      </c>
      <c r="H7" s="4">
        <f t="shared" si="1"/>
        <v>240.71333333333334</v>
      </c>
      <c r="I7" s="4">
        <f t="shared" si="2"/>
        <v>120.35666666666667</v>
      </c>
      <c r="J7" s="4">
        <f t="shared" si="3"/>
        <v>120.35666666666667</v>
      </c>
      <c r="K7" s="1">
        <f>(B7*D7)/12</f>
        <v>18.342355999999999</v>
      </c>
      <c r="L7" s="4"/>
    </row>
    <row r="8" spans="1:12" x14ac:dyDescent="0.25">
      <c r="A8" t="s">
        <v>18</v>
      </c>
      <c r="B8" s="1">
        <v>0</v>
      </c>
      <c r="G8" s="1">
        <f t="shared" si="0"/>
        <v>0</v>
      </c>
      <c r="H8" s="4">
        <f t="shared" si="1"/>
        <v>0</v>
      </c>
      <c r="I8" s="4">
        <f t="shared" si="2"/>
        <v>0</v>
      </c>
      <c r="J8" s="4">
        <f t="shared" si="3"/>
        <v>0</v>
      </c>
      <c r="K8" s="1">
        <f t="shared" si="4"/>
        <v>0</v>
      </c>
    </row>
    <row r="9" spans="1:12" x14ac:dyDescent="0.25">
      <c r="A9" t="s">
        <v>19</v>
      </c>
      <c r="B9" s="1">
        <v>10838.8</v>
      </c>
      <c r="D9" s="3">
        <v>7.2400000000000006E-2</v>
      </c>
      <c r="G9" s="1">
        <f t="shared" si="0"/>
        <v>3612.9333333333329</v>
      </c>
      <c r="H9" s="4">
        <f t="shared" si="1"/>
        <v>1806.4666666666665</v>
      </c>
      <c r="I9" s="4">
        <f t="shared" si="2"/>
        <v>903.23333333333323</v>
      </c>
      <c r="J9" s="4">
        <f t="shared" si="3"/>
        <v>903.23333333333323</v>
      </c>
      <c r="K9" s="1">
        <f t="shared" si="4"/>
        <v>65.394093333333331</v>
      </c>
    </row>
    <row r="10" spans="1:12" x14ac:dyDescent="0.25">
      <c r="A10" t="s">
        <v>19</v>
      </c>
      <c r="B10" s="1">
        <v>4321.03</v>
      </c>
      <c r="C10" s="2">
        <v>44306</v>
      </c>
      <c r="D10" s="3">
        <v>0</v>
      </c>
      <c r="E10" s="1">
        <v>268</v>
      </c>
      <c r="F10" s="1">
        <v>618</v>
      </c>
      <c r="G10" s="1">
        <f>B10/3</f>
        <v>1440.3433333333332</v>
      </c>
      <c r="H10" s="4">
        <f>B10/6</f>
        <v>720.17166666666662</v>
      </c>
      <c r="I10" s="4">
        <f>H10/2</f>
        <v>360.08583333333331</v>
      </c>
      <c r="J10" s="4">
        <f>B10/12</f>
        <v>360.08583333333331</v>
      </c>
      <c r="K10" s="1">
        <f>(B10*D10)/12</f>
        <v>0</v>
      </c>
    </row>
    <row r="11" spans="1:12" x14ac:dyDescent="0.25">
      <c r="A11" t="s">
        <v>38</v>
      </c>
      <c r="B11" s="1">
        <v>0</v>
      </c>
      <c r="C11" s="2"/>
      <c r="G11" s="1">
        <f t="shared" si="0"/>
        <v>0</v>
      </c>
      <c r="H11" s="4">
        <f t="shared" si="1"/>
        <v>0</v>
      </c>
      <c r="I11" s="4">
        <f t="shared" si="2"/>
        <v>0</v>
      </c>
      <c r="J11" s="4">
        <f t="shared" si="3"/>
        <v>0</v>
      </c>
      <c r="K11" s="1">
        <f t="shared" si="4"/>
        <v>0</v>
      </c>
    </row>
    <row r="12" spans="1:12" x14ac:dyDescent="0.25">
      <c r="A12" t="s">
        <v>21</v>
      </c>
      <c r="B12" s="1">
        <v>593.83000000000004</v>
      </c>
      <c r="C12" s="2">
        <v>44358</v>
      </c>
      <c r="D12" s="3">
        <v>0</v>
      </c>
      <c r="E12" s="1">
        <v>28</v>
      </c>
      <c r="G12" s="1">
        <f t="shared" si="0"/>
        <v>197.94333333333336</v>
      </c>
      <c r="H12" s="4">
        <f t="shared" si="1"/>
        <v>98.971666666666678</v>
      </c>
      <c r="I12" s="4">
        <f t="shared" si="2"/>
        <v>49.485833333333339</v>
      </c>
      <c r="J12" s="4">
        <f t="shared" si="3"/>
        <v>49.485833333333339</v>
      </c>
      <c r="K12" s="1">
        <f t="shared" si="4"/>
        <v>0</v>
      </c>
    </row>
    <row r="13" spans="1:12" x14ac:dyDescent="0.25">
      <c r="A13" t="s">
        <v>22</v>
      </c>
      <c r="C13" s="2"/>
      <c r="G13" s="1">
        <f t="shared" si="0"/>
        <v>0</v>
      </c>
      <c r="H13" s="4">
        <f t="shared" si="1"/>
        <v>0</v>
      </c>
      <c r="I13" s="4">
        <f>H13/2</f>
        <v>0</v>
      </c>
      <c r="J13" s="4">
        <f t="shared" si="3"/>
        <v>0</v>
      </c>
      <c r="K13" s="1">
        <f t="shared" si="4"/>
        <v>0</v>
      </c>
    </row>
    <row r="14" spans="1:12" x14ac:dyDescent="0.25">
      <c r="A14" t="s">
        <v>10</v>
      </c>
      <c r="B14" s="1">
        <v>22165</v>
      </c>
      <c r="D14" s="3">
        <v>0.15989999999999999</v>
      </c>
      <c r="E14" s="1">
        <v>579</v>
      </c>
      <c r="F14" s="1">
        <v>780</v>
      </c>
      <c r="G14" s="1">
        <f t="shared" si="0"/>
        <v>7388.333333333333</v>
      </c>
      <c r="H14" s="4">
        <f t="shared" si="1"/>
        <v>3694.1666666666665</v>
      </c>
      <c r="I14" s="4">
        <f t="shared" si="2"/>
        <v>1847.0833333333333</v>
      </c>
      <c r="J14" s="4">
        <f t="shared" si="3"/>
        <v>1847.0833333333333</v>
      </c>
      <c r="K14" s="1">
        <f>(B14*D14)/12</f>
        <v>295.34862499999997</v>
      </c>
    </row>
    <row r="15" spans="1:12" x14ac:dyDescent="0.25">
      <c r="A15" t="s">
        <v>56</v>
      </c>
      <c r="B15" s="1">
        <v>0</v>
      </c>
      <c r="G15" s="1">
        <f t="shared" si="0"/>
        <v>0</v>
      </c>
      <c r="H15" s="4">
        <f t="shared" si="1"/>
        <v>0</v>
      </c>
      <c r="I15" s="4">
        <f t="shared" si="2"/>
        <v>0</v>
      </c>
      <c r="J15" s="4">
        <f t="shared" si="3"/>
        <v>0</v>
      </c>
      <c r="K15" s="1">
        <f t="shared" si="4"/>
        <v>0</v>
      </c>
    </row>
    <row r="16" spans="1:12" x14ac:dyDescent="0.25">
      <c r="A16" t="s">
        <v>35</v>
      </c>
      <c r="B16" s="1">
        <v>0</v>
      </c>
      <c r="G16" s="1">
        <f t="shared" si="0"/>
        <v>0</v>
      </c>
      <c r="H16" s="4">
        <f t="shared" si="1"/>
        <v>0</v>
      </c>
      <c r="I16" s="4">
        <f t="shared" si="2"/>
        <v>0</v>
      </c>
      <c r="J16" s="4">
        <f t="shared" si="3"/>
        <v>0</v>
      </c>
      <c r="K16" s="1">
        <f t="shared" si="4"/>
        <v>0</v>
      </c>
    </row>
    <row r="17" spans="1:11" x14ac:dyDescent="0.25">
      <c r="A17" t="s">
        <v>52</v>
      </c>
      <c r="B17" s="1">
        <v>362.41</v>
      </c>
      <c r="G17" s="1">
        <f t="shared" si="0"/>
        <v>120.80333333333334</v>
      </c>
      <c r="H17" s="4">
        <f t="shared" si="1"/>
        <v>60.401666666666671</v>
      </c>
      <c r="I17" s="4">
        <f t="shared" si="2"/>
        <v>30.200833333333335</v>
      </c>
      <c r="J17" s="4">
        <f t="shared" si="3"/>
        <v>30.200833333333335</v>
      </c>
      <c r="K17" s="1">
        <f t="shared" si="4"/>
        <v>0</v>
      </c>
    </row>
    <row r="18" spans="1:11" x14ac:dyDescent="0.25">
      <c r="A18" t="s">
        <v>39</v>
      </c>
      <c r="B18" s="1">
        <v>11.96</v>
      </c>
      <c r="G18" s="1">
        <f>B18/3</f>
        <v>3.9866666666666668</v>
      </c>
      <c r="H18" s="4">
        <f>B18/6</f>
        <v>1.9933333333333334</v>
      </c>
      <c r="I18" s="4">
        <f t="shared" si="2"/>
        <v>0.9966666666666667</v>
      </c>
      <c r="J18" s="4">
        <f>B18/12</f>
        <v>0.9966666666666667</v>
      </c>
      <c r="K18" s="1">
        <f t="shared" si="4"/>
        <v>0</v>
      </c>
    </row>
    <row r="19" spans="1:11" x14ac:dyDescent="0.25">
      <c r="A19" t="s">
        <v>57</v>
      </c>
      <c r="B19" s="1">
        <v>43559.39</v>
      </c>
      <c r="G19" s="1">
        <f>B19/3</f>
        <v>14519.796666666667</v>
      </c>
      <c r="H19" s="4">
        <f>B19/6</f>
        <v>7259.8983333333335</v>
      </c>
      <c r="I19" s="4">
        <f t="shared" si="2"/>
        <v>3629.9491666666668</v>
      </c>
      <c r="J19" s="4">
        <f>B19/12</f>
        <v>3629.9491666666668</v>
      </c>
      <c r="K19" s="1">
        <f t="shared" si="4"/>
        <v>0</v>
      </c>
    </row>
    <row r="20" spans="1:11" x14ac:dyDescent="0.25">
      <c r="A20" t="s">
        <v>107</v>
      </c>
      <c r="B20" s="1">
        <v>2771</v>
      </c>
      <c r="C20" s="2">
        <v>44176</v>
      </c>
      <c r="D20" s="3">
        <v>0</v>
      </c>
      <c r="E20" s="1">
        <v>145.57</v>
      </c>
      <c r="G20" s="1">
        <f>B20/3</f>
        <v>923.66666666666663</v>
      </c>
      <c r="H20" s="4">
        <f>B20/6</f>
        <v>461.83333333333331</v>
      </c>
      <c r="I20" s="4">
        <f>H20/2</f>
        <v>230.91666666666666</v>
      </c>
      <c r="J20" s="4">
        <f>B20/12</f>
        <v>230.91666666666666</v>
      </c>
      <c r="K20" s="1">
        <f>(B20*D20)/12</f>
        <v>0</v>
      </c>
    </row>
    <row r="21" spans="1:11" ht="15.75" thickBot="1" x14ac:dyDescent="0.3">
      <c r="A21" s="34"/>
      <c r="B21" s="35"/>
      <c r="C21" s="34"/>
      <c r="D21" s="36"/>
      <c r="E21" s="35"/>
      <c r="F21" s="35"/>
      <c r="G21" s="35"/>
      <c r="H21" s="34"/>
      <c r="I21" s="34"/>
      <c r="J21" s="34"/>
      <c r="K21" s="35"/>
    </row>
    <row r="22" spans="1:11" ht="15.75" thickTop="1" x14ac:dyDescent="0.25">
      <c r="B22" s="1">
        <f>SUM(B2:B21)</f>
        <v>128057.16</v>
      </c>
      <c r="D22" s="3">
        <f>AVERAGE(D2:D21)</f>
        <v>4.2744444444444446E-2</v>
      </c>
      <c r="E22" s="1">
        <f t="shared" ref="E22:J22" si="5">SUM(E2:E21)</f>
        <v>1477.47</v>
      </c>
      <c r="F22" s="1">
        <f t="shared" si="5"/>
        <v>2882</v>
      </c>
      <c r="G22" s="1">
        <f>SUM(G2:G21)</f>
        <v>42685.72</v>
      </c>
      <c r="H22" s="1">
        <f t="shared" si="5"/>
        <v>21342.86</v>
      </c>
      <c r="I22" s="1">
        <f>SUM(I2:I21)</f>
        <v>10671.43</v>
      </c>
      <c r="J22" s="1">
        <f t="shared" si="5"/>
        <v>10671.43</v>
      </c>
      <c r="K22" s="1">
        <f>SUM(K2:K21)</f>
        <v>379.0850743333333</v>
      </c>
    </row>
    <row r="23" spans="1:11" x14ac:dyDescent="0.25">
      <c r="K23" s="1">
        <f>(B22*D22)/12</f>
        <v>456.1443467777778</v>
      </c>
    </row>
    <row r="25" spans="1:11" x14ac:dyDescent="0.25">
      <c r="A25" s="8" t="s">
        <v>36</v>
      </c>
      <c r="B25" s="18"/>
      <c r="C25" s="15">
        <f>D25</f>
        <v>3385.94</v>
      </c>
      <c r="D25" s="1">
        <v>3385.94</v>
      </c>
      <c r="G25" s="6"/>
    </row>
    <row r="26" spans="1:11" x14ac:dyDescent="0.25">
      <c r="A26" s="8" t="s">
        <v>37</v>
      </c>
      <c r="B26" s="15">
        <v>89.69</v>
      </c>
      <c r="C26" s="19"/>
      <c r="D26" s="1">
        <v>550</v>
      </c>
      <c r="G26" s="6"/>
    </row>
    <row r="27" spans="1:11" x14ac:dyDescent="0.25">
      <c r="A27" s="8" t="s">
        <v>24</v>
      </c>
      <c r="B27" s="15">
        <v>847.62</v>
      </c>
      <c r="C27" s="18"/>
      <c r="D27" s="1">
        <v>847.62</v>
      </c>
      <c r="E27" s="12">
        <f>SUM(B27:B27)</f>
        <v>847.62</v>
      </c>
      <c r="F27" s="12"/>
      <c r="G27" s="7"/>
    </row>
    <row r="28" spans="1:11" x14ac:dyDescent="0.25">
      <c r="A28" s="8" t="s">
        <v>57</v>
      </c>
      <c r="B28" s="15">
        <f>D28</f>
        <v>1382.89</v>
      </c>
      <c r="C28" s="18"/>
      <c r="D28" s="1">
        <v>1382.89</v>
      </c>
    </row>
    <row r="29" spans="1:11" x14ac:dyDescent="0.25">
      <c r="A29" s="8" t="s">
        <v>39</v>
      </c>
      <c r="B29" s="15">
        <v>11.96</v>
      </c>
      <c r="C29" s="18"/>
      <c r="D29" s="1"/>
    </row>
    <row r="30" spans="1:11" x14ac:dyDescent="0.25">
      <c r="A30" s="8" t="s">
        <v>106</v>
      </c>
      <c r="B30" s="15">
        <v>180</v>
      </c>
      <c r="C30" s="18"/>
      <c r="D30" s="1"/>
    </row>
    <row r="31" spans="1:11" x14ac:dyDescent="0.25">
      <c r="A31" s="8" t="s">
        <v>12</v>
      </c>
      <c r="B31" s="15">
        <v>127</v>
      </c>
      <c r="C31" s="18"/>
    </row>
    <row r="32" spans="1:11" x14ac:dyDescent="0.25">
      <c r="A32" s="8" t="s">
        <v>14</v>
      </c>
      <c r="B32" s="15">
        <v>25.64</v>
      </c>
      <c r="C32" s="18"/>
    </row>
    <row r="33" spans="1:12" x14ac:dyDescent="0.25">
      <c r="A33" s="8" t="s">
        <v>15</v>
      </c>
      <c r="B33" s="18"/>
      <c r="C33" s="18"/>
      <c r="K33" s="13"/>
    </row>
    <row r="34" spans="1:12" x14ac:dyDescent="0.25">
      <c r="A34" s="8" t="s">
        <v>16</v>
      </c>
      <c r="B34" s="15">
        <v>118</v>
      </c>
      <c r="C34" s="18"/>
      <c r="H34" s="1"/>
    </row>
    <row r="35" spans="1:12" x14ac:dyDescent="0.25">
      <c r="A35" s="8" t="s">
        <v>17</v>
      </c>
      <c r="B35" s="18"/>
      <c r="C35" s="18"/>
    </row>
    <row r="36" spans="1:12" x14ac:dyDescent="0.25">
      <c r="A36" s="8" t="s">
        <v>18</v>
      </c>
      <c r="B36" s="15">
        <v>36</v>
      </c>
      <c r="C36" s="18"/>
      <c r="H36" s="13"/>
    </row>
    <row r="37" spans="1:12" x14ac:dyDescent="0.25">
      <c r="A37" s="8" t="s">
        <v>19</v>
      </c>
      <c r="B37" s="15">
        <v>250</v>
      </c>
      <c r="C37" s="15">
        <v>250</v>
      </c>
      <c r="H37" s="1"/>
    </row>
    <row r="38" spans="1:12" x14ac:dyDescent="0.25">
      <c r="A38" s="8" t="s">
        <v>38</v>
      </c>
      <c r="B38" s="18"/>
      <c r="C38" s="18"/>
      <c r="H38" s="1"/>
    </row>
    <row r="39" spans="1:12" x14ac:dyDescent="0.25">
      <c r="A39" s="8" t="s">
        <v>21</v>
      </c>
      <c r="B39" s="15">
        <v>55</v>
      </c>
      <c r="C39" s="15">
        <v>53.3</v>
      </c>
    </row>
    <row r="40" spans="1:12" x14ac:dyDescent="0.25">
      <c r="A40" s="8" t="s">
        <v>22</v>
      </c>
      <c r="B40" s="18"/>
      <c r="C40" s="18"/>
      <c r="H40" s="14"/>
    </row>
    <row r="41" spans="1:12" x14ac:dyDescent="0.25">
      <c r="A41" s="8" t="s">
        <v>10</v>
      </c>
      <c r="B41" s="18"/>
      <c r="C41" s="18"/>
    </row>
    <row r="42" spans="1:12" s="3" customFormat="1" x14ac:dyDescent="0.25">
      <c r="A42" s="8" t="s">
        <v>35</v>
      </c>
      <c r="B42" s="18"/>
      <c r="C42" s="18"/>
      <c r="E42" s="1"/>
      <c r="F42" s="1"/>
      <c r="G42" s="1"/>
      <c r="H42" s="4"/>
      <c r="I42"/>
      <c r="J42"/>
      <c r="K42" s="1"/>
      <c r="L42"/>
    </row>
    <row r="43" spans="1:12" s="3" customFormat="1" x14ac:dyDescent="0.25">
      <c r="A43" s="8" t="s">
        <v>33</v>
      </c>
      <c r="B43" s="15">
        <v>253</v>
      </c>
      <c r="C43" s="18"/>
      <c r="E43" s="1"/>
      <c r="F43" s="1"/>
      <c r="G43" s="1"/>
      <c r="H43"/>
      <c r="I43"/>
      <c r="J43"/>
      <c r="K43" s="1"/>
      <c r="L43"/>
    </row>
    <row r="44" spans="1:12" s="3" customFormat="1" x14ac:dyDescent="0.25">
      <c r="A44" s="8" t="s">
        <v>44</v>
      </c>
      <c r="B44" s="15">
        <v>274.02999999999997</v>
      </c>
      <c r="C44" s="15">
        <v>297.48</v>
      </c>
      <c r="E44" s="1"/>
      <c r="F44" s="1"/>
      <c r="G44" s="1"/>
      <c r="H44"/>
      <c r="I44"/>
      <c r="J44"/>
      <c r="L44"/>
    </row>
    <row r="45" spans="1:12" x14ac:dyDescent="0.25">
      <c r="A45" s="8" t="s">
        <v>45</v>
      </c>
      <c r="B45" s="18"/>
      <c r="C45" s="18"/>
      <c r="D45" s="1"/>
    </row>
    <row r="46" spans="1:12" s="3" customFormat="1" x14ac:dyDescent="0.25">
      <c r="A46" s="8" t="s">
        <v>52</v>
      </c>
      <c r="B46" s="15">
        <f>B17</f>
        <v>362.41</v>
      </c>
      <c r="C46" s="18"/>
      <c r="D46" s="1"/>
      <c r="E46" s="1"/>
      <c r="F46" s="1"/>
      <c r="G46" s="1"/>
      <c r="H46"/>
      <c r="I46"/>
      <c r="J46"/>
      <c r="K46" s="1"/>
      <c r="L46"/>
    </row>
    <row r="47" spans="1:12" s="3" customFormat="1" x14ac:dyDescent="0.25">
      <c r="A47" s="8" t="s">
        <v>55</v>
      </c>
      <c r="B47" s="18">
        <v>0</v>
      </c>
      <c r="D47" s="1"/>
      <c r="E47" s="1"/>
      <c r="F47" s="1"/>
      <c r="G47" s="1"/>
      <c r="I47"/>
      <c r="J47"/>
      <c r="K47" s="1"/>
      <c r="L47"/>
    </row>
    <row r="48" spans="1:12" s="3" customFormat="1" x14ac:dyDescent="0.25">
      <c r="A48" s="8" t="s">
        <v>107</v>
      </c>
      <c r="B48" s="15">
        <v>347</v>
      </c>
      <c r="D48" s="1"/>
      <c r="E48" s="1"/>
      <c r="F48" s="1"/>
      <c r="G48" s="1"/>
      <c r="I48"/>
      <c r="J48"/>
      <c r="K48" s="1"/>
      <c r="L48"/>
    </row>
    <row r="49" spans="1:12" s="3" customFormat="1" x14ac:dyDescent="0.25">
      <c r="A49" s="38" t="s">
        <v>120</v>
      </c>
      <c r="B49" s="15">
        <v>175</v>
      </c>
      <c r="D49" s="1"/>
      <c r="E49" s="1"/>
      <c r="F49" s="1"/>
      <c r="G49" s="1"/>
      <c r="I49"/>
      <c r="J49"/>
      <c r="K49" s="1"/>
      <c r="L49"/>
    </row>
    <row r="50" spans="1:12" s="3" customFormat="1" x14ac:dyDescent="0.25">
      <c r="A50" s="38" t="s">
        <v>121</v>
      </c>
      <c r="B50" s="15">
        <v>370</v>
      </c>
      <c r="D50" s="1"/>
      <c r="E50" s="1"/>
      <c r="F50" s="1"/>
      <c r="G50" s="1"/>
      <c r="I50"/>
      <c r="J50"/>
      <c r="K50" s="1"/>
      <c r="L50"/>
    </row>
    <row r="51" spans="1:12" s="3" customFormat="1" ht="15.75" thickBot="1" x14ac:dyDescent="0.3">
      <c r="A51" s="37"/>
      <c r="B51" s="35"/>
      <c r="C51" s="35"/>
      <c r="D51" s="36"/>
      <c r="E51" s="35"/>
      <c r="F51" s="35"/>
      <c r="G51" s="35"/>
      <c r="H51" s="36"/>
      <c r="I51"/>
      <c r="J51"/>
      <c r="K51" s="1"/>
      <c r="L51"/>
    </row>
    <row r="52" spans="1:12" s="3" customFormat="1" ht="15.75" thickTop="1" x14ac:dyDescent="0.25">
      <c r="A52" s="8" t="s">
        <v>41</v>
      </c>
      <c r="B52" s="1">
        <f>SUM(B25:B51)</f>
        <v>4905.24</v>
      </c>
      <c r="C52" s="1">
        <f>SUM(C25:C51)</f>
        <v>3986.7200000000003</v>
      </c>
      <c r="D52" s="1">
        <f>SUM(D26:D51)</f>
        <v>2780.51</v>
      </c>
      <c r="E52" s="1"/>
      <c r="F52" s="1"/>
      <c r="G52" s="1"/>
      <c r="I52"/>
      <c r="J52"/>
      <c r="K52" s="1"/>
      <c r="L52"/>
    </row>
    <row r="53" spans="1:12" s="3" customFormat="1" x14ac:dyDescent="0.25">
      <c r="A53"/>
      <c r="B53" s="1"/>
      <c r="C53" s="4">
        <f>SUM(C26:C51)</f>
        <v>600.78</v>
      </c>
      <c r="D53" s="3" t="s">
        <v>119</v>
      </c>
      <c r="E53" s="1"/>
      <c r="F53" s="1"/>
      <c r="G53" s="1"/>
      <c r="H53"/>
      <c r="I53"/>
      <c r="J53"/>
      <c r="K53" s="1"/>
      <c r="L53"/>
    </row>
    <row r="54" spans="1:12" s="3" customFormat="1" ht="15.75" thickBot="1" x14ac:dyDescent="0.3">
      <c r="A54" s="34"/>
      <c r="B54" s="35"/>
      <c r="C54" s="34"/>
      <c r="D54" s="36"/>
      <c r="E54" s="35"/>
      <c r="F54" s="35"/>
      <c r="G54" s="35"/>
      <c r="H54" s="34"/>
      <c r="I54"/>
      <c r="J54"/>
      <c r="K54" s="1"/>
      <c r="L54"/>
    </row>
    <row r="55" spans="1:12" ht="15.75" thickTop="1" x14ac:dyDescent="0.25">
      <c r="A55" s="8" t="s">
        <v>40</v>
      </c>
      <c r="B55" s="9">
        <v>3889.12</v>
      </c>
      <c r="C55" s="9">
        <v>3889.12</v>
      </c>
    </row>
    <row r="57" spans="1:12" x14ac:dyDescent="0.25">
      <c r="A57" t="s">
        <v>42</v>
      </c>
      <c r="B57" s="1">
        <f>B55-B52</f>
        <v>-1016.1199999999999</v>
      </c>
      <c r="C57" s="1">
        <f>C55-C52</f>
        <v>-97.600000000000364</v>
      </c>
    </row>
  </sheetData>
  <autoFilter ref="A1:K14" xr:uid="{1F705934-551F-4A30-809C-BD2B1658412C}">
    <sortState xmlns:xlrd2="http://schemas.microsoft.com/office/spreadsheetml/2017/richdata2" ref="A2:K14">
      <sortCondition descending="1" ref="D1:D14"/>
    </sortState>
  </autoFilter>
  <conditionalFormatting sqref="B26 B28:B48">
    <cfRule type="cellIs" dxfId="3" priority="4" operator="equal">
      <formula>0</formula>
    </cfRule>
  </conditionalFormatting>
  <conditionalFormatting sqref="B2:B20">
    <cfRule type="cellIs" dxfId="2" priority="2" operator="equal">
      <formula>0</formula>
    </cfRule>
    <cfRule type="cellIs" dxfId="1" priority="3" operator="equal">
      <formula>0</formula>
    </cfRule>
  </conditionalFormatting>
  <conditionalFormatting sqref="C26:C5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F376-4D43-4332-ACEF-716A83FEB61C}">
  <dimension ref="A1:M56"/>
  <sheetViews>
    <sheetView workbookViewId="0">
      <selection activeCell="B22" sqref="B22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14" style="1" bestFit="1" customWidth="1"/>
    <col min="12" max="12" width="7" bestFit="1" customWidth="1"/>
    <col min="13" max="13" width="10.5703125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106</v>
      </c>
      <c r="B2" s="1">
        <v>18237.54</v>
      </c>
      <c r="C2" s="30" t="s">
        <v>113</v>
      </c>
      <c r="D2" s="3">
        <v>0</v>
      </c>
      <c r="E2" s="1">
        <v>599</v>
      </c>
      <c r="F2" s="1">
        <f>B2/3</f>
        <v>6079.18</v>
      </c>
      <c r="G2" s="4">
        <f>B2/6</f>
        <v>3039.59</v>
      </c>
      <c r="H2" s="4">
        <f>G2/2</f>
        <v>1519.7950000000001</v>
      </c>
      <c r="I2" s="4">
        <f>B2/12</f>
        <v>1519.7950000000001</v>
      </c>
      <c r="J2" s="1">
        <f>(B2*D2)/12</f>
        <v>0</v>
      </c>
    </row>
    <row r="3" spans="1:12" x14ac:dyDescent="0.25">
      <c r="A3" t="s">
        <v>12</v>
      </c>
      <c r="B3" s="1">
        <v>12718</v>
      </c>
      <c r="C3" s="30" t="s">
        <v>114</v>
      </c>
      <c r="D3" s="3">
        <v>0</v>
      </c>
      <c r="E3" s="1">
        <v>426</v>
      </c>
      <c r="F3" s="1">
        <f t="shared" ref="F3:F16" si="0">B3/3</f>
        <v>4239.333333333333</v>
      </c>
      <c r="G3" s="4">
        <f t="shared" ref="G3:G16" si="1">B3/6</f>
        <v>2119.6666666666665</v>
      </c>
      <c r="H3" s="4">
        <f t="shared" ref="H3:H19" si="2">G3/2</f>
        <v>1059.8333333333333</v>
      </c>
      <c r="I3" s="4">
        <f t="shared" ref="I3:I16" si="3">B3/12</f>
        <v>1059.8333333333333</v>
      </c>
      <c r="J3" s="1">
        <f t="shared" ref="J3:J19" si="4">(B3*D3)/12</f>
        <v>0</v>
      </c>
      <c r="K3" s="1">
        <v>97</v>
      </c>
    </row>
    <row r="4" spans="1:12" x14ac:dyDescent="0.25">
      <c r="A4" t="s">
        <v>14</v>
      </c>
      <c r="B4" s="1">
        <v>251.07</v>
      </c>
      <c r="C4" s="30"/>
      <c r="D4" s="3">
        <v>0.29239999999999999</v>
      </c>
      <c r="F4" s="1">
        <f t="shared" si="0"/>
        <v>83.69</v>
      </c>
      <c r="G4" s="4">
        <f t="shared" si="1"/>
        <v>41.844999999999999</v>
      </c>
      <c r="H4" s="4">
        <f t="shared" si="2"/>
        <v>20.922499999999999</v>
      </c>
      <c r="I4" s="4">
        <f t="shared" si="3"/>
        <v>20.922499999999999</v>
      </c>
      <c r="J4" s="1">
        <f t="shared" si="4"/>
        <v>6.1177390000000003</v>
      </c>
    </row>
    <row r="5" spans="1:12" x14ac:dyDescent="0.25">
      <c r="A5" t="s">
        <v>15</v>
      </c>
      <c r="B5" s="1">
        <v>0</v>
      </c>
      <c r="C5" s="30"/>
      <c r="D5" s="3">
        <v>0</v>
      </c>
      <c r="F5" s="1">
        <f t="shared" si="0"/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1">
        <f t="shared" si="4"/>
        <v>0</v>
      </c>
      <c r="K5" s="1">
        <v>221</v>
      </c>
    </row>
    <row r="6" spans="1:12" x14ac:dyDescent="0.25">
      <c r="A6" t="s">
        <v>16</v>
      </c>
      <c r="B6" s="1">
        <v>11643.79</v>
      </c>
      <c r="C6" s="30" t="s">
        <v>114</v>
      </c>
      <c r="D6" s="3">
        <v>0</v>
      </c>
      <c r="E6" s="1">
        <v>433</v>
      </c>
      <c r="F6" s="1">
        <f t="shared" si="0"/>
        <v>3881.2633333333338</v>
      </c>
      <c r="G6" s="4">
        <f t="shared" si="1"/>
        <v>1940.6316666666669</v>
      </c>
      <c r="H6" s="4">
        <f t="shared" si="2"/>
        <v>970.31583333333344</v>
      </c>
      <c r="I6" s="4">
        <f t="shared" si="3"/>
        <v>970.31583333333344</v>
      </c>
      <c r="J6" s="1">
        <f t="shared" si="4"/>
        <v>0</v>
      </c>
      <c r="K6" s="1">
        <v>273</v>
      </c>
    </row>
    <row r="7" spans="1:12" x14ac:dyDescent="0.25">
      <c r="A7" t="s">
        <v>17</v>
      </c>
      <c r="B7" s="1">
        <v>1498.97</v>
      </c>
      <c r="C7" s="30"/>
      <c r="D7" s="3">
        <v>0.1749</v>
      </c>
      <c r="F7" s="1">
        <f t="shared" si="0"/>
        <v>499.65666666666669</v>
      </c>
      <c r="G7" s="4">
        <f t="shared" si="1"/>
        <v>249.82833333333335</v>
      </c>
      <c r="H7" s="4">
        <f t="shared" si="2"/>
        <v>124.91416666666667</v>
      </c>
      <c r="I7" s="4">
        <f t="shared" si="3"/>
        <v>124.91416666666667</v>
      </c>
      <c r="J7" s="1">
        <f>(B7*D7)/12</f>
        <v>21.847487749999999</v>
      </c>
      <c r="K7" s="1">
        <v>138</v>
      </c>
      <c r="L7" s="4"/>
    </row>
    <row r="8" spans="1:12" x14ac:dyDescent="0.25">
      <c r="A8" t="s">
        <v>18</v>
      </c>
      <c r="B8" s="1">
        <v>54.24</v>
      </c>
      <c r="C8" s="30"/>
      <c r="D8" s="3">
        <v>0.1749</v>
      </c>
      <c r="F8" s="1">
        <f t="shared" si="0"/>
        <v>18.080000000000002</v>
      </c>
      <c r="G8" s="4">
        <f t="shared" si="1"/>
        <v>9.0400000000000009</v>
      </c>
      <c r="H8" s="4">
        <f t="shared" si="2"/>
        <v>4.5200000000000005</v>
      </c>
      <c r="I8" s="4">
        <f t="shared" si="3"/>
        <v>4.5200000000000005</v>
      </c>
      <c r="J8" s="1">
        <f t="shared" si="4"/>
        <v>0.79054800000000014</v>
      </c>
      <c r="K8" s="1">
        <v>140</v>
      </c>
    </row>
    <row r="9" spans="1:12" x14ac:dyDescent="0.25">
      <c r="A9" t="s">
        <v>19</v>
      </c>
      <c r="B9" s="1">
        <v>11161.16</v>
      </c>
      <c r="C9" s="30"/>
      <c r="D9" s="3">
        <v>0</v>
      </c>
      <c r="F9" s="1">
        <f t="shared" si="0"/>
        <v>3720.3866666666668</v>
      </c>
      <c r="G9" s="4">
        <f t="shared" si="1"/>
        <v>1860.1933333333334</v>
      </c>
      <c r="H9" s="4">
        <f t="shared" si="2"/>
        <v>930.09666666666669</v>
      </c>
      <c r="I9" s="4">
        <f t="shared" si="3"/>
        <v>930.09666666666669</v>
      </c>
      <c r="J9" s="1">
        <f t="shared" si="4"/>
        <v>0</v>
      </c>
      <c r="K9" s="1">
        <v>471</v>
      </c>
    </row>
    <row r="10" spans="1:12" x14ac:dyDescent="0.25">
      <c r="A10" t="s">
        <v>38</v>
      </c>
      <c r="B10" s="1">
        <v>0</v>
      </c>
      <c r="C10" s="30"/>
      <c r="F10" s="1">
        <f t="shared" si="0"/>
        <v>0</v>
      </c>
      <c r="G10" s="4">
        <f t="shared" si="1"/>
        <v>0</v>
      </c>
      <c r="H10" s="4">
        <f t="shared" si="2"/>
        <v>0</v>
      </c>
      <c r="I10" s="4">
        <f t="shared" si="3"/>
        <v>0</v>
      </c>
      <c r="J10" s="1">
        <f t="shared" si="4"/>
        <v>0</v>
      </c>
    </row>
    <row r="11" spans="1:12" x14ac:dyDescent="0.25">
      <c r="A11" t="s">
        <v>21</v>
      </c>
      <c r="B11" s="1">
        <v>648.83000000000004</v>
      </c>
      <c r="C11" s="30" t="s">
        <v>115</v>
      </c>
      <c r="D11" s="3">
        <v>0</v>
      </c>
      <c r="F11" s="1">
        <f t="shared" si="0"/>
        <v>216.27666666666667</v>
      </c>
      <c r="G11" s="4">
        <f t="shared" si="1"/>
        <v>108.13833333333334</v>
      </c>
      <c r="H11" s="4">
        <f t="shared" si="2"/>
        <v>54.069166666666668</v>
      </c>
      <c r="I11" s="4">
        <f t="shared" si="3"/>
        <v>54.069166666666668</v>
      </c>
      <c r="J11" s="1">
        <f t="shared" si="4"/>
        <v>0</v>
      </c>
    </row>
    <row r="12" spans="1:12" x14ac:dyDescent="0.25">
      <c r="A12" t="s">
        <v>22</v>
      </c>
      <c r="B12" s="1">
        <v>35.17</v>
      </c>
      <c r="C12" s="30"/>
      <c r="D12" s="3">
        <v>9.9900000000000003E-2</v>
      </c>
      <c r="F12" s="1">
        <f t="shared" si="0"/>
        <v>11.723333333333334</v>
      </c>
      <c r="G12" s="4">
        <f t="shared" si="1"/>
        <v>5.8616666666666672</v>
      </c>
      <c r="H12" s="4">
        <f>G12/2</f>
        <v>2.9308333333333336</v>
      </c>
      <c r="I12" s="4">
        <f t="shared" si="3"/>
        <v>2.9308333333333336</v>
      </c>
      <c r="J12" s="1">
        <f t="shared" si="4"/>
        <v>0.29279025000000003</v>
      </c>
    </row>
    <row r="13" spans="1:12" x14ac:dyDescent="0.25">
      <c r="A13" t="s">
        <v>10</v>
      </c>
      <c r="B13" s="1">
        <v>32666.400000000001</v>
      </c>
      <c r="C13" s="30"/>
      <c r="D13" s="3">
        <v>0.1774</v>
      </c>
      <c r="F13" s="1">
        <f t="shared" si="0"/>
        <v>10888.800000000001</v>
      </c>
      <c r="G13" s="4">
        <f t="shared" si="1"/>
        <v>5444.4000000000005</v>
      </c>
      <c r="H13" s="4">
        <f t="shared" si="2"/>
        <v>2722.2000000000003</v>
      </c>
      <c r="I13" s="4">
        <f t="shared" si="3"/>
        <v>2722.2000000000003</v>
      </c>
      <c r="J13" s="1">
        <f t="shared" si="4"/>
        <v>482.91828000000004</v>
      </c>
    </row>
    <row r="14" spans="1:12" x14ac:dyDescent="0.25">
      <c r="A14" t="s">
        <v>56</v>
      </c>
      <c r="B14" s="1">
        <v>0</v>
      </c>
      <c r="C14" s="30"/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  <c r="J14" s="1">
        <f t="shared" si="4"/>
        <v>0</v>
      </c>
    </row>
    <row r="15" spans="1:12" x14ac:dyDescent="0.25">
      <c r="A15" t="s">
        <v>35</v>
      </c>
      <c r="B15" s="1">
        <v>0</v>
      </c>
      <c r="C15" s="30"/>
      <c r="F15" s="1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  <c r="J15" s="1">
        <f t="shared" si="4"/>
        <v>0</v>
      </c>
    </row>
    <row r="16" spans="1:12" x14ac:dyDescent="0.25">
      <c r="A16" t="s">
        <v>52</v>
      </c>
      <c r="B16" s="1">
        <v>153.16999999999999</v>
      </c>
      <c r="C16" s="30"/>
      <c r="F16" s="1">
        <f t="shared" si="0"/>
        <v>51.056666666666665</v>
      </c>
      <c r="G16" s="4">
        <f t="shared" si="1"/>
        <v>25.528333333333332</v>
      </c>
      <c r="H16" s="4">
        <f t="shared" si="2"/>
        <v>12.764166666666666</v>
      </c>
      <c r="I16" s="4">
        <f t="shared" si="3"/>
        <v>12.764166666666666</v>
      </c>
      <c r="J16" s="1">
        <f t="shared" si="4"/>
        <v>0</v>
      </c>
    </row>
    <row r="17" spans="1:13" x14ac:dyDescent="0.25">
      <c r="A17" t="s">
        <v>39</v>
      </c>
      <c r="B17" s="1">
        <v>989.11</v>
      </c>
      <c r="C17" s="30"/>
      <c r="F17" s="1">
        <f>B17/3</f>
        <v>329.70333333333332</v>
      </c>
      <c r="G17" s="4">
        <f>B17/6</f>
        <v>164.85166666666666</v>
      </c>
      <c r="H17" s="4">
        <f t="shared" si="2"/>
        <v>82.42583333333333</v>
      </c>
      <c r="I17" s="4">
        <f>B17/12</f>
        <v>82.42583333333333</v>
      </c>
      <c r="J17" s="1">
        <f t="shared" si="4"/>
        <v>0</v>
      </c>
    </row>
    <row r="18" spans="1:13" x14ac:dyDescent="0.25">
      <c r="A18" t="s">
        <v>57</v>
      </c>
      <c r="B18" s="1">
        <v>44746.82</v>
      </c>
      <c r="C18" s="30"/>
      <c r="F18" s="1">
        <f>B18/3</f>
        <v>14915.606666666667</v>
      </c>
      <c r="G18" s="4">
        <f>B18/6</f>
        <v>7457.8033333333333</v>
      </c>
      <c r="H18" s="4">
        <f t="shared" si="2"/>
        <v>3728.9016666666666</v>
      </c>
      <c r="I18" s="4">
        <f>B18/12</f>
        <v>3728.9016666666666</v>
      </c>
      <c r="J18" s="1">
        <f t="shared" si="4"/>
        <v>0</v>
      </c>
    </row>
    <row r="19" spans="1:13" x14ac:dyDescent="0.25">
      <c r="A19" t="s">
        <v>107</v>
      </c>
      <c r="B19" s="1">
        <v>3118</v>
      </c>
      <c r="C19" s="30" t="s">
        <v>116</v>
      </c>
      <c r="F19" s="1">
        <f>B19/3</f>
        <v>1039.3333333333333</v>
      </c>
      <c r="G19" s="4">
        <f>B19/6</f>
        <v>519.66666666666663</v>
      </c>
      <c r="H19" s="4">
        <f t="shared" si="2"/>
        <v>259.83333333333331</v>
      </c>
      <c r="I19" s="4">
        <f>B19/12</f>
        <v>259.83333333333331</v>
      </c>
      <c r="J19" s="1">
        <f t="shared" si="4"/>
        <v>0</v>
      </c>
    </row>
    <row r="21" spans="1:13" x14ac:dyDescent="0.25">
      <c r="B21" s="1">
        <f>SUM(B2:B20)</f>
        <v>137922.27000000002</v>
      </c>
      <c r="D21" s="3">
        <f>AVERAGE(D3:D20)</f>
        <v>9.1950000000000004E-2</v>
      </c>
      <c r="E21" s="1">
        <f>SUM(E3:E20)</f>
        <v>859</v>
      </c>
      <c r="F21" s="1">
        <f>SUM(F3:F20)</f>
        <v>39894.910000000003</v>
      </c>
      <c r="G21" s="1">
        <f>SUM(G3:G20)</f>
        <v>19947.455000000002</v>
      </c>
      <c r="H21" s="1"/>
      <c r="I21" s="1">
        <f>SUM(I3:I20)</f>
        <v>9973.7275000000009</v>
      </c>
      <c r="J21" s="1">
        <f>SUM(J3:J20)</f>
        <v>511.96684500000003</v>
      </c>
      <c r="K21" s="1">
        <f>SUM(K3:K20)</f>
        <v>1340</v>
      </c>
    </row>
    <row r="22" spans="1:13" x14ac:dyDescent="0.25">
      <c r="J22" s="1">
        <f>(B21*D21)/12</f>
        <v>1056.8293938750001</v>
      </c>
    </row>
    <row r="24" spans="1:13" x14ac:dyDescent="0.25">
      <c r="A24" s="8" t="s">
        <v>36</v>
      </c>
      <c r="B24" s="18"/>
      <c r="C24" s="18">
        <f>D24</f>
        <v>3385.94</v>
      </c>
      <c r="D24" s="1">
        <v>3385.94</v>
      </c>
      <c r="F24" s="6"/>
    </row>
    <row r="25" spans="1:13" x14ac:dyDescent="0.25">
      <c r="A25" s="8" t="s">
        <v>37</v>
      </c>
      <c r="B25" s="15">
        <f>D25</f>
        <v>550</v>
      </c>
      <c r="C25" s="19"/>
      <c r="D25" s="1">
        <v>550</v>
      </c>
      <c r="F25" s="6">
        <v>43926</v>
      </c>
    </row>
    <row r="26" spans="1:13" x14ac:dyDescent="0.25">
      <c r="A26" s="8" t="s">
        <v>24</v>
      </c>
      <c r="B26" s="15">
        <f>D26</f>
        <v>847.62</v>
      </c>
      <c r="C26" s="18"/>
      <c r="D26" s="1">
        <v>847.62</v>
      </c>
      <c r="E26" s="12">
        <f>SUM(B26:B26)</f>
        <v>847.62</v>
      </c>
      <c r="F26" s="7"/>
    </row>
    <row r="27" spans="1:13" x14ac:dyDescent="0.25">
      <c r="A27" s="8" t="s">
        <v>39</v>
      </c>
      <c r="B27" s="15">
        <v>989.11</v>
      </c>
      <c r="C27" s="1"/>
      <c r="D27" s="1">
        <v>1207.1300000000001</v>
      </c>
    </row>
    <row r="28" spans="1:13" x14ac:dyDescent="0.25">
      <c r="A28" s="8" t="s">
        <v>57</v>
      </c>
      <c r="B28" s="15">
        <f>D28</f>
        <v>1382.89</v>
      </c>
      <c r="C28" s="18"/>
      <c r="D28" s="1">
        <v>1382.89</v>
      </c>
    </row>
    <row r="29" spans="1:13" x14ac:dyDescent="0.25">
      <c r="A29" s="8" t="s">
        <v>106</v>
      </c>
      <c r="B29" s="15">
        <v>337</v>
      </c>
      <c r="C29" s="18"/>
      <c r="D29" s="1"/>
    </row>
    <row r="30" spans="1:13" x14ac:dyDescent="0.25">
      <c r="A30" s="8" t="s">
        <v>12</v>
      </c>
      <c r="B30" s="15">
        <v>128</v>
      </c>
      <c r="C30" s="18"/>
    </row>
    <row r="31" spans="1:13" x14ac:dyDescent="0.25">
      <c r="A31" s="8" t="s">
        <v>14</v>
      </c>
      <c r="B31" s="15">
        <v>251.07</v>
      </c>
      <c r="C31" s="18"/>
      <c r="I31" t="s">
        <v>11</v>
      </c>
      <c r="J31" s="1">
        <v>0</v>
      </c>
      <c r="M31" s="18">
        <v>989.11</v>
      </c>
    </row>
    <row r="32" spans="1:13" x14ac:dyDescent="0.25">
      <c r="A32" s="8" t="s">
        <v>15</v>
      </c>
      <c r="B32" s="18">
        <v>0</v>
      </c>
      <c r="C32" s="18"/>
      <c r="I32" t="s">
        <v>12</v>
      </c>
      <c r="J32" s="13">
        <v>2596.11</v>
      </c>
      <c r="M32" s="1">
        <v>1382.89</v>
      </c>
    </row>
    <row r="33" spans="1:13" x14ac:dyDescent="0.25">
      <c r="A33" s="8" t="s">
        <v>16</v>
      </c>
      <c r="B33" s="15">
        <v>119</v>
      </c>
      <c r="C33" s="18"/>
      <c r="G33" s="1"/>
      <c r="I33" t="s">
        <v>13</v>
      </c>
      <c r="J33" s="1">
        <v>0</v>
      </c>
      <c r="M33" s="18">
        <v>337</v>
      </c>
    </row>
    <row r="34" spans="1:13" x14ac:dyDescent="0.25">
      <c r="A34" s="8" t="s">
        <v>17</v>
      </c>
      <c r="B34" s="15">
        <v>100</v>
      </c>
      <c r="C34" s="18"/>
      <c r="I34" t="s">
        <v>14</v>
      </c>
      <c r="K34" s="1">
        <v>1275.21</v>
      </c>
      <c r="M34" s="18">
        <v>35.17</v>
      </c>
    </row>
    <row r="35" spans="1:13" x14ac:dyDescent="0.25">
      <c r="A35" s="8" t="s">
        <v>18</v>
      </c>
      <c r="B35" s="15">
        <v>54.24</v>
      </c>
      <c r="C35" s="18"/>
      <c r="G35" s="13"/>
      <c r="I35" t="s">
        <v>15</v>
      </c>
      <c r="K35" s="1">
        <v>6219.78</v>
      </c>
      <c r="M35" s="4">
        <f>SUM(M31:M34)</f>
        <v>2744.17</v>
      </c>
    </row>
    <row r="36" spans="1:13" x14ac:dyDescent="0.25">
      <c r="A36" s="8" t="s">
        <v>19</v>
      </c>
      <c r="B36" s="15">
        <v>250</v>
      </c>
      <c r="C36" s="32">
        <v>250</v>
      </c>
      <c r="G36" s="1"/>
      <c r="I36" t="s">
        <v>16</v>
      </c>
      <c r="K36" s="1">
        <v>7107</v>
      </c>
    </row>
    <row r="37" spans="1:13" x14ac:dyDescent="0.25">
      <c r="A37" s="8" t="s">
        <v>38</v>
      </c>
      <c r="B37" s="18">
        <v>0</v>
      </c>
      <c r="C37" s="18"/>
      <c r="G37" s="1"/>
      <c r="I37" t="s">
        <v>17</v>
      </c>
      <c r="J37" s="1">
        <v>3714.28</v>
      </c>
    </row>
    <row r="38" spans="1:13" x14ac:dyDescent="0.25">
      <c r="A38" s="8" t="s">
        <v>21</v>
      </c>
      <c r="B38" s="15">
        <v>55</v>
      </c>
      <c r="C38" s="18"/>
      <c r="I38" t="s">
        <v>18</v>
      </c>
      <c r="J38" s="1">
        <v>3819.28</v>
      </c>
    </row>
    <row r="39" spans="1:13" x14ac:dyDescent="0.25">
      <c r="A39" s="8" t="s">
        <v>22</v>
      </c>
      <c r="B39" s="15">
        <v>35.17</v>
      </c>
      <c r="C39" s="18"/>
      <c r="G39" s="14"/>
      <c r="I39" t="s">
        <v>19</v>
      </c>
      <c r="K39" s="1">
        <v>15593.49</v>
      </c>
    </row>
    <row r="40" spans="1:13" x14ac:dyDescent="0.25">
      <c r="A40" s="8" t="s">
        <v>10</v>
      </c>
      <c r="B40" s="18"/>
      <c r="C40" s="18"/>
      <c r="I40" t="s">
        <v>20</v>
      </c>
      <c r="J40" s="1">
        <v>0</v>
      </c>
    </row>
    <row r="41" spans="1:13" s="3" customFormat="1" x14ac:dyDescent="0.25">
      <c r="A41" s="8" t="s">
        <v>35</v>
      </c>
      <c r="B41" s="18">
        <v>0</v>
      </c>
      <c r="C41" s="18"/>
      <c r="E41" s="1"/>
      <c r="F41" s="1"/>
      <c r="G41" s="4"/>
      <c r="H41"/>
      <c r="I41" t="s">
        <v>38</v>
      </c>
      <c r="J41" s="1">
        <v>0</v>
      </c>
      <c r="K41" s="1"/>
      <c r="L41"/>
    </row>
    <row r="42" spans="1:13" s="3" customFormat="1" x14ac:dyDescent="0.25">
      <c r="A42" s="8" t="s">
        <v>33</v>
      </c>
      <c r="B42" s="15">
        <v>253</v>
      </c>
      <c r="C42" s="18"/>
      <c r="E42" s="1"/>
      <c r="F42" s="1"/>
      <c r="G42"/>
      <c r="H42"/>
      <c r="I42" t="s">
        <v>21</v>
      </c>
      <c r="J42" s="1">
        <v>0</v>
      </c>
      <c r="K42" s="1"/>
      <c r="L42"/>
    </row>
    <row r="43" spans="1:13" s="3" customFormat="1" x14ac:dyDescent="0.25">
      <c r="A43" s="8" t="s">
        <v>44</v>
      </c>
      <c r="B43" s="18"/>
      <c r="C43" s="33">
        <v>274.02999999999997</v>
      </c>
      <c r="E43" s="1"/>
      <c r="F43" s="1"/>
      <c r="G43"/>
      <c r="H43"/>
      <c r="I43" t="s">
        <v>22</v>
      </c>
      <c r="K43" s="1">
        <v>1642.23</v>
      </c>
      <c r="L43"/>
    </row>
    <row r="44" spans="1:13" x14ac:dyDescent="0.25">
      <c r="A44" s="8" t="s">
        <v>45</v>
      </c>
      <c r="B44" s="15">
        <v>109.6</v>
      </c>
      <c r="C44" s="18"/>
      <c r="D44" s="1"/>
      <c r="I44" t="s">
        <v>10</v>
      </c>
      <c r="J44" s="1">
        <v>10000</v>
      </c>
      <c r="K44" s="1">
        <v>36358.93</v>
      </c>
    </row>
    <row r="45" spans="1:13" s="3" customFormat="1" x14ac:dyDescent="0.25">
      <c r="A45" s="8" t="s">
        <v>52</v>
      </c>
      <c r="B45" s="18"/>
      <c r="C45" s="33">
        <v>27.17</v>
      </c>
      <c r="D45" s="1"/>
      <c r="E45" s="1"/>
      <c r="F45" s="1"/>
      <c r="G45"/>
      <c r="H45"/>
      <c r="I45" t="s">
        <v>35</v>
      </c>
      <c r="J45" s="1">
        <v>0</v>
      </c>
      <c r="K45" s="1"/>
      <c r="L45"/>
    </row>
    <row r="46" spans="1:13" s="3" customFormat="1" x14ac:dyDescent="0.25">
      <c r="A46" s="8" t="s">
        <v>55</v>
      </c>
      <c r="B46" s="18">
        <v>0</v>
      </c>
      <c r="D46" s="1"/>
      <c r="E46" s="1"/>
      <c r="F46" s="1"/>
      <c r="H46"/>
      <c r="I46"/>
      <c r="J46" s="1"/>
      <c r="K46" s="1"/>
      <c r="L46"/>
    </row>
    <row r="47" spans="1:13" s="3" customFormat="1" x14ac:dyDescent="0.25">
      <c r="A47" s="8" t="s">
        <v>107</v>
      </c>
      <c r="B47" s="15">
        <v>347</v>
      </c>
      <c r="D47" s="1"/>
      <c r="E47" s="1"/>
      <c r="F47" s="1"/>
      <c r="H47"/>
      <c r="I47"/>
      <c r="J47" s="1"/>
      <c r="K47" s="1"/>
      <c r="L47"/>
    </row>
    <row r="48" spans="1:13" s="3" customFormat="1" x14ac:dyDescent="0.25">
      <c r="A48" s="8"/>
      <c r="B48" s="1"/>
      <c r="C48" s="1"/>
      <c r="E48" s="1"/>
      <c r="F48" s="1"/>
      <c r="H48"/>
      <c r="I48"/>
      <c r="J48" s="1"/>
      <c r="K48" s="1"/>
      <c r="L48"/>
    </row>
    <row r="49" spans="1:12" s="3" customFormat="1" x14ac:dyDescent="0.25">
      <c r="A49" s="8" t="s">
        <v>41</v>
      </c>
      <c r="B49" s="1">
        <f>SUM(B24:B48)</f>
        <v>5808.7</v>
      </c>
      <c r="C49" s="1">
        <f>SUM(C24:C48)</f>
        <v>3937.1400000000003</v>
      </c>
      <c r="D49" s="1">
        <f>SUM(D25:D48)</f>
        <v>3987.6400000000003</v>
      </c>
      <c r="E49" s="1"/>
      <c r="F49" s="1"/>
      <c r="H49"/>
      <c r="I49"/>
      <c r="J49" s="1"/>
      <c r="K49" s="1"/>
      <c r="L49"/>
    </row>
    <row r="50" spans="1:12" s="3" customFormat="1" x14ac:dyDescent="0.25">
      <c r="A50"/>
      <c r="B50" s="4"/>
      <c r="C50" s="4">
        <f>SUM(C25:C48)</f>
        <v>551.19999999999993</v>
      </c>
      <c r="D50" s="3" t="s">
        <v>112</v>
      </c>
      <c r="E50" s="1"/>
      <c r="F50" s="1"/>
      <c r="G50"/>
      <c r="H50"/>
      <c r="I50"/>
      <c r="J50" s="1"/>
      <c r="K50" s="1"/>
      <c r="L50"/>
    </row>
    <row r="51" spans="1:12" s="3" customFormat="1" x14ac:dyDescent="0.25">
      <c r="A51"/>
      <c r="B51" s="1"/>
      <c r="C51"/>
      <c r="E51" s="1"/>
      <c r="F51" s="1"/>
      <c r="G51"/>
      <c r="H51"/>
      <c r="I51"/>
      <c r="J51" s="1"/>
      <c r="K51" s="1"/>
      <c r="L51"/>
    </row>
    <row r="52" spans="1:12" x14ac:dyDescent="0.25">
      <c r="A52" s="8" t="s">
        <v>40</v>
      </c>
      <c r="B52" s="9">
        <v>3889.12</v>
      </c>
      <c r="C52" s="9">
        <v>3889.12</v>
      </c>
      <c r="J52" s="1">
        <f>SUM(J31:J45)</f>
        <v>20129.669999999998</v>
      </c>
    </row>
    <row r="54" spans="1:12" x14ac:dyDescent="0.25">
      <c r="A54" t="s">
        <v>42</v>
      </c>
      <c r="B54" s="1">
        <f>B52-B49</f>
        <v>-1919.58</v>
      </c>
      <c r="C54" s="1">
        <f>C52-C49</f>
        <v>-48.020000000000437</v>
      </c>
      <c r="I54" t="s">
        <v>39</v>
      </c>
      <c r="J54" s="1">
        <v>35056.15</v>
      </c>
    </row>
    <row r="56" spans="1:12" x14ac:dyDescent="0.25">
      <c r="J56" s="1">
        <f>J54-J52</f>
        <v>14926.480000000003</v>
      </c>
    </row>
  </sheetData>
  <autoFilter ref="A1:K13" xr:uid="{1F705934-551F-4A30-809C-BD2B1658412C}">
    <sortState xmlns:xlrd2="http://schemas.microsoft.com/office/spreadsheetml/2017/richdata2" ref="A2:K13">
      <sortCondition descending="1" ref="D1:D13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9CE6-AF79-4123-B6AE-9711DE680B64}">
  <dimension ref="A1:L56"/>
  <sheetViews>
    <sheetView workbookViewId="0">
      <selection activeCell="C24" sqref="C24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14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106</v>
      </c>
      <c r="B2" s="1">
        <v>12556.33</v>
      </c>
      <c r="C2" s="5"/>
    </row>
    <row r="3" spans="1:12" x14ac:dyDescent="0.25">
      <c r="A3" t="s">
        <v>12</v>
      </c>
      <c r="B3" s="1">
        <v>2848</v>
      </c>
      <c r="C3" s="2"/>
      <c r="D3" s="3">
        <v>0.1749</v>
      </c>
      <c r="F3" s="1">
        <f t="shared" ref="F3:F16" si="0">B3/3</f>
        <v>949.33333333333337</v>
      </c>
      <c r="G3" s="4">
        <f t="shared" ref="G3:G16" si="1">B3/6</f>
        <v>474.66666666666669</v>
      </c>
      <c r="H3" s="4">
        <f t="shared" ref="H3:H18" si="2">G3/2</f>
        <v>237.33333333333334</v>
      </c>
      <c r="I3" s="4">
        <f t="shared" ref="I3:I16" si="3">B3/12</f>
        <v>237.33333333333334</v>
      </c>
      <c r="J3" s="1">
        <f t="shared" ref="J3:J18" si="4">(B3*D3)/12</f>
        <v>41.509599999999999</v>
      </c>
      <c r="K3" s="1">
        <v>97</v>
      </c>
    </row>
    <row r="4" spans="1:12" x14ac:dyDescent="0.25">
      <c r="A4" t="s">
        <v>14</v>
      </c>
      <c r="B4" s="1">
        <v>278.26</v>
      </c>
      <c r="C4" s="2">
        <v>43935</v>
      </c>
      <c r="D4" s="3">
        <v>0.29239999999999999</v>
      </c>
      <c r="F4" s="1">
        <f t="shared" si="0"/>
        <v>92.75333333333333</v>
      </c>
      <c r="G4" s="4">
        <f t="shared" si="1"/>
        <v>46.376666666666665</v>
      </c>
      <c r="H4" s="4">
        <f t="shared" si="2"/>
        <v>23.188333333333333</v>
      </c>
      <c r="I4" s="4">
        <f t="shared" si="3"/>
        <v>23.188333333333333</v>
      </c>
      <c r="J4" s="1">
        <f t="shared" si="4"/>
        <v>6.7802686666666672</v>
      </c>
    </row>
    <row r="5" spans="1:12" x14ac:dyDescent="0.25">
      <c r="A5" t="s">
        <v>15</v>
      </c>
      <c r="B5" s="1">
        <v>0</v>
      </c>
      <c r="C5" s="2">
        <v>43800</v>
      </c>
      <c r="D5" s="3">
        <v>0</v>
      </c>
      <c r="F5" s="1">
        <f t="shared" si="0"/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1">
        <f t="shared" si="4"/>
        <v>0</v>
      </c>
      <c r="K5" s="1">
        <v>221</v>
      </c>
    </row>
    <row r="6" spans="1:12" x14ac:dyDescent="0.25">
      <c r="A6" t="s">
        <v>16</v>
      </c>
      <c r="B6" s="1">
        <v>11762.69</v>
      </c>
      <c r="C6" s="2">
        <v>43751</v>
      </c>
      <c r="D6" s="3">
        <v>0</v>
      </c>
      <c r="F6" s="1">
        <f t="shared" si="0"/>
        <v>3920.896666666667</v>
      </c>
      <c r="G6" s="4">
        <f t="shared" si="1"/>
        <v>1960.4483333333335</v>
      </c>
      <c r="H6" s="4">
        <f t="shared" si="2"/>
        <v>980.22416666666675</v>
      </c>
      <c r="I6" s="4">
        <f t="shared" si="3"/>
        <v>980.22416666666675</v>
      </c>
      <c r="J6" s="1">
        <f t="shared" si="4"/>
        <v>0</v>
      </c>
      <c r="K6" s="1">
        <v>273</v>
      </c>
    </row>
    <row r="7" spans="1:12" x14ac:dyDescent="0.25">
      <c r="A7" t="s">
        <v>17</v>
      </c>
      <c r="B7" s="1">
        <v>4444.24</v>
      </c>
      <c r="C7" s="2"/>
      <c r="D7" s="3">
        <v>0.1749</v>
      </c>
      <c r="F7" s="1">
        <f t="shared" si="0"/>
        <v>1481.4133333333332</v>
      </c>
      <c r="G7" s="4">
        <f t="shared" si="1"/>
        <v>740.70666666666659</v>
      </c>
      <c r="H7" s="4">
        <f t="shared" si="2"/>
        <v>370.3533333333333</v>
      </c>
      <c r="I7" s="4">
        <f t="shared" si="3"/>
        <v>370.3533333333333</v>
      </c>
      <c r="J7" s="1">
        <f>(B7*D7)/12</f>
        <v>64.77479799999999</v>
      </c>
      <c r="K7" s="1">
        <v>138</v>
      </c>
      <c r="L7" s="4"/>
    </row>
    <row r="8" spans="1:12" x14ac:dyDescent="0.25">
      <c r="A8" t="s">
        <v>18</v>
      </c>
      <c r="B8" s="1">
        <v>-15.84</v>
      </c>
      <c r="D8" s="3">
        <v>0.1749</v>
      </c>
      <c r="F8" s="1">
        <f t="shared" si="0"/>
        <v>-5.28</v>
      </c>
      <c r="G8" s="4">
        <f t="shared" si="1"/>
        <v>-2.64</v>
      </c>
      <c r="H8" s="4">
        <f t="shared" si="2"/>
        <v>-1.32</v>
      </c>
      <c r="I8" s="4">
        <f t="shared" si="3"/>
        <v>-1.32</v>
      </c>
      <c r="J8" s="1">
        <f t="shared" si="4"/>
        <v>-0.23086799999999999</v>
      </c>
      <c r="K8" s="1">
        <v>140</v>
      </c>
    </row>
    <row r="9" spans="1:12" x14ac:dyDescent="0.25">
      <c r="A9" t="s">
        <v>19</v>
      </c>
      <c r="B9" s="1">
        <v>11746.13</v>
      </c>
      <c r="D9" s="3">
        <v>8.9899999999999994E-2</v>
      </c>
      <c r="F9" s="1">
        <f t="shared" si="0"/>
        <v>3915.3766666666666</v>
      </c>
      <c r="G9" s="4">
        <f t="shared" si="1"/>
        <v>1957.6883333333333</v>
      </c>
      <c r="H9" s="4">
        <f t="shared" si="2"/>
        <v>978.84416666666664</v>
      </c>
      <c r="I9" s="4">
        <f t="shared" si="3"/>
        <v>978.84416666666664</v>
      </c>
      <c r="J9" s="1">
        <f t="shared" si="4"/>
        <v>87.998090583333308</v>
      </c>
      <c r="K9" s="1">
        <v>471</v>
      </c>
    </row>
    <row r="10" spans="1:12" x14ac:dyDescent="0.25">
      <c r="A10" t="s">
        <v>38</v>
      </c>
      <c r="B10" s="1">
        <v>0</v>
      </c>
      <c r="C10" s="2"/>
      <c r="F10" s="1">
        <f t="shared" si="0"/>
        <v>0</v>
      </c>
      <c r="G10" s="4">
        <f t="shared" si="1"/>
        <v>0</v>
      </c>
      <c r="H10" s="4">
        <f t="shared" si="2"/>
        <v>0</v>
      </c>
      <c r="I10" s="4">
        <f t="shared" si="3"/>
        <v>0</v>
      </c>
      <c r="J10" s="1">
        <f t="shared" si="4"/>
        <v>0</v>
      </c>
    </row>
    <row r="11" spans="1:12" x14ac:dyDescent="0.25">
      <c r="A11" t="s">
        <v>21</v>
      </c>
      <c r="C11" s="2"/>
      <c r="F11" s="1">
        <f t="shared" si="0"/>
        <v>0</v>
      </c>
      <c r="G11" s="4">
        <f t="shared" si="1"/>
        <v>0</v>
      </c>
      <c r="H11" s="4">
        <f t="shared" si="2"/>
        <v>0</v>
      </c>
      <c r="I11" s="4">
        <f t="shared" si="3"/>
        <v>0</v>
      </c>
      <c r="J11" s="1">
        <f t="shared" si="4"/>
        <v>0</v>
      </c>
    </row>
    <row r="12" spans="1:12" x14ac:dyDescent="0.25">
      <c r="A12" t="s">
        <v>22</v>
      </c>
      <c r="B12" s="1">
        <v>233.04</v>
      </c>
      <c r="C12" s="2"/>
      <c r="D12" s="3">
        <v>9.9900000000000003E-2</v>
      </c>
      <c r="F12" s="1">
        <f t="shared" si="0"/>
        <v>77.679999999999993</v>
      </c>
      <c r="G12" s="4">
        <f t="shared" si="1"/>
        <v>38.839999999999996</v>
      </c>
      <c r="H12" s="4">
        <f>G12/2</f>
        <v>19.419999999999998</v>
      </c>
      <c r="I12" s="4">
        <f t="shared" si="3"/>
        <v>19.419999999999998</v>
      </c>
      <c r="J12" s="1">
        <f t="shared" si="4"/>
        <v>1.9400579999999998</v>
      </c>
    </row>
    <row r="13" spans="1:12" x14ac:dyDescent="0.25">
      <c r="A13" t="s">
        <v>10</v>
      </c>
      <c r="B13" s="1">
        <v>30011.34</v>
      </c>
      <c r="D13" s="3">
        <v>0.1774</v>
      </c>
      <c r="F13" s="1">
        <f t="shared" si="0"/>
        <v>10003.780000000001</v>
      </c>
      <c r="G13" s="4">
        <f t="shared" si="1"/>
        <v>5001.8900000000003</v>
      </c>
      <c r="H13" s="4">
        <f t="shared" si="2"/>
        <v>2500.9450000000002</v>
      </c>
      <c r="I13" s="4">
        <f t="shared" si="3"/>
        <v>2500.9450000000002</v>
      </c>
      <c r="J13" s="1">
        <f t="shared" si="4"/>
        <v>443.667643</v>
      </c>
    </row>
    <row r="14" spans="1:12" x14ac:dyDescent="0.25">
      <c r="A14" t="s">
        <v>56</v>
      </c>
      <c r="B14" s="1">
        <v>0</v>
      </c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  <c r="J14" s="1">
        <f t="shared" si="4"/>
        <v>0</v>
      </c>
    </row>
    <row r="15" spans="1:12" x14ac:dyDescent="0.25">
      <c r="A15" t="s">
        <v>35</v>
      </c>
      <c r="B15" s="1">
        <v>0</v>
      </c>
      <c r="F15" s="1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  <c r="J15" s="1">
        <f t="shared" si="4"/>
        <v>0</v>
      </c>
    </row>
    <row r="16" spans="1:12" x14ac:dyDescent="0.25">
      <c r="A16" t="s">
        <v>52</v>
      </c>
      <c r="B16" s="1">
        <v>69.44</v>
      </c>
      <c r="F16" s="1">
        <f t="shared" si="0"/>
        <v>23.146666666666665</v>
      </c>
      <c r="G16" s="4">
        <f t="shared" si="1"/>
        <v>11.573333333333332</v>
      </c>
      <c r="H16" s="4">
        <f t="shared" si="2"/>
        <v>5.7866666666666662</v>
      </c>
      <c r="I16" s="4">
        <f t="shared" si="3"/>
        <v>5.7866666666666662</v>
      </c>
      <c r="J16" s="1">
        <f t="shared" si="4"/>
        <v>0</v>
      </c>
    </row>
    <row r="17" spans="1:11" x14ac:dyDescent="0.25">
      <c r="A17" t="s">
        <v>39</v>
      </c>
      <c r="B17" s="1">
        <v>2185.34</v>
      </c>
      <c r="F17" s="1">
        <f>B17/3</f>
        <v>728.44666666666672</v>
      </c>
      <c r="G17" s="4">
        <f>B17/6</f>
        <v>364.22333333333336</v>
      </c>
      <c r="H17" s="4">
        <f t="shared" si="2"/>
        <v>182.11166666666668</v>
      </c>
      <c r="I17" s="4">
        <f>B17/12</f>
        <v>182.11166666666668</v>
      </c>
      <c r="J17" s="1">
        <f t="shared" si="4"/>
        <v>0</v>
      </c>
    </row>
    <row r="18" spans="1:11" x14ac:dyDescent="0.25">
      <c r="A18" t="s">
        <v>57</v>
      </c>
      <c r="B18" s="1">
        <v>45249.09</v>
      </c>
      <c r="F18" s="1">
        <f>B18/3</f>
        <v>15083.029999999999</v>
      </c>
      <c r="G18" s="4">
        <f>B18/6</f>
        <v>7541.5149999999994</v>
      </c>
      <c r="H18" s="4">
        <f t="shared" si="2"/>
        <v>3770.7574999999997</v>
      </c>
      <c r="I18" s="4">
        <f>B18/12</f>
        <v>3770.7574999999997</v>
      </c>
      <c r="J18" s="1">
        <f t="shared" si="4"/>
        <v>0</v>
      </c>
    </row>
    <row r="19" spans="1:11" x14ac:dyDescent="0.25">
      <c r="A19" t="s">
        <v>107</v>
      </c>
      <c r="G19" s="4"/>
      <c r="H19" s="4"/>
      <c r="I19" s="4"/>
    </row>
    <row r="21" spans="1:11" x14ac:dyDescent="0.25">
      <c r="B21" s="1">
        <f>SUM(B2:B20)</f>
        <v>121368.06</v>
      </c>
      <c r="D21" s="3">
        <f>AVERAGE(D3:D20)</f>
        <v>0.13158888888888887</v>
      </c>
      <c r="E21" s="1">
        <f>SUM(E3:E20)</f>
        <v>0</v>
      </c>
      <c r="F21" s="1">
        <f>SUM(F3:F20)</f>
        <v>36270.576666666668</v>
      </c>
      <c r="G21" s="1">
        <f>SUM(G3:G20)</f>
        <v>18135.288333333334</v>
      </c>
      <c r="H21" s="1"/>
      <c r="I21" s="1">
        <f>SUM(I3:I20)</f>
        <v>9067.6441666666669</v>
      </c>
      <c r="J21" s="1">
        <f>SUM(J3:J20)</f>
        <v>646.43959024999992</v>
      </c>
      <c r="K21" s="1">
        <f>SUM(K3:K20)</f>
        <v>1340</v>
      </c>
    </row>
    <row r="22" spans="1:11" x14ac:dyDescent="0.25">
      <c r="J22" s="1">
        <f>(B21*D21)/12</f>
        <v>1330.8906801666665</v>
      </c>
    </row>
    <row r="24" spans="1:11" x14ac:dyDescent="0.25">
      <c r="A24" s="8" t="s">
        <v>36</v>
      </c>
      <c r="B24" s="18"/>
      <c r="C24" s="15">
        <v>3385.94</v>
      </c>
      <c r="D24" s="1">
        <v>3374.19</v>
      </c>
      <c r="F24" s="6"/>
    </row>
    <row r="25" spans="1:11" x14ac:dyDescent="0.25">
      <c r="A25" s="8" t="s">
        <v>37</v>
      </c>
      <c r="B25" s="15">
        <v>186.49</v>
      </c>
      <c r="C25" s="19"/>
      <c r="D25" s="1">
        <v>550</v>
      </c>
      <c r="F25" s="6">
        <v>43926</v>
      </c>
    </row>
    <row r="26" spans="1:11" x14ac:dyDescent="0.25">
      <c r="A26" s="8" t="s">
        <v>24</v>
      </c>
      <c r="B26" s="15">
        <v>847.62</v>
      </c>
      <c r="C26" s="18"/>
      <c r="D26" s="1">
        <v>847.62</v>
      </c>
      <c r="E26" s="12">
        <f>SUM(B26:B26)</f>
        <v>847.62</v>
      </c>
      <c r="F26" s="7"/>
    </row>
    <row r="27" spans="1:11" x14ac:dyDescent="0.25">
      <c r="A27" s="8" t="s">
        <v>39</v>
      </c>
      <c r="B27" s="18"/>
      <c r="C27" s="15">
        <v>1207.1300000000001</v>
      </c>
      <c r="D27" s="1">
        <v>1207.1300000000001</v>
      </c>
    </row>
    <row r="28" spans="1:11" x14ac:dyDescent="0.25">
      <c r="A28" s="8" t="s">
        <v>57</v>
      </c>
      <c r="B28" s="15">
        <v>1382.89</v>
      </c>
      <c r="C28" s="18"/>
      <c r="D28" s="1">
        <v>1382.89</v>
      </c>
    </row>
    <row r="29" spans="1:11" x14ac:dyDescent="0.25">
      <c r="A29" s="8" t="s">
        <v>106</v>
      </c>
      <c r="B29" s="15">
        <v>941.61</v>
      </c>
      <c r="C29" s="18"/>
      <c r="D29" s="1"/>
    </row>
    <row r="30" spans="1:11" x14ac:dyDescent="0.25">
      <c r="A30" s="8" t="s">
        <v>12</v>
      </c>
      <c r="B30" s="15">
        <v>130</v>
      </c>
      <c r="C30" s="18"/>
    </row>
    <row r="31" spans="1:11" x14ac:dyDescent="0.25">
      <c r="A31" s="8" t="s">
        <v>14</v>
      </c>
      <c r="B31" s="15">
        <v>280</v>
      </c>
      <c r="C31" s="18"/>
      <c r="I31" t="s">
        <v>11</v>
      </c>
      <c r="J31" s="1">
        <v>0</v>
      </c>
    </row>
    <row r="32" spans="1:11" x14ac:dyDescent="0.25">
      <c r="A32" s="8" t="s">
        <v>15</v>
      </c>
      <c r="B32" s="18"/>
      <c r="C32" s="18"/>
      <c r="I32" t="s">
        <v>12</v>
      </c>
      <c r="J32" s="13">
        <v>2596.11</v>
      </c>
    </row>
    <row r="33" spans="1:12" x14ac:dyDescent="0.25">
      <c r="A33" s="8" t="s">
        <v>16</v>
      </c>
      <c r="B33" s="15">
        <v>121</v>
      </c>
      <c r="C33" s="18"/>
      <c r="G33" s="1"/>
      <c r="I33" t="s">
        <v>13</v>
      </c>
      <c r="J33" s="1">
        <v>0</v>
      </c>
    </row>
    <row r="34" spans="1:12" x14ac:dyDescent="0.25">
      <c r="A34" s="8" t="s">
        <v>17</v>
      </c>
      <c r="B34" s="15">
        <v>500</v>
      </c>
      <c r="C34" s="18"/>
      <c r="I34" t="s">
        <v>14</v>
      </c>
      <c r="K34" s="1">
        <v>1275.21</v>
      </c>
    </row>
    <row r="35" spans="1:12" x14ac:dyDescent="0.25">
      <c r="A35" s="8" t="s">
        <v>18</v>
      </c>
      <c r="B35" s="18"/>
      <c r="C35" s="18"/>
      <c r="G35" s="13"/>
      <c r="I35" t="s">
        <v>15</v>
      </c>
      <c r="K35" s="1">
        <v>6219.78</v>
      </c>
    </row>
    <row r="36" spans="1:12" x14ac:dyDescent="0.25">
      <c r="A36" s="8" t="s">
        <v>19</v>
      </c>
      <c r="B36" s="15">
        <v>250</v>
      </c>
      <c r="C36" s="15">
        <v>250</v>
      </c>
      <c r="G36" s="1"/>
      <c r="I36" t="s">
        <v>16</v>
      </c>
      <c r="K36" s="1">
        <v>7107</v>
      </c>
    </row>
    <row r="37" spans="1:12" x14ac:dyDescent="0.25">
      <c r="A37" s="8" t="s">
        <v>38</v>
      </c>
      <c r="B37" s="18"/>
      <c r="C37" s="18"/>
      <c r="G37" s="1"/>
      <c r="I37" t="s">
        <v>17</v>
      </c>
      <c r="J37" s="1">
        <v>3714.28</v>
      </c>
    </row>
    <row r="38" spans="1:12" x14ac:dyDescent="0.25">
      <c r="A38" s="8" t="s">
        <v>21</v>
      </c>
      <c r="B38" s="15">
        <v>30</v>
      </c>
      <c r="C38" s="18"/>
      <c r="I38" t="s">
        <v>18</v>
      </c>
      <c r="J38" s="1">
        <v>3819.28</v>
      </c>
    </row>
    <row r="39" spans="1:12" x14ac:dyDescent="0.25">
      <c r="A39" s="8" t="s">
        <v>22</v>
      </c>
      <c r="B39" s="15">
        <v>198</v>
      </c>
      <c r="C39" s="18"/>
      <c r="G39" s="14"/>
      <c r="I39" t="s">
        <v>19</v>
      </c>
      <c r="K39" s="1">
        <v>15593.49</v>
      </c>
    </row>
    <row r="40" spans="1:12" x14ac:dyDescent="0.25">
      <c r="A40" s="8" t="s">
        <v>10</v>
      </c>
      <c r="B40" s="15">
        <v>1000</v>
      </c>
      <c r="C40" s="18"/>
      <c r="I40" t="s">
        <v>20</v>
      </c>
      <c r="J40" s="1">
        <v>0</v>
      </c>
    </row>
    <row r="41" spans="1:12" s="3" customFormat="1" x14ac:dyDescent="0.25">
      <c r="A41" s="8" t="s">
        <v>35</v>
      </c>
      <c r="B41" s="18"/>
      <c r="C41" s="18"/>
      <c r="E41" s="1"/>
      <c r="F41" s="1"/>
      <c r="G41" s="4"/>
      <c r="H41"/>
      <c r="I41" t="s">
        <v>38</v>
      </c>
      <c r="J41" s="1">
        <v>0</v>
      </c>
      <c r="K41" s="1"/>
      <c r="L41"/>
    </row>
    <row r="42" spans="1:12" s="3" customFormat="1" x14ac:dyDescent="0.25">
      <c r="A42" s="8" t="s">
        <v>33</v>
      </c>
      <c r="B42" s="15">
        <v>253</v>
      </c>
      <c r="C42" s="18"/>
      <c r="E42" s="1"/>
      <c r="F42" s="1"/>
      <c r="G42"/>
      <c r="H42"/>
      <c r="I42" t="s">
        <v>21</v>
      </c>
      <c r="J42" s="1">
        <v>0</v>
      </c>
      <c r="K42" s="1"/>
      <c r="L42"/>
    </row>
    <row r="43" spans="1:12" s="3" customFormat="1" x14ac:dyDescent="0.25">
      <c r="A43" s="8" t="s">
        <v>44</v>
      </c>
      <c r="B43" s="18"/>
      <c r="C43" s="18"/>
      <c r="E43" s="1"/>
      <c r="F43" s="1"/>
      <c r="G43"/>
      <c r="H43"/>
      <c r="I43" t="s">
        <v>22</v>
      </c>
      <c r="K43" s="1">
        <v>1642.23</v>
      </c>
      <c r="L43"/>
    </row>
    <row r="44" spans="1:12" x14ac:dyDescent="0.25">
      <c r="A44" s="8" t="s">
        <v>45</v>
      </c>
      <c r="B44" s="18"/>
      <c r="C44" s="18"/>
      <c r="D44" s="1"/>
      <c r="I44" t="s">
        <v>10</v>
      </c>
      <c r="J44" s="1">
        <v>10000</v>
      </c>
      <c r="K44" s="1">
        <v>36358.93</v>
      </c>
    </row>
    <row r="45" spans="1:12" s="3" customFormat="1" x14ac:dyDescent="0.25">
      <c r="A45" s="8" t="s">
        <v>52</v>
      </c>
      <c r="B45" s="15">
        <v>69.44</v>
      </c>
      <c r="C45" s="18"/>
      <c r="D45" s="1"/>
      <c r="E45" s="1"/>
      <c r="F45" s="1"/>
      <c r="G45"/>
      <c r="H45"/>
      <c r="I45" t="s">
        <v>35</v>
      </c>
      <c r="J45" s="1">
        <v>0</v>
      </c>
      <c r="K45" s="1"/>
      <c r="L45"/>
    </row>
    <row r="46" spans="1:12" s="3" customFormat="1" x14ac:dyDescent="0.25">
      <c r="A46" s="8" t="s">
        <v>55</v>
      </c>
      <c r="B46" s="18">
        <v>0</v>
      </c>
      <c r="D46" s="1"/>
      <c r="E46" s="1"/>
      <c r="F46" s="1"/>
      <c r="H46"/>
      <c r="I46"/>
      <c r="J46" s="1"/>
      <c r="K46" s="1"/>
      <c r="L46"/>
    </row>
    <row r="47" spans="1:12" s="3" customFormat="1" x14ac:dyDescent="0.25">
      <c r="A47" s="8" t="s">
        <v>107</v>
      </c>
      <c r="B47" s="15">
        <v>347</v>
      </c>
      <c r="D47" s="1"/>
      <c r="E47" s="1"/>
      <c r="F47" s="1"/>
      <c r="H47"/>
      <c r="I47"/>
      <c r="J47" s="1"/>
      <c r="K47" s="1"/>
      <c r="L47"/>
    </row>
    <row r="48" spans="1:12" s="3" customFormat="1" x14ac:dyDescent="0.25">
      <c r="A48" s="8"/>
      <c r="B48" s="1"/>
      <c r="C48" s="1"/>
      <c r="E48" s="1"/>
      <c r="F48" s="1"/>
      <c r="H48"/>
      <c r="I48"/>
      <c r="J48" s="1"/>
      <c r="K48" s="1"/>
      <c r="L48"/>
    </row>
    <row r="49" spans="1:12" s="3" customFormat="1" x14ac:dyDescent="0.25">
      <c r="A49" s="8" t="s">
        <v>41</v>
      </c>
      <c r="B49" s="1">
        <f>SUM(B24:B48)</f>
        <v>6537.05</v>
      </c>
      <c r="C49" s="1">
        <f>SUM(C24:C48)</f>
        <v>4843.07</v>
      </c>
      <c r="D49" s="1">
        <f>SUM(D25:D48)</f>
        <v>3987.6400000000003</v>
      </c>
      <c r="E49" s="1"/>
      <c r="F49" s="1"/>
      <c r="H49"/>
      <c r="I49"/>
      <c r="J49" s="1"/>
      <c r="K49" s="1"/>
      <c r="L49"/>
    </row>
    <row r="50" spans="1:12" s="3" customFormat="1" x14ac:dyDescent="0.25">
      <c r="A50"/>
      <c r="B50" s="1"/>
      <c r="C50" s="4">
        <f>SUM(C25:C48)</f>
        <v>1457.13</v>
      </c>
      <c r="D50" s="3" t="s">
        <v>111</v>
      </c>
      <c r="E50" s="1"/>
      <c r="F50" s="1"/>
      <c r="G50"/>
      <c r="H50"/>
      <c r="I50"/>
      <c r="J50" s="1"/>
      <c r="K50" s="1"/>
      <c r="L50"/>
    </row>
    <row r="51" spans="1:12" s="3" customFormat="1" x14ac:dyDescent="0.25">
      <c r="A51"/>
      <c r="B51" s="1"/>
      <c r="C51" s="4"/>
      <c r="E51" s="1"/>
      <c r="F51" s="1"/>
      <c r="G51"/>
      <c r="H51"/>
      <c r="I51"/>
      <c r="J51" s="1"/>
      <c r="K51" s="1"/>
      <c r="L51"/>
    </row>
    <row r="52" spans="1:12" x14ac:dyDescent="0.25">
      <c r="A52" s="8" t="s">
        <v>40</v>
      </c>
      <c r="B52" s="9">
        <v>3889.12</v>
      </c>
      <c r="C52" s="9">
        <v>3889.12</v>
      </c>
      <c r="J52" s="1">
        <f>SUM(J31:J45)</f>
        <v>20129.669999999998</v>
      </c>
    </row>
    <row r="54" spans="1:12" x14ac:dyDescent="0.25">
      <c r="A54" t="s">
        <v>42</v>
      </c>
      <c r="B54" s="1">
        <f>B52-B49</f>
        <v>-2647.9300000000003</v>
      </c>
      <c r="C54" s="1">
        <f>C52-C49</f>
        <v>-953.94999999999982</v>
      </c>
      <c r="I54" t="s">
        <v>39</v>
      </c>
      <c r="J54" s="1">
        <v>35056.15</v>
      </c>
    </row>
    <row r="56" spans="1:12" x14ac:dyDescent="0.25">
      <c r="J56" s="1">
        <f>J54-J52</f>
        <v>14926.480000000003</v>
      </c>
    </row>
  </sheetData>
  <autoFilter ref="A1:K13" xr:uid="{1F705934-551F-4A30-809C-BD2B1658412C}">
    <sortState xmlns:xlrd2="http://schemas.microsoft.com/office/spreadsheetml/2017/richdata2" ref="A2:K13">
      <sortCondition descending="1" ref="D1:D13"/>
    </sortState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D4DA-BDBD-4AD1-8E0A-2D719D30B555}">
  <dimension ref="A1:L56"/>
  <sheetViews>
    <sheetView workbookViewId="0">
      <selection activeCell="B19" sqref="B19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style="23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14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21" t="s">
        <v>110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106</v>
      </c>
      <c r="B2" s="1">
        <v>13410.79</v>
      </c>
      <c r="C2" s="22">
        <v>44105</v>
      </c>
      <c r="D2" s="3">
        <v>0</v>
      </c>
      <c r="K2" s="1">
        <v>402</v>
      </c>
    </row>
    <row r="3" spans="1:12" x14ac:dyDescent="0.25">
      <c r="A3" t="s">
        <v>12</v>
      </c>
      <c r="B3" s="1">
        <v>12978</v>
      </c>
      <c r="C3" s="22">
        <v>44211</v>
      </c>
      <c r="D3" s="3">
        <v>0</v>
      </c>
      <c r="F3" s="1">
        <f t="shared" ref="F3:F16" si="0">B3/3</f>
        <v>4326</v>
      </c>
      <c r="G3" s="4">
        <f t="shared" ref="G3:G16" si="1">B3/6</f>
        <v>2163</v>
      </c>
      <c r="H3" s="4">
        <f t="shared" ref="H3:H18" si="2">G3/2</f>
        <v>1081.5</v>
      </c>
      <c r="I3" s="4">
        <f t="shared" ref="I3:I16" si="3">B3/12</f>
        <v>1081.5</v>
      </c>
      <c r="J3" s="1">
        <f t="shared" ref="J3:J18" si="4">(B3*D3)/12</f>
        <v>0</v>
      </c>
      <c r="K3" s="1">
        <v>428</v>
      </c>
    </row>
    <row r="4" spans="1:12" x14ac:dyDescent="0.25">
      <c r="A4" t="s">
        <v>14</v>
      </c>
      <c r="B4" s="1">
        <v>482.61</v>
      </c>
      <c r="C4" s="22">
        <v>43935</v>
      </c>
      <c r="D4" s="3">
        <v>0.29239999999999999</v>
      </c>
      <c r="F4" s="1">
        <f t="shared" si="0"/>
        <v>160.87</v>
      </c>
      <c r="G4" s="4">
        <f t="shared" si="1"/>
        <v>80.435000000000002</v>
      </c>
      <c r="H4" s="4">
        <f t="shared" si="2"/>
        <v>40.217500000000001</v>
      </c>
      <c r="I4" s="4">
        <f t="shared" si="3"/>
        <v>40.217500000000001</v>
      </c>
      <c r="J4" s="1">
        <f t="shared" si="4"/>
        <v>11.759596999999999</v>
      </c>
    </row>
    <row r="5" spans="1:12" x14ac:dyDescent="0.25">
      <c r="A5" t="s">
        <v>15</v>
      </c>
      <c r="B5" s="1">
        <v>0</v>
      </c>
      <c r="C5" s="22"/>
      <c r="D5" s="3">
        <v>0</v>
      </c>
      <c r="F5" s="1">
        <f t="shared" si="0"/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1">
        <f t="shared" si="4"/>
        <v>0</v>
      </c>
    </row>
    <row r="6" spans="1:12" x14ac:dyDescent="0.25">
      <c r="A6" t="s">
        <v>16</v>
      </c>
      <c r="B6" s="1">
        <v>11881.47</v>
      </c>
      <c r="C6" s="22">
        <v>44209</v>
      </c>
      <c r="D6" s="3">
        <v>0</v>
      </c>
      <c r="F6" s="1">
        <f t="shared" si="0"/>
        <v>3960.49</v>
      </c>
      <c r="G6" s="4">
        <f t="shared" si="1"/>
        <v>1980.2449999999999</v>
      </c>
      <c r="H6" s="4">
        <f t="shared" si="2"/>
        <v>990.12249999999995</v>
      </c>
      <c r="I6" s="4">
        <f t="shared" si="3"/>
        <v>990.12249999999995</v>
      </c>
      <c r="J6" s="1">
        <f t="shared" si="4"/>
        <v>0</v>
      </c>
      <c r="K6" s="1">
        <v>433</v>
      </c>
    </row>
    <row r="7" spans="1:12" x14ac:dyDescent="0.25">
      <c r="A7" t="s">
        <v>17</v>
      </c>
      <c r="B7" s="1">
        <v>5318.85</v>
      </c>
      <c r="C7" s="22"/>
      <c r="D7" s="3">
        <v>0.1749</v>
      </c>
      <c r="F7" s="1">
        <f t="shared" si="0"/>
        <v>1772.95</v>
      </c>
      <c r="G7" s="4">
        <f t="shared" si="1"/>
        <v>886.47500000000002</v>
      </c>
      <c r="H7" s="4">
        <f t="shared" si="2"/>
        <v>443.23750000000001</v>
      </c>
      <c r="I7" s="4">
        <f t="shared" si="3"/>
        <v>443.23750000000001</v>
      </c>
      <c r="J7" s="1">
        <f>(B7*D7)/12</f>
        <v>77.52223875</v>
      </c>
      <c r="K7" s="1">
        <v>138</v>
      </c>
      <c r="L7" s="4"/>
    </row>
    <row r="8" spans="1:12" x14ac:dyDescent="0.25">
      <c r="A8" t="s">
        <v>18</v>
      </c>
      <c r="B8" s="1">
        <v>0</v>
      </c>
      <c r="D8" s="3">
        <v>0.1749</v>
      </c>
      <c r="F8" s="1">
        <f t="shared" si="0"/>
        <v>0</v>
      </c>
      <c r="G8" s="4">
        <f t="shared" si="1"/>
        <v>0</v>
      </c>
      <c r="H8" s="4">
        <f t="shared" si="2"/>
        <v>0</v>
      </c>
      <c r="I8" s="4">
        <f t="shared" si="3"/>
        <v>0</v>
      </c>
      <c r="J8" s="1">
        <f t="shared" si="4"/>
        <v>0</v>
      </c>
      <c r="K8" s="1">
        <v>140</v>
      </c>
    </row>
    <row r="9" spans="1:12" x14ac:dyDescent="0.25">
      <c r="A9" t="s">
        <v>19</v>
      </c>
      <c r="D9" s="3">
        <v>0</v>
      </c>
      <c r="F9" s="1">
        <f t="shared" si="0"/>
        <v>0</v>
      </c>
      <c r="G9" s="4">
        <f t="shared" si="1"/>
        <v>0</v>
      </c>
      <c r="H9" s="4">
        <f t="shared" si="2"/>
        <v>0</v>
      </c>
      <c r="I9" s="4">
        <f t="shared" si="3"/>
        <v>0</v>
      </c>
      <c r="J9" s="1">
        <f t="shared" si="4"/>
        <v>0</v>
      </c>
      <c r="K9" s="1">
        <v>471</v>
      </c>
    </row>
    <row r="10" spans="1:12" x14ac:dyDescent="0.25">
      <c r="A10" t="s">
        <v>38</v>
      </c>
      <c r="B10" s="1">
        <v>367.76</v>
      </c>
      <c r="C10" s="22"/>
      <c r="F10" s="1">
        <f t="shared" si="0"/>
        <v>122.58666666666666</v>
      </c>
      <c r="G10" s="4">
        <f t="shared" si="1"/>
        <v>61.293333333333329</v>
      </c>
      <c r="H10" s="4">
        <f t="shared" si="2"/>
        <v>30.646666666666665</v>
      </c>
      <c r="I10" s="4">
        <f t="shared" si="3"/>
        <v>30.646666666666665</v>
      </c>
      <c r="J10" s="1">
        <f t="shared" si="4"/>
        <v>0</v>
      </c>
    </row>
    <row r="11" spans="1:12" x14ac:dyDescent="0.25">
      <c r="A11" t="s">
        <v>21</v>
      </c>
      <c r="B11" s="1">
        <v>745.83</v>
      </c>
      <c r="C11" s="22"/>
      <c r="F11" s="1">
        <f t="shared" si="0"/>
        <v>248.61</v>
      </c>
      <c r="G11" s="4">
        <f t="shared" si="1"/>
        <v>124.30500000000001</v>
      </c>
      <c r="H11" s="4">
        <f t="shared" si="2"/>
        <v>62.152500000000003</v>
      </c>
      <c r="I11" s="4">
        <f t="shared" si="3"/>
        <v>62.152500000000003</v>
      </c>
      <c r="J11" s="1">
        <f t="shared" si="4"/>
        <v>0</v>
      </c>
    </row>
    <row r="12" spans="1:12" x14ac:dyDescent="0.25">
      <c r="A12" t="s">
        <v>22</v>
      </c>
      <c r="B12" s="1">
        <v>379.27</v>
      </c>
      <c r="C12" s="22"/>
      <c r="D12" s="3">
        <v>9.9900000000000003E-2</v>
      </c>
      <c r="F12" s="1">
        <f t="shared" si="0"/>
        <v>126.42333333333333</v>
      </c>
      <c r="G12" s="4">
        <f t="shared" si="1"/>
        <v>63.211666666666666</v>
      </c>
      <c r="H12" s="4">
        <f>G12/2</f>
        <v>31.605833333333333</v>
      </c>
      <c r="I12" s="4">
        <f t="shared" si="3"/>
        <v>31.605833333333333</v>
      </c>
      <c r="J12" s="1">
        <f t="shared" si="4"/>
        <v>3.1574227499999998</v>
      </c>
    </row>
    <row r="13" spans="1:12" x14ac:dyDescent="0.25">
      <c r="A13" t="s">
        <v>10</v>
      </c>
      <c r="D13" s="3">
        <v>0.1774</v>
      </c>
      <c r="F13" s="1">
        <f t="shared" si="0"/>
        <v>0</v>
      </c>
      <c r="G13" s="4">
        <f t="shared" si="1"/>
        <v>0</v>
      </c>
      <c r="H13" s="4">
        <f t="shared" si="2"/>
        <v>0</v>
      </c>
      <c r="I13" s="4">
        <f t="shared" si="3"/>
        <v>0</v>
      </c>
      <c r="J13" s="1">
        <f t="shared" si="4"/>
        <v>0</v>
      </c>
    </row>
    <row r="14" spans="1:12" x14ac:dyDescent="0.25">
      <c r="A14" t="s">
        <v>56</v>
      </c>
      <c r="B14" s="1">
        <v>0</v>
      </c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  <c r="J14" s="1">
        <f t="shared" si="4"/>
        <v>0</v>
      </c>
    </row>
    <row r="15" spans="1:12" x14ac:dyDescent="0.25">
      <c r="A15" t="s">
        <v>35</v>
      </c>
      <c r="B15" s="1">
        <v>0</v>
      </c>
      <c r="F15" s="1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  <c r="J15" s="1">
        <f t="shared" si="4"/>
        <v>0</v>
      </c>
    </row>
    <row r="16" spans="1:12" x14ac:dyDescent="0.25">
      <c r="A16" t="s">
        <v>52</v>
      </c>
      <c r="B16" s="1">
        <v>237.97</v>
      </c>
      <c r="F16" s="1">
        <f t="shared" si="0"/>
        <v>79.323333333333338</v>
      </c>
      <c r="G16" s="4">
        <f t="shared" si="1"/>
        <v>39.661666666666669</v>
      </c>
      <c r="H16" s="4">
        <f t="shared" si="2"/>
        <v>19.830833333333334</v>
      </c>
      <c r="I16" s="4">
        <f t="shared" si="3"/>
        <v>19.830833333333334</v>
      </c>
      <c r="J16" s="1">
        <f t="shared" si="4"/>
        <v>0</v>
      </c>
    </row>
    <row r="17" spans="1:11" x14ac:dyDescent="0.25">
      <c r="A17" t="s">
        <v>39</v>
      </c>
      <c r="B17" s="1">
        <v>8161.27</v>
      </c>
      <c r="F17" s="1">
        <f>B17/3</f>
        <v>2720.4233333333336</v>
      </c>
      <c r="G17" s="4">
        <f>B17/6</f>
        <v>1360.2116666666668</v>
      </c>
      <c r="H17" s="4">
        <f t="shared" si="2"/>
        <v>680.10583333333341</v>
      </c>
      <c r="I17" s="4">
        <f>B17/12</f>
        <v>680.10583333333341</v>
      </c>
      <c r="J17" s="1">
        <f t="shared" si="4"/>
        <v>0</v>
      </c>
    </row>
    <row r="18" spans="1:11" x14ac:dyDescent="0.25">
      <c r="A18" t="s">
        <v>57</v>
      </c>
      <c r="B18" s="1">
        <v>46060.44</v>
      </c>
      <c r="F18" s="1">
        <f>B18/3</f>
        <v>15353.480000000001</v>
      </c>
      <c r="G18" s="4">
        <f>B18/6</f>
        <v>7676.7400000000007</v>
      </c>
      <c r="H18" s="4">
        <f t="shared" si="2"/>
        <v>3838.3700000000003</v>
      </c>
      <c r="I18" s="4">
        <f>B18/12</f>
        <v>3838.3700000000003</v>
      </c>
      <c r="J18" s="1">
        <f t="shared" si="4"/>
        <v>0</v>
      </c>
    </row>
    <row r="19" spans="1:11" x14ac:dyDescent="0.25">
      <c r="A19" t="s">
        <v>107</v>
      </c>
      <c r="G19" s="4"/>
      <c r="H19" s="4"/>
      <c r="I19" s="4"/>
    </row>
    <row r="21" spans="1:11" x14ac:dyDescent="0.25">
      <c r="B21" s="1">
        <f>SUM(B3:B20)</f>
        <v>86613.47</v>
      </c>
      <c r="D21" s="3">
        <f>AVERAGE(D3:D20)</f>
        <v>0.10216666666666667</v>
      </c>
      <c r="E21" s="1">
        <f>SUM(E3:E20)</f>
        <v>0</v>
      </c>
      <c r="F21" s="1">
        <f>SUM(F3:F20)</f>
        <v>28871.156666666669</v>
      </c>
      <c r="G21" s="1">
        <f>SUM(G3:G20)</f>
        <v>14435.578333333335</v>
      </c>
      <c r="H21" s="1"/>
      <c r="I21" s="1">
        <f>SUM(I3:I20)</f>
        <v>7217.7891666666674</v>
      </c>
      <c r="J21" s="1">
        <f>SUM(J3:J20)</f>
        <v>92.439258499999994</v>
      </c>
      <c r="K21" s="1">
        <f>SUM(K3:K20)</f>
        <v>1610</v>
      </c>
    </row>
    <row r="22" spans="1:11" x14ac:dyDescent="0.25">
      <c r="J22" s="1">
        <f>(B21*D21)/12</f>
        <v>737.41745986111118</v>
      </c>
    </row>
    <row r="24" spans="1:11" x14ac:dyDescent="0.25">
      <c r="A24" s="8" t="s">
        <v>36</v>
      </c>
      <c r="B24" s="18"/>
      <c r="C24" s="24">
        <v>3374.19</v>
      </c>
      <c r="D24" s="1">
        <v>3374.19</v>
      </c>
      <c r="F24" s="6"/>
    </row>
    <row r="25" spans="1:11" x14ac:dyDescent="0.25">
      <c r="A25" s="8" t="s">
        <v>37</v>
      </c>
      <c r="B25" s="15">
        <v>550</v>
      </c>
      <c r="C25" s="25"/>
      <c r="D25" s="1">
        <v>550</v>
      </c>
      <c r="F25" s="6">
        <v>43926</v>
      </c>
    </row>
    <row r="26" spans="1:11" x14ac:dyDescent="0.25">
      <c r="A26" s="8" t="s">
        <v>24</v>
      </c>
      <c r="B26" s="15">
        <v>847.62</v>
      </c>
      <c r="C26" s="26"/>
      <c r="D26" s="1">
        <v>847.62</v>
      </c>
      <c r="E26" s="12">
        <f>SUM(B26:B26)</f>
        <v>847.62</v>
      </c>
      <c r="F26" s="7"/>
    </row>
    <row r="27" spans="1:11" x14ac:dyDescent="0.25">
      <c r="A27" s="8" t="s">
        <v>39</v>
      </c>
      <c r="B27" s="1">
        <v>1207.1300000000001</v>
      </c>
      <c r="C27" s="29">
        <v>6000</v>
      </c>
      <c r="D27" s="1">
        <v>1207.1300000000001</v>
      </c>
    </row>
    <row r="28" spans="1:11" x14ac:dyDescent="0.25">
      <c r="A28" s="8" t="s">
        <v>57</v>
      </c>
      <c r="B28" s="15">
        <v>1382.89</v>
      </c>
      <c r="C28" s="26"/>
      <c r="D28" s="1">
        <v>1382.89</v>
      </c>
    </row>
    <row r="29" spans="1:11" x14ac:dyDescent="0.25">
      <c r="A29" s="8" t="s">
        <v>106</v>
      </c>
      <c r="B29" s="15">
        <v>122</v>
      </c>
      <c r="C29" s="29">
        <v>941.61</v>
      </c>
      <c r="D29" s="1"/>
    </row>
    <row r="30" spans="1:11" x14ac:dyDescent="0.25">
      <c r="A30" s="8" t="s">
        <v>12</v>
      </c>
      <c r="B30" s="15">
        <v>130</v>
      </c>
      <c r="C30" s="26"/>
    </row>
    <row r="31" spans="1:11" x14ac:dyDescent="0.25">
      <c r="A31" s="8" t="s">
        <v>14</v>
      </c>
      <c r="B31" s="15">
        <v>215</v>
      </c>
      <c r="C31" s="26"/>
      <c r="I31" t="s">
        <v>11</v>
      </c>
      <c r="J31" s="1">
        <v>0</v>
      </c>
    </row>
    <row r="32" spans="1:11" x14ac:dyDescent="0.25">
      <c r="A32" s="8" t="s">
        <v>15</v>
      </c>
      <c r="B32" s="18">
        <v>0</v>
      </c>
      <c r="C32" s="26"/>
      <c r="I32" t="s">
        <v>12</v>
      </c>
      <c r="J32" s="13">
        <v>2596.11</v>
      </c>
    </row>
    <row r="33" spans="1:12" x14ac:dyDescent="0.25">
      <c r="A33" s="8" t="s">
        <v>16</v>
      </c>
      <c r="B33" s="15">
        <v>121</v>
      </c>
      <c r="C33" s="26"/>
      <c r="G33" s="1"/>
      <c r="I33" t="s">
        <v>13</v>
      </c>
      <c r="J33" s="1">
        <v>0</v>
      </c>
    </row>
    <row r="34" spans="1:12" x14ac:dyDescent="0.25">
      <c r="A34" s="8" t="s">
        <v>17</v>
      </c>
      <c r="B34" s="15">
        <v>2000</v>
      </c>
      <c r="C34" s="26"/>
      <c r="I34" t="s">
        <v>14</v>
      </c>
      <c r="K34" s="1">
        <v>1275.21</v>
      </c>
    </row>
    <row r="35" spans="1:12" x14ac:dyDescent="0.25">
      <c r="A35" s="8" t="s">
        <v>18</v>
      </c>
      <c r="B35" s="18">
        <v>0</v>
      </c>
      <c r="C35" s="29">
        <v>1000</v>
      </c>
      <c r="G35" s="13"/>
      <c r="I35" t="s">
        <v>15</v>
      </c>
      <c r="K35" s="1">
        <v>6219.78</v>
      </c>
    </row>
    <row r="36" spans="1:12" x14ac:dyDescent="0.25">
      <c r="A36" s="8" t="s">
        <v>19</v>
      </c>
      <c r="B36" s="15">
        <v>250</v>
      </c>
      <c r="C36" s="29">
        <v>250</v>
      </c>
      <c r="G36" s="1"/>
      <c r="I36" t="s">
        <v>16</v>
      </c>
      <c r="K36" s="1">
        <v>7107</v>
      </c>
    </row>
    <row r="37" spans="1:12" x14ac:dyDescent="0.25">
      <c r="A37" s="8" t="s">
        <v>38</v>
      </c>
      <c r="B37" s="15">
        <v>367.76</v>
      </c>
      <c r="C37" s="26"/>
      <c r="G37" s="1"/>
      <c r="I37" t="s">
        <v>17</v>
      </c>
      <c r="J37" s="1">
        <v>3714.28</v>
      </c>
    </row>
    <row r="38" spans="1:12" x14ac:dyDescent="0.25">
      <c r="A38" s="8" t="s">
        <v>21</v>
      </c>
      <c r="B38" s="15">
        <v>68</v>
      </c>
      <c r="C38" s="26"/>
      <c r="I38" t="s">
        <v>18</v>
      </c>
      <c r="J38" s="1">
        <v>3819.28</v>
      </c>
    </row>
    <row r="39" spans="1:12" x14ac:dyDescent="0.25">
      <c r="A39" s="8" t="s">
        <v>22</v>
      </c>
      <c r="B39" s="15">
        <v>148</v>
      </c>
      <c r="C39" s="26"/>
      <c r="G39" s="14"/>
      <c r="I39" t="s">
        <v>19</v>
      </c>
      <c r="K39" s="1">
        <v>15593.49</v>
      </c>
    </row>
    <row r="40" spans="1:12" x14ac:dyDescent="0.25">
      <c r="A40" s="8" t="s">
        <v>10</v>
      </c>
      <c r="B40" s="18"/>
      <c r="C40" s="26"/>
      <c r="I40" t="s">
        <v>20</v>
      </c>
      <c r="J40" s="1">
        <v>0</v>
      </c>
    </row>
    <row r="41" spans="1:12" s="3" customFormat="1" x14ac:dyDescent="0.25">
      <c r="A41" s="8" t="s">
        <v>35</v>
      </c>
      <c r="B41" s="15">
        <v>72.790000000000006</v>
      </c>
      <c r="C41" s="26"/>
      <c r="E41" s="1"/>
      <c r="F41" s="1"/>
      <c r="G41" s="4"/>
      <c r="H41"/>
      <c r="I41" t="s">
        <v>38</v>
      </c>
      <c r="J41" s="1">
        <v>0</v>
      </c>
      <c r="K41" s="1"/>
      <c r="L41"/>
    </row>
    <row r="42" spans="1:12" s="3" customFormat="1" x14ac:dyDescent="0.25">
      <c r="A42" s="8" t="s">
        <v>33</v>
      </c>
      <c r="B42" s="15">
        <v>253</v>
      </c>
      <c r="C42" s="26"/>
      <c r="E42" s="1"/>
      <c r="F42" s="1"/>
      <c r="G42"/>
      <c r="H42"/>
      <c r="I42" t="s">
        <v>21</v>
      </c>
      <c r="J42" s="1">
        <v>0</v>
      </c>
      <c r="K42" s="1"/>
      <c r="L42"/>
    </row>
    <row r="43" spans="1:12" s="3" customFormat="1" x14ac:dyDescent="0.25">
      <c r="A43" s="8" t="s">
        <v>44</v>
      </c>
      <c r="B43" s="18"/>
      <c r="C43" s="26"/>
      <c r="E43" s="1"/>
      <c r="F43" s="1"/>
      <c r="G43"/>
      <c r="H43"/>
      <c r="I43" t="s">
        <v>22</v>
      </c>
      <c r="K43" s="1">
        <v>1642.23</v>
      </c>
      <c r="L43"/>
    </row>
    <row r="44" spans="1:12" x14ac:dyDescent="0.25">
      <c r="A44" s="8" t="s">
        <v>45</v>
      </c>
      <c r="B44" s="18"/>
      <c r="C44" s="26"/>
      <c r="D44" s="1"/>
      <c r="I44" t="s">
        <v>10</v>
      </c>
      <c r="J44" s="1">
        <v>10000</v>
      </c>
      <c r="K44" s="1">
        <v>36358.93</v>
      </c>
    </row>
    <row r="45" spans="1:12" s="3" customFormat="1" x14ac:dyDescent="0.25">
      <c r="A45" s="8" t="s">
        <v>52</v>
      </c>
      <c r="B45" s="15">
        <v>237.97</v>
      </c>
      <c r="C45" s="29">
        <v>222.47</v>
      </c>
      <c r="D45" s="1"/>
      <c r="E45" s="1"/>
      <c r="F45" s="1"/>
      <c r="G45"/>
      <c r="H45"/>
      <c r="I45" t="s">
        <v>35</v>
      </c>
      <c r="J45" s="1">
        <v>0</v>
      </c>
      <c r="K45" s="1"/>
      <c r="L45"/>
    </row>
    <row r="46" spans="1:12" s="3" customFormat="1" x14ac:dyDescent="0.25">
      <c r="A46" s="8" t="s">
        <v>55</v>
      </c>
      <c r="B46" s="18">
        <v>0</v>
      </c>
      <c r="C46" s="27"/>
      <c r="D46" s="1"/>
      <c r="E46" s="1"/>
      <c r="F46" s="1"/>
      <c r="H46"/>
      <c r="I46"/>
      <c r="J46" s="1"/>
      <c r="K46" s="1"/>
      <c r="L46"/>
    </row>
    <row r="47" spans="1:12" s="3" customFormat="1" x14ac:dyDescent="0.25">
      <c r="A47" s="8" t="s">
        <v>107</v>
      </c>
      <c r="B47" s="15">
        <v>347</v>
      </c>
      <c r="C47" s="27"/>
      <c r="D47" s="1"/>
      <c r="E47" s="1"/>
      <c r="F47" s="1"/>
      <c r="H47"/>
      <c r="I47"/>
      <c r="J47" s="1"/>
      <c r="K47" s="1"/>
      <c r="L47"/>
    </row>
    <row r="48" spans="1:12" s="3" customFormat="1" x14ac:dyDescent="0.25">
      <c r="A48" s="8" t="s">
        <v>108</v>
      </c>
      <c r="B48" s="15">
        <v>1706</v>
      </c>
      <c r="C48" s="27"/>
      <c r="D48" s="1"/>
      <c r="E48" s="1"/>
      <c r="F48" s="1"/>
      <c r="H48"/>
      <c r="I48"/>
      <c r="J48" s="1"/>
      <c r="K48" s="1"/>
      <c r="L48"/>
    </row>
    <row r="49" spans="1:12" s="3" customFormat="1" x14ac:dyDescent="0.25">
      <c r="A49" s="8"/>
      <c r="B49" s="1"/>
      <c r="C49" s="24"/>
      <c r="E49" s="1"/>
      <c r="F49" s="1"/>
      <c r="H49"/>
      <c r="I49"/>
      <c r="J49" s="1"/>
      <c r="K49" s="1"/>
      <c r="L49"/>
    </row>
    <row r="50" spans="1:12" s="3" customFormat="1" x14ac:dyDescent="0.25">
      <c r="A50" s="8" t="s">
        <v>41</v>
      </c>
      <c r="B50" s="1">
        <f>SUM(B24:B49)</f>
        <v>10026.16</v>
      </c>
      <c r="C50" s="24">
        <f>SUM(C24:C49)</f>
        <v>11788.27</v>
      </c>
      <c r="D50" s="1">
        <f>SUM(D25:D49)</f>
        <v>3987.6400000000003</v>
      </c>
      <c r="E50" s="1"/>
      <c r="F50" s="1"/>
      <c r="H50"/>
      <c r="I50"/>
      <c r="J50" s="1"/>
      <c r="K50" s="1"/>
      <c r="L50"/>
    </row>
    <row r="51" spans="1:12" s="3" customFormat="1" x14ac:dyDescent="0.25">
      <c r="A51"/>
      <c r="B51" s="1"/>
      <c r="C51" s="23"/>
      <c r="E51" s="1"/>
      <c r="F51" s="1"/>
      <c r="G51"/>
      <c r="H51"/>
      <c r="I51"/>
      <c r="J51" s="1"/>
      <c r="K51" s="1"/>
      <c r="L51"/>
    </row>
    <row r="52" spans="1:12" x14ac:dyDescent="0.25">
      <c r="A52" s="8" t="s">
        <v>40</v>
      </c>
      <c r="B52" s="9">
        <v>3889.12</v>
      </c>
      <c r="C52" s="28">
        <v>3889.12</v>
      </c>
      <c r="J52" s="1">
        <f>SUM(J31:J45)</f>
        <v>20129.669999999998</v>
      </c>
    </row>
    <row r="54" spans="1:12" x14ac:dyDescent="0.25">
      <c r="A54" t="s">
        <v>42</v>
      </c>
      <c r="B54" s="1">
        <f>B52-B50</f>
        <v>-6137.04</v>
      </c>
      <c r="C54" s="24">
        <f>C52-C50</f>
        <v>-7899.1500000000005</v>
      </c>
      <c r="I54" t="s">
        <v>39</v>
      </c>
      <c r="J54" s="1">
        <v>35056.15</v>
      </c>
    </row>
    <row r="56" spans="1:12" x14ac:dyDescent="0.25">
      <c r="J56" s="1">
        <f>J54-J52</f>
        <v>14926.480000000003</v>
      </c>
    </row>
  </sheetData>
  <autoFilter ref="A1:K13" xr:uid="{1F705934-551F-4A30-809C-BD2B1658412C}">
    <sortState xmlns:xlrd2="http://schemas.microsoft.com/office/spreadsheetml/2017/richdata2" ref="A2:K13">
      <sortCondition descending="1" ref="D1:D13"/>
    </sortState>
  </autoFilter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BF99-5117-4A85-9AE4-9362D62601C1}">
  <dimension ref="A1:L56"/>
  <sheetViews>
    <sheetView workbookViewId="0">
      <selection activeCell="C27" sqref="C27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14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12</v>
      </c>
      <c r="B2" s="1">
        <v>13110</v>
      </c>
      <c r="C2" s="2">
        <v>44211</v>
      </c>
      <c r="D2" s="3">
        <v>0</v>
      </c>
      <c r="F2" s="1">
        <f t="shared" ref="F2:F15" si="0">B2/3</f>
        <v>4370</v>
      </c>
      <c r="G2" s="4">
        <f t="shared" ref="G2:G15" si="1">B2/6</f>
        <v>2185</v>
      </c>
      <c r="H2" s="4">
        <f t="shared" ref="H2:H18" si="2">G2/2</f>
        <v>1092.5</v>
      </c>
      <c r="I2" s="4">
        <f t="shared" ref="I2:I15" si="3">B2/12</f>
        <v>1092.5</v>
      </c>
      <c r="J2" s="1">
        <f t="shared" ref="J2:J18" si="4">(B2*D2)/12</f>
        <v>0</v>
      </c>
      <c r="K2" s="1">
        <v>97</v>
      </c>
    </row>
    <row r="3" spans="1:12" x14ac:dyDescent="0.25">
      <c r="A3" t="s">
        <v>14</v>
      </c>
      <c r="B3" s="1">
        <v>647.41999999999996</v>
      </c>
      <c r="C3" s="2">
        <v>43935</v>
      </c>
      <c r="D3" s="3">
        <v>0</v>
      </c>
      <c r="F3" s="1">
        <f t="shared" si="0"/>
        <v>215.80666666666664</v>
      </c>
      <c r="G3" s="4">
        <f t="shared" si="1"/>
        <v>107.90333333333332</v>
      </c>
      <c r="H3" s="4">
        <f t="shared" si="2"/>
        <v>53.951666666666661</v>
      </c>
      <c r="I3" s="4">
        <f t="shared" si="3"/>
        <v>53.951666666666661</v>
      </c>
      <c r="J3" s="1">
        <f t="shared" si="4"/>
        <v>0</v>
      </c>
    </row>
    <row r="4" spans="1:12" x14ac:dyDescent="0.25">
      <c r="A4" t="s">
        <v>15</v>
      </c>
      <c r="B4" s="1">
        <v>11.82</v>
      </c>
      <c r="C4" s="2">
        <v>43800</v>
      </c>
      <c r="D4" s="3">
        <v>0</v>
      </c>
      <c r="F4" s="1">
        <f t="shared" si="0"/>
        <v>3.94</v>
      </c>
      <c r="G4" s="4">
        <f t="shared" si="1"/>
        <v>1.97</v>
      </c>
      <c r="H4" s="4">
        <f t="shared" si="2"/>
        <v>0.98499999999999999</v>
      </c>
      <c r="I4" s="4">
        <f t="shared" si="3"/>
        <v>0.98499999999999999</v>
      </c>
      <c r="J4" s="1">
        <f t="shared" si="4"/>
        <v>0</v>
      </c>
      <c r="K4" s="1">
        <v>221</v>
      </c>
    </row>
    <row r="5" spans="1:12" x14ac:dyDescent="0.25">
      <c r="A5" t="s">
        <v>16</v>
      </c>
      <c r="B5" s="1">
        <v>12092.28</v>
      </c>
      <c r="C5" s="2">
        <v>44209</v>
      </c>
      <c r="D5" s="3">
        <v>0</v>
      </c>
      <c r="F5" s="1">
        <f t="shared" si="0"/>
        <v>4030.76</v>
      </c>
      <c r="G5" s="4">
        <f t="shared" si="1"/>
        <v>2015.38</v>
      </c>
      <c r="H5" s="4">
        <f t="shared" si="2"/>
        <v>1007.69</v>
      </c>
      <c r="I5" s="4">
        <f t="shared" si="3"/>
        <v>1007.69</v>
      </c>
      <c r="J5" s="1">
        <f t="shared" si="4"/>
        <v>0</v>
      </c>
      <c r="K5" s="1">
        <v>273</v>
      </c>
    </row>
    <row r="6" spans="1:12" x14ac:dyDescent="0.25">
      <c r="A6" t="s">
        <v>17</v>
      </c>
      <c r="B6" s="1">
        <v>5251.17</v>
      </c>
      <c r="C6" s="2">
        <v>44184</v>
      </c>
      <c r="D6" s="3">
        <v>0</v>
      </c>
      <c r="F6" s="1">
        <f t="shared" si="0"/>
        <v>1750.39</v>
      </c>
      <c r="G6" s="4">
        <f t="shared" si="1"/>
        <v>875.19500000000005</v>
      </c>
      <c r="H6" s="4">
        <f t="shared" si="2"/>
        <v>437.59750000000003</v>
      </c>
      <c r="I6" s="4">
        <f t="shared" si="3"/>
        <v>437.59750000000003</v>
      </c>
      <c r="J6" s="1">
        <f>(B6*D6)/12</f>
        <v>0</v>
      </c>
      <c r="K6" s="1">
        <v>138</v>
      </c>
      <c r="L6" s="4"/>
    </row>
    <row r="7" spans="1:12" x14ac:dyDescent="0.25">
      <c r="A7" t="s">
        <v>18</v>
      </c>
      <c r="B7" s="1">
        <v>0</v>
      </c>
      <c r="D7" s="3">
        <v>0.1749</v>
      </c>
      <c r="F7" s="1">
        <f t="shared" si="0"/>
        <v>0</v>
      </c>
      <c r="G7" s="4">
        <f t="shared" si="1"/>
        <v>0</v>
      </c>
      <c r="H7" s="4">
        <f t="shared" si="2"/>
        <v>0</v>
      </c>
      <c r="I7" s="4">
        <f t="shared" si="3"/>
        <v>0</v>
      </c>
      <c r="J7" s="1">
        <f t="shared" si="4"/>
        <v>0</v>
      </c>
      <c r="K7" s="1">
        <v>140</v>
      </c>
    </row>
    <row r="8" spans="1:12" x14ac:dyDescent="0.25">
      <c r="A8" t="s">
        <v>19</v>
      </c>
      <c r="B8" s="1">
        <v>12158.08</v>
      </c>
      <c r="C8" t="s">
        <v>109</v>
      </c>
      <c r="D8" s="3">
        <v>0</v>
      </c>
      <c r="F8" s="1">
        <f t="shared" si="0"/>
        <v>4052.6933333333332</v>
      </c>
      <c r="G8" s="4">
        <f t="shared" si="1"/>
        <v>2026.3466666666666</v>
      </c>
      <c r="H8" s="4">
        <f t="shared" si="2"/>
        <v>1013.1733333333333</v>
      </c>
      <c r="I8" s="4">
        <f t="shared" si="3"/>
        <v>1013.1733333333333</v>
      </c>
      <c r="J8" s="1">
        <f t="shared" si="4"/>
        <v>0</v>
      </c>
      <c r="K8" s="1">
        <v>471</v>
      </c>
    </row>
    <row r="9" spans="1:12" x14ac:dyDescent="0.25">
      <c r="A9" t="s">
        <v>38</v>
      </c>
      <c r="B9" s="1">
        <v>90</v>
      </c>
      <c r="C9" s="2"/>
      <c r="F9" s="1">
        <f t="shared" si="0"/>
        <v>30</v>
      </c>
      <c r="G9" s="4">
        <f t="shared" si="1"/>
        <v>15</v>
      </c>
      <c r="H9" s="4">
        <f t="shared" si="2"/>
        <v>7.5</v>
      </c>
      <c r="I9" s="4">
        <f t="shared" si="3"/>
        <v>7.5</v>
      </c>
      <c r="J9" s="1">
        <f t="shared" si="4"/>
        <v>0</v>
      </c>
    </row>
    <row r="10" spans="1:12" x14ac:dyDescent="0.25">
      <c r="A10" t="s">
        <v>21</v>
      </c>
      <c r="B10" s="1">
        <v>812.62</v>
      </c>
      <c r="C10" s="2"/>
      <c r="F10" s="1">
        <f t="shared" si="0"/>
        <v>270.87333333333333</v>
      </c>
      <c r="G10" s="4">
        <f t="shared" si="1"/>
        <v>135.43666666666667</v>
      </c>
      <c r="H10" s="4">
        <f t="shared" si="2"/>
        <v>67.718333333333334</v>
      </c>
      <c r="I10" s="4">
        <f t="shared" si="3"/>
        <v>67.718333333333334</v>
      </c>
      <c r="J10" s="1">
        <f t="shared" si="4"/>
        <v>0</v>
      </c>
    </row>
    <row r="11" spans="1:12" x14ac:dyDescent="0.25">
      <c r="A11" t="s">
        <v>22</v>
      </c>
      <c r="B11" s="1">
        <v>524.29999999999995</v>
      </c>
      <c r="C11" s="2"/>
      <c r="D11" s="3">
        <v>9.9900000000000003E-2</v>
      </c>
      <c r="F11" s="1">
        <f t="shared" si="0"/>
        <v>174.76666666666665</v>
      </c>
      <c r="G11" s="4">
        <f t="shared" si="1"/>
        <v>87.383333333333326</v>
      </c>
      <c r="H11" s="4">
        <f>G11/2</f>
        <v>43.691666666666663</v>
      </c>
      <c r="I11" s="4">
        <f t="shared" si="3"/>
        <v>43.691666666666663</v>
      </c>
      <c r="J11" s="1">
        <f t="shared" si="4"/>
        <v>4.3647974999999999</v>
      </c>
    </row>
    <row r="12" spans="1:12" x14ac:dyDescent="0.25">
      <c r="A12" t="s">
        <v>10</v>
      </c>
      <c r="D12" s="3">
        <v>0.1774</v>
      </c>
      <c r="F12" s="1">
        <f t="shared" si="0"/>
        <v>0</v>
      </c>
      <c r="G12" s="4">
        <f t="shared" si="1"/>
        <v>0</v>
      </c>
      <c r="H12" s="4">
        <f t="shared" si="2"/>
        <v>0</v>
      </c>
      <c r="I12" s="4">
        <f t="shared" si="3"/>
        <v>0</v>
      </c>
      <c r="J12" s="1">
        <f t="shared" si="4"/>
        <v>0</v>
      </c>
    </row>
    <row r="13" spans="1:12" x14ac:dyDescent="0.25">
      <c r="A13" t="s">
        <v>56</v>
      </c>
      <c r="F13" s="1">
        <f t="shared" si="0"/>
        <v>0</v>
      </c>
      <c r="G13" s="4">
        <f t="shared" si="1"/>
        <v>0</v>
      </c>
      <c r="H13" s="4">
        <f t="shared" si="2"/>
        <v>0</v>
      </c>
      <c r="I13" s="4">
        <f t="shared" si="3"/>
        <v>0</v>
      </c>
      <c r="J13" s="1">
        <f t="shared" si="4"/>
        <v>0</v>
      </c>
    </row>
    <row r="14" spans="1:12" x14ac:dyDescent="0.25">
      <c r="A14" t="s">
        <v>35</v>
      </c>
      <c r="B14" s="1">
        <v>0</v>
      </c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  <c r="J14" s="1">
        <f t="shared" si="4"/>
        <v>0</v>
      </c>
    </row>
    <row r="15" spans="1:12" x14ac:dyDescent="0.25">
      <c r="A15" t="s">
        <v>52</v>
      </c>
      <c r="F15" s="1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  <c r="J15" s="1">
        <f t="shared" si="4"/>
        <v>0</v>
      </c>
    </row>
    <row r="16" spans="1:12" x14ac:dyDescent="0.25">
      <c r="A16" t="s">
        <v>106</v>
      </c>
      <c r="B16" s="13">
        <v>12636.95</v>
      </c>
      <c r="C16" s="2">
        <v>44123</v>
      </c>
      <c r="D16" s="3">
        <v>0</v>
      </c>
      <c r="F16" s="1">
        <f>B16/3</f>
        <v>4212.3166666666666</v>
      </c>
      <c r="G16" s="4">
        <f>B16/6</f>
        <v>2106.1583333333333</v>
      </c>
      <c r="H16" s="4">
        <f>G16/2</f>
        <v>1053.0791666666667</v>
      </c>
      <c r="I16" s="4">
        <f>B16/12</f>
        <v>1053.0791666666667</v>
      </c>
      <c r="J16" s="1">
        <f>(B16*D16)/12</f>
        <v>0</v>
      </c>
    </row>
    <row r="17" spans="1:11" x14ac:dyDescent="0.25">
      <c r="A17" t="s">
        <v>39</v>
      </c>
      <c r="B17" s="1">
        <v>9204.59</v>
      </c>
      <c r="F17" s="1">
        <f>B17/3</f>
        <v>3068.1966666666667</v>
      </c>
      <c r="G17" s="4">
        <f>B17/6</f>
        <v>1534.0983333333334</v>
      </c>
      <c r="H17" s="4">
        <f t="shared" si="2"/>
        <v>767.04916666666668</v>
      </c>
      <c r="I17" s="4">
        <f>B17/12</f>
        <v>767.04916666666668</v>
      </c>
      <c r="J17" s="1">
        <f t="shared" si="4"/>
        <v>0</v>
      </c>
    </row>
    <row r="18" spans="1:11" x14ac:dyDescent="0.25">
      <c r="A18" t="s">
        <v>57</v>
      </c>
      <c r="B18" s="1">
        <v>47217.63</v>
      </c>
      <c r="F18" s="1">
        <f>B18/3</f>
        <v>15739.21</v>
      </c>
      <c r="G18" s="4">
        <f>B18/6</f>
        <v>7869.6049999999996</v>
      </c>
      <c r="H18" s="4">
        <f t="shared" si="2"/>
        <v>3934.8024999999998</v>
      </c>
      <c r="I18" s="4">
        <f>B18/12</f>
        <v>3934.8024999999998</v>
      </c>
      <c r="J18" s="1">
        <f t="shared" si="4"/>
        <v>0</v>
      </c>
    </row>
    <row r="19" spans="1:11" x14ac:dyDescent="0.25">
      <c r="A19" t="s">
        <v>107</v>
      </c>
      <c r="G19" s="4"/>
      <c r="H19" s="4"/>
      <c r="I19" s="4"/>
    </row>
    <row r="21" spans="1:11" x14ac:dyDescent="0.25">
      <c r="B21" s="1">
        <f>SUM(B2:B20)</f>
        <v>113756.86000000002</v>
      </c>
      <c r="D21" s="3">
        <f>AVERAGE(D2:D20)</f>
        <v>4.5219999999999996E-2</v>
      </c>
      <c r="E21" s="1">
        <f>SUM(E2:E20)</f>
        <v>0</v>
      </c>
      <c r="F21" s="1">
        <f>SUM(F2:F20)</f>
        <v>37918.953333333331</v>
      </c>
      <c r="G21" s="1">
        <f>SUM(G2:G20)</f>
        <v>18959.476666666666</v>
      </c>
      <c r="H21" s="1"/>
      <c r="I21" s="1">
        <f>SUM(I2:I20)</f>
        <v>9479.7383333333328</v>
      </c>
      <c r="J21" s="1">
        <f>SUM(J2:J20)</f>
        <v>4.3647974999999999</v>
      </c>
      <c r="K21" s="1">
        <f>SUM(K2:K20)</f>
        <v>1340</v>
      </c>
    </row>
    <row r="22" spans="1:11" x14ac:dyDescent="0.25">
      <c r="J22" s="1">
        <f>(B21*D21)/12</f>
        <v>428.67376743333335</v>
      </c>
    </row>
    <row r="24" spans="1:11" x14ac:dyDescent="0.25">
      <c r="A24" s="8" t="s">
        <v>36</v>
      </c>
      <c r="B24" s="18"/>
      <c r="C24" s="15">
        <v>3374.19</v>
      </c>
      <c r="D24" s="1">
        <v>3374.19</v>
      </c>
      <c r="F24" s="6"/>
    </row>
    <row r="25" spans="1:11" x14ac:dyDescent="0.25">
      <c r="A25" s="8" t="s">
        <v>37</v>
      </c>
      <c r="B25" s="15">
        <v>553</v>
      </c>
      <c r="C25" s="19"/>
      <c r="D25" s="1">
        <v>553</v>
      </c>
      <c r="F25" s="6">
        <v>43926</v>
      </c>
    </row>
    <row r="26" spans="1:11" x14ac:dyDescent="0.25">
      <c r="A26" s="8" t="s">
        <v>24</v>
      </c>
      <c r="B26" s="15">
        <v>847.62</v>
      </c>
      <c r="C26" s="18"/>
      <c r="D26" s="1">
        <v>847.62</v>
      </c>
      <c r="E26" s="12">
        <f>SUM(B26:B26)</f>
        <v>847.62</v>
      </c>
      <c r="F26" s="7"/>
    </row>
    <row r="27" spans="1:11" x14ac:dyDescent="0.25">
      <c r="A27" s="8" t="s">
        <v>39</v>
      </c>
      <c r="C27" s="15">
        <v>1207.1300000000001</v>
      </c>
      <c r="D27" s="1">
        <v>1207.1300000000001</v>
      </c>
    </row>
    <row r="28" spans="1:11" x14ac:dyDescent="0.25">
      <c r="A28" s="8" t="s">
        <v>57</v>
      </c>
      <c r="B28" s="15">
        <v>1382.89</v>
      </c>
      <c r="D28" s="1">
        <v>1382.89</v>
      </c>
    </row>
    <row r="29" spans="1:11" x14ac:dyDescent="0.25">
      <c r="A29" s="8" t="s">
        <v>12</v>
      </c>
      <c r="B29" s="15">
        <v>132</v>
      </c>
      <c r="C29" s="18"/>
    </row>
    <row r="30" spans="1:11" x14ac:dyDescent="0.25">
      <c r="A30" s="8" t="s">
        <v>14</v>
      </c>
      <c r="B30" s="15">
        <v>215</v>
      </c>
      <c r="C30" s="18"/>
      <c r="I30" t="s">
        <v>11</v>
      </c>
      <c r="J30" s="1">
        <v>0</v>
      </c>
    </row>
    <row r="31" spans="1:11" x14ac:dyDescent="0.25">
      <c r="A31" s="8" t="s">
        <v>15</v>
      </c>
      <c r="B31" s="15">
        <v>11.82</v>
      </c>
      <c r="C31" s="18"/>
      <c r="I31" t="s">
        <v>12</v>
      </c>
      <c r="J31" s="13">
        <v>2596.11</v>
      </c>
    </row>
    <row r="32" spans="1:11" x14ac:dyDescent="0.25">
      <c r="A32" s="8" t="s">
        <v>16</v>
      </c>
      <c r="B32" s="15">
        <v>213</v>
      </c>
      <c r="C32" s="18"/>
      <c r="G32" s="1"/>
      <c r="I32" t="s">
        <v>13</v>
      </c>
      <c r="J32" s="1">
        <v>0</v>
      </c>
    </row>
    <row r="33" spans="1:12" x14ac:dyDescent="0.25">
      <c r="A33" s="8" t="s">
        <v>17</v>
      </c>
      <c r="B33" s="15">
        <v>100</v>
      </c>
      <c r="C33" s="18"/>
      <c r="I33" t="s">
        <v>14</v>
      </c>
      <c r="K33" s="1">
        <v>1275.21</v>
      </c>
    </row>
    <row r="34" spans="1:12" x14ac:dyDescent="0.25">
      <c r="A34" s="8" t="s">
        <v>18</v>
      </c>
      <c r="B34" s="18">
        <v>0</v>
      </c>
      <c r="C34" s="18"/>
      <c r="G34" s="13"/>
      <c r="I34" t="s">
        <v>15</v>
      </c>
      <c r="K34" s="1">
        <v>6219.78</v>
      </c>
    </row>
    <row r="35" spans="1:12" x14ac:dyDescent="0.25">
      <c r="A35" s="8" t="s">
        <v>19</v>
      </c>
      <c r="B35" s="15">
        <v>250</v>
      </c>
      <c r="C35" s="18"/>
      <c r="G35" s="1"/>
      <c r="I35" t="s">
        <v>16</v>
      </c>
      <c r="K35" s="1">
        <v>7107</v>
      </c>
    </row>
    <row r="36" spans="1:12" x14ac:dyDescent="0.25">
      <c r="A36" s="8" t="s">
        <v>38</v>
      </c>
      <c r="B36" s="15">
        <v>90</v>
      </c>
      <c r="C36" s="18"/>
      <c r="G36" s="1"/>
      <c r="I36" t="s">
        <v>17</v>
      </c>
      <c r="J36" s="1">
        <v>3714.28</v>
      </c>
    </row>
    <row r="37" spans="1:12" x14ac:dyDescent="0.25">
      <c r="A37" s="8" t="s">
        <v>21</v>
      </c>
      <c r="B37" s="15">
        <v>68</v>
      </c>
      <c r="C37" s="18"/>
      <c r="I37" t="s">
        <v>18</v>
      </c>
      <c r="J37" s="1">
        <v>3819.28</v>
      </c>
    </row>
    <row r="38" spans="1:12" x14ac:dyDescent="0.25">
      <c r="A38" s="8" t="s">
        <v>22</v>
      </c>
      <c r="B38" s="15">
        <v>148</v>
      </c>
      <c r="C38" s="18"/>
      <c r="G38" s="14"/>
      <c r="I38" t="s">
        <v>19</v>
      </c>
      <c r="K38" s="1">
        <v>15593.49</v>
      </c>
    </row>
    <row r="39" spans="1:12" x14ac:dyDescent="0.25">
      <c r="A39" s="8" t="s">
        <v>10</v>
      </c>
      <c r="B39" s="18"/>
      <c r="C39" s="18"/>
      <c r="I39" t="s">
        <v>20</v>
      </c>
      <c r="J39" s="1">
        <v>0</v>
      </c>
    </row>
    <row r="40" spans="1:12" s="3" customFormat="1" x14ac:dyDescent="0.25">
      <c r="A40" s="8" t="s">
        <v>35</v>
      </c>
      <c r="B40" s="18">
        <v>0</v>
      </c>
      <c r="C40" s="18"/>
      <c r="E40" s="1"/>
      <c r="F40" s="1"/>
      <c r="G40" s="4"/>
      <c r="H40"/>
      <c r="I40" t="s">
        <v>38</v>
      </c>
      <c r="J40" s="1">
        <v>0</v>
      </c>
      <c r="K40" s="1"/>
      <c r="L40"/>
    </row>
    <row r="41" spans="1:12" s="3" customFormat="1" x14ac:dyDescent="0.25">
      <c r="A41" s="8" t="s">
        <v>33</v>
      </c>
      <c r="B41" s="15">
        <v>441.36</v>
      </c>
      <c r="C41" s="18"/>
      <c r="E41" s="1"/>
      <c r="F41" s="1"/>
      <c r="G41"/>
      <c r="H41"/>
      <c r="I41" t="s">
        <v>21</v>
      </c>
      <c r="J41" s="1">
        <v>0</v>
      </c>
      <c r="K41" s="1"/>
      <c r="L41"/>
    </row>
    <row r="42" spans="1:12" s="3" customFormat="1" x14ac:dyDescent="0.25">
      <c r="A42" s="8" t="s">
        <v>52</v>
      </c>
      <c r="B42" s="18"/>
      <c r="C42" s="18"/>
      <c r="D42" s="1"/>
      <c r="E42" s="1"/>
      <c r="F42" s="1"/>
      <c r="G42"/>
      <c r="H42"/>
      <c r="I42" t="s">
        <v>35</v>
      </c>
      <c r="J42" s="1">
        <v>0</v>
      </c>
      <c r="K42" s="1"/>
      <c r="L42"/>
    </row>
    <row r="43" spans="1:12" s="3" customFormat="1" x14ac:dyDescent="0.25">
      <c r="A43" s="8" t="s">
        <v>106</v>
      </c>
      <c r="B43" s="15">
        <v>1512.95</v>
      </c>
      <c r="C43" s="18"/>
      <c r="D43" s="1"/>
      <c r="E43" s="1"/>
      <c r="F43" s="1"/>
      <c r="G43"/>
      <c r="H43"/>
      <c r="I43"/>
      <c r="J43" s="1"/>
      <c r="K43" s="1"/>
      <c r="L43"/>
    </row>
    <row r="44" spans="1:12" s="3" customFormat="1" x14ac:dyDescent="0.25">
      <c r="A44" s="8" t="s">
        <v>44</v>
      </c>
      <c r="B44" s="18"/>
      <c r="C44" s="18"/>
      <c r="E44" s="1"/>
      <c r="F44" s="1"/>
      <c r="G44"/>
      <c r="H44"/>
      <c r="I44" t="s">
        <v>22</v>
      </c>
      <c r="K44" s="1">
        <v>1642.23</v>
      </c>
      <c r="L44"/>
    </row>
    <row r="45" spans="1:12" x14ac:dyDescent="0.25">
      <c r="A45" s="8" t="s">
        <v>45</v>
      </c>
      <c r="B45" s="15">
        <v>120.8</v>
      </c>
      <c r="C45" s="18"/>
      <c r="D45" s="1"/>
      <c r="I45" t="s">
        <v>10</v>
      </c>
      <c r="J45" s="1">
        <v>10000</v>
      </c>
      <c r="K45" s="1">
        <v>36358.93</v>
      </c>
    </row>
    <row r="46" spans="1:12" s="3" customFormat="1" x14ac:dyDescent="0.25">
      <c r="A46" s="8" t="s">
        <v>55</v>
      </c>
      <c r="B46" s="18">
        <v>0</v>
      </c>
      <c r="D46" s="1"/>
      <c r="E46" s="1"/>
      <c r="F46" s="1"/>
      <c r="H46"/>
      <c r="I46"/>
      <c r="J46" s="1"/>
      <c r="K46" s="1"/>
      <c r="L46"/>
    </row>
    <row r="47" spans="1:12" s="3" customFormat="1" x14ac:dyDescent="0.25">
      <c r="A47" s="8" t="s">
        <v>107</v>
      </c>
      <c r="B47" s="15">
        <v>347</v>
      </c>
      <c r="D47" s="1"/>
      <c r="E47" s="1"/>
      <c r="F47" s="1"/>
      <c r="H47"/>
      <c r="I47"/>
      <c r="J47" s="1"/>
      <c r="K47" s="1"/>
      <c r="L47"/>
    </row>
    <row r="48" spans="1:12" s="3" customFormat="1" x14ac:dyDescent="0.25">
      <c r="A48" s="8" t="s">
        <v>108</v>
      </c>
      <c r="B48" s="15">
        <v>362.52</v>
      </c>
      <c r="D48" s="1"/>
      <c r="E48" s="1"/>
      <c r="F48" s="1"/>
      <c r="H48"/>
      <c r="I48"/>
      <c r="J48" s="1"/>
      <c r="K48" s="1"/>
      <c r="L48"/>
    </row>
    <row r="49" spans="1:12" s="3" customFormat="1" x14ac:dyDescent="0.25">
      <c r="A49" s="8"/>
      <c r="B49" s="1"/>
      <c r="C49" s="1"/>
      <c r="E49" s="1"/>
      <c r="F49" s="1"/>
      <c r="H49"/>
      <c r="I49"/>
      <c r="J49" s="1"/>
      <c r="K49" s="1"/>
      <c r="L49"/>
    </row>
    <row r="50" spans="1:12" s="3" customFormat="1" x14ac:dyDescent="0.25">
      <c r="A50" s="8" t="s">
        <v>41</v>
      </c>
      <c r="B50" s="1">
        <f>SUM(B24:B49)</f>
        <v>6795.9600000000009</v>
      </c>
      <c r="C50" s="1">
        <f>SUM(C24:C49)</f>
        <v>4581.32</v>
      </c>
      <c r="D50" s="1">
        <f>SUM(D25:D49)</f>
        <v>3990.6400000000003</v>
      </c>
      <c r="E50" s="1"/>
      <c r="F50" s="1"/>
      <c r="H50"/>
      <c r="I50"/>
      <c r="J50" s="1"/>
      <c r="K50" s="1"/>
      <c r="L50"/>
    </row>
    <row r="51" spans="1:12" s="3" customFormat="1" x14ac:dyDescent="0.25">
      <c r="A51"/>
      <c r="B51" s="1"/>
      <c r="C51"/>
      <c r="E51" s="1"/>
      <c r="F51" s="1"/>
      <c r="G51"/>
      <c r="H51"/>
      <c r="I51"/>
      <c r="J51" s="1"/>
      <c r="K51" s="1"/>
      <c r="L51"/>
    </row>
    <row r="52" spans="1:12" s="1" customFormat="1" x14ac:dyDescent="0.25">
      <c r="A52" s="8" t="s">
        <v>40</v>
      </c>
      <c r="B52" s="9">
        <v>3889.12</v>
      </c>
      <c r="C52" s="9">
        <v>3889.12</v>
      </c>
      <c r="D52" s="3"/>
      <c r="G52"/>
      <c r="H52"/>
      <c r="I52"/>
      <c r="J52" s="1">
        <f>SUM(J30:J42)</f>
        <v>10129.67</v>
      </c>
      <c r="L52"/>
    </row>
    <row r="54" spans="1:12" s="1" customFormat="1" x14ac:dyDescent="0.25">
      <c r="A54" t="s">
        <v>42</v>
      </c>
      <c r="B54" s="1">
        <f>B52-B50</f>
        <v>-2906.8400000000011</v>
      </c>
      <c r="C54" s="1">
        <f>C52-C50</f>
        <v>-692.19999999999982</v>
      </c>
      <c r="D54" s="3"/>
      <c r="G54"/>
      <c r="H54"/>
      <c r="I54" t="s">
        <v>39</v>
      </c>
      <c r="J54" s="1">
        <v>35056.15</v>
      </c>
      <c r="L54"/>
    </row>
    <row r="56" spans="1:12" s="1" customFormat="1" x14ac:dyDescent="0.25">
      <c r="A56"/>
      <c r="C56"/>
      <c r="D56" s="3"/>
      <c r="G56"/>
      <c r="H56"/>
      <c r="I56"/>
      <c r="J56" s="1">
        <f>J54-J52</f>
        <v>24926.480000000003</v>
      </c>
      <c r="L56"/>
    </row>
  </sheetData>
  <autoFilter ref="A1:K12" xr:uid="{1F705934-551F-4A30-809C-BD2B1658412C}">
    <sortState xmlns:xlrd2="http://schemas.microsoft.com/office/spreadsheetml/2017/richdata2" ref="A2:K12">
      <sortCondition descending="1" ref="D1:D12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7FE3-AF2A-4ED1-9AFF-7B08AFAF51C8}">
  <dimension ref="A1:P53"/>
  <sheetViews>
    <sheetView workbookViewId="0">
      <selection activeCell="I10" sqref="I10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14" style="1" bestFit="1" customWidth="1"/>
    <col min="12" max="12" width="7" bestFit="1" customWidth="1"/>
    <col min="13" max="13" width="10.5703125" bestFit="1" customWidth="1"/>
    <col min="16" max="16" width="12.5703125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12</v>
      </c>
      <c r="B2" s="1">
        <v>13250</v>
      </c>
      <c r="C2" s="2">
        <v>44211</v>
      </c>
      <c r="D2" s="3">
        <v>0</v>
      </c>
      <c r="F2" s="1">
        <f t="shared" ref="F2:F15" si="0">B2/3</f>
        <v>4416.666666666667</v>
      </c>
      <c r="G2" s="4">
        <f t="shared" ref="G2:G15" si="1">B2/6</f>
        <v>2208.3333333333335</v>
      </c>
      <c r="H2" s="4">
        <f t="shared" ref="H2:H18" si="2">G2/2</f>
        <v>1104.1666666666667</v>
      </c>
      <c r="I2" s="4">
        <f t="shared" ref="I2:I15" si="3">B2/12</f>
        <v>1104.1666666666667</v>
      </c>
      <c r="J2" s="1">
        <f t="shared" ref="J2:J18" si="4">(B2*D2)/12</f>
        <v>0</v>
      </c>
      <c r="K2" s="1">
        <v>97</v>
      </c>
    </row>
    <row r="3" spans="1:12" x14ac:dyDescent="0.25">
      <c r="A3" t="s">
        <v>14</v>
      </c>
      <c r="B3" s="1">
        <v>802.54</v>
      </c>
      <c r="C3" s="2">
        <v>43935</v>
      </c>
      <c r="F3" s="1">
        <f t="shared" si="0"/>
        <v>267.51333333333332</v>
      </c>
      <c r="G3" s="4">
        <f t="shared" si="1"/>
        <v>133.75666666666666</v>
      </c>
      <c r="H3" s="4">
        <f t="shared" si="2"/>
        <v>66.87833333333333</v>
      </c>
      <c r="I3" s="4">
        <f t="shared" si="3"/>
        <v>66.87833333333333</v>
      </c>
      <c r="J3" s="1">
        <f t="shared" si="4"/>
        <v>0</v>
      </c>
    </row>
    <row r="4" spans="1:12" x14ac:dyDescent="0.25">
      <c r="A4" t="s">
        <v>15</v>
      </c>
      <c r="B4" s="1">
        <v>5293.92</v>
      </c>
      <c r="C4" s="2"/>
      <c r="F4" s="1">
        <f t="shared" si="0"/>
        <v>1764.64</v>
      </c>
      <c r="G4" s="4">
        <f t="shared" si="1"/>
        <v>882.32</v>
      </c>
      <c r="H4" s="4">
        <f t="shared" si="2"/>
        <v>441.16</v>
      </c>
      <c r="I4" s="4">
        <f t="shared" si="3"/>
        <v>441.16</v>
      </c>
      <c r="J4" s="1">
        <f t="shared" si="4"/>
        <v>0</v>
      </c>
      <c r="K4" s="1">
        <v>221</v>
      </c>
    </row>
    <row r="5" spans="1:12" x14ac:dyDescent="0.25">
      <c r="A5" t="s">
        <v>16</v>
      </c>
      <c r="B5" s="1">
        <v>5683.65</v>
      </c>
      <c r="C5" s="2"/>
      <c r="F5" s="1">
        <f t="shared" si="0"/>
        <v>1894.55</v>
      </c>
      <c r="G5" s="4">
        <f t="shared" si="1"/>
        <v>947.27499999999998</v>
      </c>
      <c r="H5" s="4">
        <f t="shared" si="2"/>
        <v>473.63749999999999</v>
      </c>
      <c r="I5" s="4">
        <f t="shared" si="3"/>
        <v>473.63749999999999</v>
      </c>
      <c r="J5" s="1">
        <f t="shared" si="4"/>
        <v>0</v>
      </c>
      <c r="K5" s="1">
        <v>273</v>
      </c>
    </row>
    <row r="6" spans="1:12" x14ac:dyDescent="0.25">
      <c r="A6" t="s">
        <v>17</v>
      </c>
      <c r="B6" s="1">
        <v>5423.69</v>
      </c>
      <c r="C6" s="2"/>
      <c r="F6" s="1">
        <f t="shared" si="0"/>
        <v>1807.8966666666665</v>
      </c>
      <c r="G6" s="4">
        <f t="shared" si="1"/>
        <v>903.94833333333327</v>
      </c>
      <c r="H6" s="4">
        <f t="shared" si="2"/>
        <v>451.97416666666663</v>
      </c>
      <c r="I6" s="4">
        <f t="shared" si="3"/>
        <v>451.97416666666663</v>
      </c>
      <c r="J6" s="1">
        <f>(B6*D6)/12</f>
        <v>0</v>
      </c>
      <c r="K6" s="1">
        <v>138</v>
      </c>
      <c r="L6" s="4"/>
    </row>
    <row r="7" spans="1:12" x14ac:dyDescent="0.25">
      <c r="A7" t="s">
        <v>18</v>
      </c>
      <c r="B7" s="1">
        <v>0</v>
      </c>
      <c r="F7" s="1">
        <f t="shared" si="0"/>
        <v>0</v>
      </c>
      <c r="G7" s="4">
        <f t="shared" si="1"/>
        <v>0</v>
      </c>
      <c r="H7" s="4">
        <f t="shared" si="2"/>
        <v>0</v>
      </c>
      <c r="I7" s="4">
        <f t="shared" si="3"/>
        <v>0</v>
      </c>
      <c r="J7" s="1">
        <f t="shared" si="4"/>
        <v>0</v>
      </c>
      <c r="K7" s="1">
        <v>140</v>
      </c>
    </row>
    <row r="8" spans="1:12" x14ac:dyDescent="0.25">
      <c r="A8" t="s">
        <v>19</v>
      </c>
      <c r="B8" s="1">
        <v>12108.43</v>
      </c>
      <c r="F8" s="1">
        <f t="shared" si="0"/>
        <v>4036.1433333333334</v>
      </c>
      <c r="G8" s="4">
        <f t="shared" si="1"/>
        <v>2018.0716666666667</v>
      </c>
      <c r="H8" s="4">
        <f t="shared" si="2"/>
        <v>1009.0358333333334</v>
      </c>
      <c r="I8" s="4">
        <f t="shared" si="3"/>
        <v>1009.0358333333334</v>
      </c>
      <c r="J8" s="1">
        <f t="shared" si="4"/>
        <v>0</v>
      </c>
      <c r="K8" s="1">
        <v>471</v>
      </c>
    </row>
    <row r="9" spans="1:12" x14ac:dyDescent="0.25">
      <c r="A9" t="s">
        <v>38</v>
      </c>
      <c r="B9" s="1">
        <v>0</v>
      </c>
      <c r="C9" s="2"/>
      <c r="F9" s="1">
        <f t="shared" si="0"/>
        <v>0</v>
      </c>
      <c r="G9" s="4">
        <f t="shared" si="1"/>
        <v>0</v>
      </c>
      <c r="H9" s="4">
        <f t="shared" si="2"/>
        <v>0</v>
      </c>
      <c r="I9" s="4">
        <f t="shared" si="3"/>
        <v>0</v>
      </c>
      <c r="J9" s="1">
        <f t="shared" si="4"/>
        <v>0</v>
      </c>
    </row>
    <row r="10" spans="1:12" x14ac:dyDescent="0.25">
      <c r="A10" t="s">
        <v>21</v>
      </c>
      <c r="B10" s="1">
        <v>1112.6199999999999</v>
      </c>
      <c r="C10" s="2"/>
      <c r="F10" s="1">
        <f t="shared" si="0"/>
        <v>370.87333333333328</v>
      </c>
      <c r="G10" s="4">
        <f t="shared" si="1"/>
        <v>185.43666666666664</v>
      </c>
      <c r="H10" s="4">
        <f t="shared" si="2"/>
        <v>92.71833333333332</v>
      </c>
      <c r="I10" s="4">
        <f t="shared" si="3"/>
        <v>92.71833333333332</v>
      </c>
      <c r="J10" s="1">
        <f t="shared" si="4"/>
        <v>0</v>
      </c>
    </row>
    <row r="11" spans="1:12" x14ac:dyDescent="0.25">
      <c r="A11" t="s">
        <v>22</v>
      </c>
      <c r="B11" s="1">
        <v>668.13</v>
      </c>
      <c r="C11" s="2"/>
      <c r="F11" s="1">
        <f t="shared" si="0"/>
        <v>222.71</v>
      </c>
      <c r="G11" s="4">
        <f t="shared" si="1"/>
        <v>111.355</v>
      </c>
      <c r="H11" s="4">
        <f>G11/2</f>
        <v>55.677500000000002</v>
      </c>
      <c r="I11" s="4">
        <f t="shared" si="3"/>
        <v>55.677500000000002</v>
      </c>
      <c r="J11" s="1">
        <f t="shared" si="4"/>
        <v>0</v>
      </c>
    </row>
    <row r="12" spans="1:12" x14ac:dyDescent="0.25">
      <c r="A12" t="s">
        <v>10</v>
      </c>
      <c r="B12" s="1">
        <v>34423.360000000001</v>
      </c>
      <c r="F12" s="1">
        <f t="shared" si="0"/>
        <v>11474.453333333333</v>
      </c>
      <c r="G12" s="4">
        <f t="shared" si="1"/>
        <v>5737.2266666666665</v>
      </c>
      <c r="H12" s="4">
        <f t="shared" si="2"/>
        <v>2868.6133333333332</v>
      </c>
      <c r="I12" s="4">
        <f t="shared" si="3"/>
        <v>2868.6133333333332</v>
      </c>
      <c r="J12" s="1">
        <f t="shared" si="4"/>
        <v>0</v>
      </c>
    </row>
    <row r="13" spans="1:12" x14ac:dyDescent="0.25">
      <c r="A13" t="s">
        <v>56</v>
      </c>
      <c r="F13" s="1">
        <f t="shared" si="0"/>
        <v>0</v>
      </c>
      <c r="G13" s="4">
        <f t="shared" si="1"/>
        <v>0</v>
      </c>
      <c r="H13" s="4">
        <f t="shared" si="2"/>
        <v>0</v>
      </c>
      <c r="I13" s="4">
        <f t="shared" si="3"/>
        <v>0</v>
      </c>
      <c r="J13" s="1">
        <f t="shared" si="4"/>
        <v>0</v>
      </c>
    </row>
    <row r="14" spans="1:12" x14ac:dyDescent="0.25">
      <c r="A14" t="s">
        <v>35</v>
      </c>
      <c r="B14" s="1">
        <v>0</v>
      </c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  <c r="J14" s="1">
        <f t="shared" si="4"/>
        <v>0</v>
      </c>
    </row>
    <row r="15" spans="1:12" x14ac:dyDescent="0.25">
      <c r="A15" t="s">
        <v>52</v>
      </c>
      <c r="B15" s="1">
        <v>13.59</v>
      </c>
      <c r="F15" s="1">
        <f t="shared" si="0"/>
        <v>4.53</v>
      </c>
      <c r="G15" s="4">
        <f t="shared" si="1"/>
        <v>2.2650000000000001</v>
      </c>
      <c r="H15" s="4">
        <f t="shared" si="2"/>
        <v>1.1325000000000001</v>
      </c>
      <c r="I15" s="4">
        <f t="shared" si="3"/>
        <v>1.1325000000000001</v>
      </c>
      <c r="J15" s="1">
        <f t="shared" si="4"/>
        <v>0</v>
      </c>
    </row>
    <row r="16" spans="1:12" x14ac:dyDescent="0.25">
      <c r="A16" t="s">
        <v>39</v>
      </c>
      <c r="B16" s="1">
        <v>9095.5</v>
      </c>
      <c r="F16" s="1">
        <f>B16/3</f>
        <v>3031.8333333333335</v>
      </c>
      <c r="G16" s="4">
        <f>B16/6</f>
        <v>1515.9166666666667</v>
      </c>
      <c r="H16" s="4">
        <f t="shared" si="2"/>
        <v>757.95833333333337</v>
      </c>
      <c r="I16" s="4">
        <f>B16/12</f>
        <v>757.95833333333337</v>
      </c>
      <c r="J16" s="1">
        <f t="shared" si="4"/>
        <v>0</v>
      </c>
    </row>
    <row r="17" spans="1:16" x14ac:dyDescent="0.25">
      <c r="A17" t="s">
        <v>57</v>
      </c>
      <c r="B17" s="1">
        <v>48013.56</v>
      </c>
      <c r="F17" s="1">
        <f>B17/3</f>
        <v>16004.519999999999</v>
      </c>
      <c r="G17" s="4">
        <f>B17/6</f>
        <v>8002.2599999999993</v>
      </c>
      <c r="H17" s="4">
        <f t="shared" si="2"/>
        <v>4001.1299999999997</v>
      </c>
      <c r="I17" s="4">
        <f>B17/12</f>
        <v>4001.1299999999997</v>
      </c>
      <c r="J17" s="1">
        <f t="shared" si="4"/>
        <v>0</v>
      </c>
    </row>
    <row r="18" spans="1:16" x14ac:dyDescent="0.25">
      <c r="A18" t="s">
        <v>107</v>
      </c>
      <c r="B18" s="1">
        <v>4160</v>
      </c>
      <c r="F18" s="1">
        <f>B18/3</f>
        <v>1386.6666666666667</v>
      </c>
      <c r="G18" s="4">
        <f>B18/6</f>
        <v>693.33333333333337</v>
      </c>
      <c r="H18" s="4">
        <f t="shared" si="2"/>
        <v>346.66666666666669</v>
      </c>
      <c r="I18" s="4">
        <f>B18/12</f>
        <v>346.66666666666669</v>
      </c>
      <c r="J18" s="1">
        <f t="shared" si="4"/>
        <v>0</v>
      </c>
    </row>
    <row r="20" spans="1:16" x14ac:dyDescent="0.25">
      <c r="B20" s="1">
        <f>SUM(B2:B19)</f>
        <v>140048.99</v>
      </c>
      <c r="D20" s="3">
        <f>AVERAGE(D2:D19)</f>
        <v>0</v>
      </c>
      <c r="E20" s="1">
        <f>SUM(E2:E19)</f>
        <v>0</v>
      </c>
      <c r="F20" s="1">
        <f>SUM(F2:F19)</f>
        <v>46682.996666666659</v>
      </c>
      <c r="G20" s="1">
        <f>SUM(G2:G19)</f>
        <v>23341.498333333329</v>
      </c>
      <c r="H20" s="1"/>
      <c r="I20" s="1">
        <f>SUM(I2:I19)</f>
        <v>11670.749166666665</v>
      </c>
      <c r="J20" s="1">
        <f>SUM(J2:J19)</f>
        <v>0</v>
      </c>
      <c r="K20" s="1">
        <f>SUM(K2:K19)</f>
        <v>1340</v>
      </c>
    </row>
    <row r="21" spans="1:16" x14ac:dyDescent="0.25">
      <c r="J21" s="1">
        <f>(B20*D20)/12</f>
        <v>0</v>
      </c>
    </row>
    <row r="23" spans="1:16" x14ac:dyDescent="0.25">
      <c r="A23" s="8" t="s">
        <v>36</v>
      </c>
      <c r="B23" s="18">
        <v>0</v>
      </c>
      <c r="C23" s="1">
        <v>3374.19</v>
      </c>
      <c r="D23" s="1">
        <v>3374.19</v>
      </c>
      <c r="F23" s="6"/>
    </row>
    <row r="24" spans="1:16" x14ac:dyDescent="0.25">
      <c r="A24" s="8" t="s">
        <v>37</v>
      </c>
      <c r="B24" s="15">
        <v>550</v>
      </c>
      <c r="C24" s="19"/>
      <c r="D24" s="1">
        <v>550</v>
      </c>
      <c r="F24" s="6">
        <v>43926</v>
      </c>
    </row>
    <row r="25" spans="1:16" x14ac:dyDescent="0.25">
      <c r="A25" s="8" t="s">
        <v>24</v>
      </c>
      <c r="B25" s="15">
        <f>D25</f>
        <v>847.62</v>
      </c>
      <c r="C25" s="18"/>
      <c r="D25" s="1">
        <v>847.62</v>
      </c>
      <c r="E25" s="12">
        <f>SUM(B25:B25)</f>
        <v>847.62</v>
      </c>
      <c r="F25" s="7"/>
      <c r="P25" s="1">
        <v>11538.46</v>
      </c>
    </row>
    <row r="26" spans="1:16" x14ac:dyDescent="0.25">
      <c r="A26" s="8" t="s">
        <v>39</v>
      </c>
      <c r="B26" s="18">
        <v>0</v>
      </c>
      <c r="C26" s="1">
        <v>1207.1300000000001</v>
      </c>
      <c r="D26" s="1">
        <v>1207.1300000000001</v>
      </c>
      <c r="P26" s="4">
        <f>P25*P27</f>
        <v>461.53839999999997</v>
      </c>
    </row>
    <row r="27" spans="1:16" x14ac:dyDescent="0.25">
      <c r="A27" s="8" t="s">
        <v>57</v>
      </c>
      <c r="B27" s="15">
        <v>1382.89</v>
      </c>
      <c r="C27" s="18"/>
      <c r="D27" s="1">
        <v>1382.89</v>
      </c>
      <c r="P27" s="20">
        <v>0.04</v>
      </c>
    </row>
    <row r="28" spans="1:16" x14ac:dyDescent="0.25">
      <c r="A28" s="8" t="s">
        <v>12</v>
      </c>
      <c r="B28" s="15">
        <v>140</v>
      </c>
      <c r="C28" s="18"/>
      <c r="M28" s="1"/>
      <c r="P28" s="1">
        <f>P25+P26</f>
        <v>11999.998399999999</v>
      </c>
    </row>
    <row r="29" spans="1:16" x14ac:dyDescent="0.25">
      <c r="A29" s="8" t="s">
        <v>14</v>
      </c>
      <c r="B29" s="15">
        <v>200</v>
      </c>
      <c r="C29" s="18"/>
      <c r="I29" t="s">
        <v>11</v>
      </c>
      <c r="J29" s="1">
        <v>0</v>
      </c>
      <c r="M29" s="18">
        <f>O29</f>
        <v>0</v>
      </c>
    </row>
    <row r="30" spans="1:16" x14ac:dyDescent="0.25">
      <c r="A30" s="8" t="s">
        <v>15</v>
      </c>
      <c r="B30" s="15">
        <v>93.92</v>
      </c>
      <c r="C30" s="18"/>
      <c r="I30" t="s">
        <v>12</v>
      </c>
      <c r="J30" s="13">
        <v>2596.11</v>
      </c>
      <c r="M30" s="18"/>
    </row>
    <row r="31" spans="1:16" x14ac:dyDescent="0.25">
      <c r="A31" s="8" t="s">
        <v>16</v>
      </c>
      <c r="B31" s="15">
        <v>83.65</v>
      </c>
      <c r="C31" s="18"/>
      <c r="G31" s="1"/>
      <c r="I31" t="s">
        <v>13</v>
      </c>
      <c r="J31" s="1">
        <v>0</v>
      </c>
      <c r="M31" s="1">
        <v>1382.89</v>
      </c>
    </row>
    <row r="32" spans="1:16" x14ac:dyDescent="0.25">
      <c r="A32" s="8" t="s">
        <v>17</v>
      </c>
      <c r="B32" s="15">
        <v>174</v>
      </c>
      <c r="C32" s="18"/>
      <c r="I32" t="s">
        <v>14</v>
      </c>
      <c r="K32" s="1">
        <v>1275.21</v>
      </c>
      <c r="M32" s="18">
        <v>140</v>
      </c>
    </row>
    <row r="33" spans="1:13" x14ac:dyDescent="0.25">
      <c r="A33" s="8" t="s">
        <v>18</v>
      </c>
      <c r="B33" s="18">
        <v>0</v>
      </c>
      <c r="C33" s="18"/>
      <c r="G33" s="13"/>
      <c r="I33" t="s">
        <v>15</v>
      </c>
      <c r="K33" s="1">
        <v>6219.78</v>
      </c>
      <c r="M33" s="18">
        <v>200</v>
      </c>
    </row>
    <row r="34" spans="1:13" x14ac:dyDescent="0.25">
      <c r="A34" s="8" t="s">
        <v>19</v>
      </c>
      <c r="B34" s="15">
        <v>250</v>
      </c>
      <c r="C34" s="15">
        <v>250</v>
      </c>
      <c r="G34" s="1"/>
      <c r="I34" t="s">
        <v>16</v>
      </c>
      <c r="K34" s="1">
        <v>7107</v>
      </c>
      <c r="M34" s="18">
        <v>93.92</v>
      </c>
    </row>
    <row r="35" spans="1:13" x14ac:dyDescent="0.25">
      <c r="A35" s="8" t="s">
        <v>38</v>
      </c>
      <c r="B35" s="18">
        <v>0</v>
      </c>
      <c r="C35" s="18"/>
      <c r="G35" s="1"/>
      <c r="I35" t="s">
        <v>17</v>
      </c>
      <c r="J35" s="1">
        <v>3714.28</v>
      </c>
      <c r="M35" s="18">
        <v>83.65</v>
      </c>
    </row>
    <row r="36" spans="1:13" x14ac:dyDescent="0.25">
      <c r="A36" s="8" t="s">
        <v>21</v>
      </c>
      <c r="B36" s="15">
        <v>300</v>
      </c>
      <c r="C36" s="18"/>
      <c r="I36" t="s">
        <v>18</v>
      </c>
      <c r="J36" s="1">
        <v>3819.28</v>
      </c>
      <c r="M36" s="18">
        <v>174</v>
      </c>
    </row>
    <row r="37" spans="1:13" x14ac:dyDescent="0.25">
      <c r="A37" s="8" t="s">
        <v>22</v>
      </c>
      <c r="B37" s="15">
        <v>148</v>
      </c>
      <c r="C37" s="18"/>
      <c r="G37" s="14"/>
      <c r="I37" t="s">
        <v>19</v>
      </c>
      <c r="K37" s="1">
        <v>15593.49</v>
      </c>
      <c r="M37" s="18">
        <v>0</v>
      </c>
    </row>
    <row r="38" spans="1:13" x14ac:dyDescent="0.25">
      <c r="A38" s="8" t="s">
        <v>10</v>
      </c>
      <c r="B38" s="18">
        <v>1000</v>
      </c>
      <c r="C38" s="18"/>
      <c r="I38" t="s">
        <v>20</v>
      </c>
      <c r="J38" s="1">
        <v>0</v>
      </c>
      <c r="M38" s="18"/>
    </row>
    <row r="39" spans="1:13" s="3" customFormat="1" x14ac:dyDescent="0.25">
      <c r="A39" s="8" t="s">
        <v>35</v>
      </c>
      <c r="B39" s="18">
        <v>0</v>
      </c>
      <c r="C39" s="18"/>
      <c r="E39" s="1"/>
      <c r="F39" s="1"/>
      <c r="G39" s="4"/>
      <c r="H39"/>
      <c r="I39" t="s">
        <v>38</v>
      </c>
      <c r="J39" s="1">
        <v>0</v>
      </c>
      <c r="K39" s="1"/>
      <c r="L39"/>
      <c r="M39" s="18">
        <v>0</v>
      </c>
    </row>
    <row r="40" spans="1:13" s="3" customFormat="1" x14ac:dyDescent="0.25">
      <c r="A40" s="8" t="s">
        <v>33</v>
      </c>
      <c r="B40" s="15">
        <v>246</v>
      </c>
      <c r="C40" s="18"/>
      <c r="E40" s="1"/>
      <c r="F40" s="1"/>
      <c r="G40"/>
      <c r="H40"/>
      <c r="I40" t="s">
        <v>21</v>
      </c>
      <c r="J40" s="1">
        <v>0</v>
      </c>
      <c r="K40" s="1"/>
      <c r="L40"/>
      <c r="M40" s="18">
        <v>300</v>
      </c>
    </row>
    <row r="41" spans="1:13" s="3" customFormat="1" x14ac:dyDescent="0.25">
      <c r="A41" s="8" t="s">
        <v>44</v>
      </c>
      <c r="B41" s="18">
        <v>0</v>
      </c>
      <c r="C41" s="18"/>
      <c r="E41" s="1"/>
      <c r="F41" s="1"/>
      <c r="G41"/>
      <c r="H41"/>
      <c r="I41" t="s">
        <v>22</v>
      </c>
      <c r="K41" s="1">
        <v>1642.23</v>
      </c>
      <c r="L41"/>
      <c r="M41" s="18">
        <v>148</v>
      </c>
    </row>
    <row r="42" spans="1:13" x14ac:dyDescent="0.25">
      <c r="A42" s="8" t="s">
        <v>45</v>
      </c>
      <c r="B42" s="18">
        <v>0</v>
      </c>
      <c r="C42" s="18"/>
      <c r="D42" s="1"/>
      <c r="I42" t="s">
        <v>10</v>
      </c>
      <c r="J42" s="1">
        <v>10000</v>
      </c>
      <c r="K42" s="1">
        <v>36358.93</v>
      </c>
      <c r="M42" s="18">
        <v>1000</v>
      </c>
    </row>
    <row r="43" spans="1:13" s="3" customFormat="1" x14ac:dyDescent="0.25">
      <c r="A43" s="8" t="s">
        <v>52</v>
      </c>
      <c r="B43" s="18">
        <v>0</v>
      </c>
      <c r="C43" s="18"/>
      <c r="D43" s="1"/>
      <c r="E43" s="1"/>
      <c r="F43" s="1"/>
      <c r="G43"/>
      <c r="H43"/>
      <c r="I43" t="s">
        <v>35</v>
      </c>
      <c r="J43" s="1">
        <v>0</v>
      </c>
      <c r="K43" s="1"/>
      <c r="L43"/>
      <c r="M43" s="18">
        <v>0</v>
      </c>
    </row>
    <row r="44" spans="1:13" s="3" customFormat="1" x14ac:dyDescent="0.25">
      <c r="A44" s="8" t="s">
        <v>55</v>
      </c>
      <c r="B44" s="18">
        <v>0</v>
      </c>
      <c r="D44" s="1"/>
      <c r="E44" s="1"/>
      <c r="F44" s="1"/>
      <c r="H44"/>
      <c r="I44"/>
      <c r="J44" s="1"/>
      <c r="K44" s="1"/>
      <c r="L44"/>
      <c r="M44" s="18">
        <v>246</v>
      </c>
    </row>
    <row r="45" spans="1:13" s="3" customFormat="1" x14ac:dyDescent="0.25">
      <c r="A45" s="8" t="s">
        <v>107</v>
      </c>
      <c r="B45" s="15">
        <v>1</v>
      </c>
      <c r="D45" s="1"/>
      <c r="E45" s="1"/>
      <c r="F45" s="1"/>
      <c r="H45"/>
      <c r="I45"/>
      <c r="J45" s="1"/>
      <c r="K45" s="1"/>
      <c r="L45"/>
    </row>
    <row r="46" spans="1:13" s="3" customFormat="1" x14ac:dyDescent="0.25">
      <c r="A46" s="8"/>
      <c r="B46" s="1"/>
      <c r="C46" s="1"/>
      <c r="E46" s="1"/>
      <c r="F46" s="1"/>
      <c r="H46"/>
      <c r="I46"/>
      <c r="J46" s="1"/>
      <c r="K46" s="1"/>
      <c r="L46"/>
      <c r="M46" s="12">
        <f>SUM(M28:M45)</f>
        <v>3768.46</v>
      </c>
    </row>
    <row r="47" spans="1:13" s="3" customFormat="1" x14ac:dyDescent="0.25">
      <c r="A47" s="8" t="s">
        <v>41</v>
      </c>
      <c r="B47" s="1">
        <f>SUM(B23:B46)</f>
        <v>5417.08</v>
      </c>
      <c r="C47" s="1">
        <f>SUM(C23:C46)</f>
        <v>4831.32</v>
      </c>
      <c r="D47" s="1">
        <f>SUM(D24:D46)</f>
        <v>3987.6400000000003</v>
      </c>
      <c r="E47" s="1"/>
      <c r="F47" s="1"/>
      <c r="H47"/>
      <c r="I47"/>
      <c r="J47" s="1"/>
      <c r="K47" s="1"/>
      <c r="L47"/>
      <c r="M47" s="1">
        <v>795.35</v>
      </c>
    </row>
    <row r="48" spans="1:13" s="3" customFormat="1" x14ac:dyDescent="0.25">
      <c r="A48"/>
      <c r="B48" s="1"/>
      <c r="C48"/>
      <c r="E48" s="1"/>
      <c r="F48" s="1"/>
      <c r="G48"/>
      <c r="H48"/>
      <c r="I48"/>
      <c r="J48" s="1"/>
      <c r="K48" s="1"/>
      <c r="L48"/>
      <c r="M48" s="12">
        <f>M46-M47</f>
        <v>2973.11</v>
      </c>
    </row>
    <row r="49" spans="1:10" x14ac:dyDescent="0.25">
      <c r="A49" s="8" t="s">
        <v>40</v>
      </c>
      <c r="B49" s="9">
        <v>3889.12</v>
      </c>
      <c r="C49" s="9">
        <v>3889.12</v>
      </c>
      <c r="J49" s="1">
        <f>SUM(J29:J43)</f>
        <v>20129.669999999998</v>
      </c>
    </row>
    <row r="51" spans="1:10" x14ac:dyDescent="0.25">
      <c r="A51" t="s">
        <v>42</v>
      </c>
      <c r="B51" s="1">
        <f>B49-B47</f>
        <v>-1527.96</v>
      </c>
      <c r="C51" s="1">
        <f>C49-C47</f>
        <v>-942.19999999999982</v>
      </c>
      <c r="I51" t="s">
        <v>39</v>
      </c>
      <c r="J51" s="1">
        <v>35056.15</v>
      </c>
    </row>
    <row r="53" spans="1:10" x14ac:dyDescent="0.25">
      <c r="J53" s="1">
        <f>J51-J49</f>
        <v>14926.480000000003</v>
      </c>
    </row>
  </sheetData>
  <autoFilter ref="A1:K12" xr:uid="{1F705934-551F-4A30-809C-BD2B1658412C}">
    <sortState xmlns:xlrd2="http://schemas.microsoft.com/office/spreadsheetml/2017/richdata2" ref="A2:K12">
      <sortCondition descending="1" ref="D1:D1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6766-B451-4C79-8643-628778081817}">
  <dimension ref="A1:AD68"/>
  <sheetViews>
    <sheetView topLeftCell="A22" workbookViewId="0">
      <pane xSplit="1" topLeftCell="B1" activePane="topRight" state="frozen"/>
      <selection pane="topRight" activeCell="F32" sqref="F32"/>
    </sheetView>
  </sheetViews>
  <sheetFormatPr defaultRowHeight="15" x14ac:dyDescent="0.25"/>
  <cols>
    <col min="1" max="1" width="7.28515625" bestFit="1" customWidth="1"/>
    <col min="2" max="2" width="13" customWidth="1"/>
    <col min="3" max="3" width="20.7109375" style="1" bestFit="1" customWidth="1"/>
    <col min="4" max="4" width="8.5703125" style="1" bestFit="1" customWidth="1"/>
    <col min="5" max="7" width="9.7109375" bestFit="1" customWidth="1"/>
    <col min="8" max="11" width="10.7109375" bestFit="1" customWidth="1"/>
    <col min="12" max="18" width="9.7109375" bestFit="1" customWidth="1"/>
    <col min="19" max="19" width="9.7109375" customWidth="1"/>
    <col min="20" max="22" width="10.7109375" bestFit="1" customWidth="1"/>
    <col min="23" max="27" width="10.7109375" customWidth="1"/>
  </cols>
  <sheetData>
    <row r="1" spans="1:30" x14ac:dyDescent="0.25">
      <c r="C1" s="1" t="s">
        <v>117</v>
      </c>
      <c r="D1" s="1" t="s">
        <v>118</v>
      </c>
      <c r="E1" s="6">
        <v>43276</v>
      </c>
      <c r="F1" s="2">
        <v>43306</v>
      </c>
      <c r="G1" s="2">
        <v>43337</v>
      </c>
      <c r="H1" s="2">
        <v>43368</v>
      </c>
      <c r="I1" s="2">
        <v>43398</v>
      </c>
      <c r="J1" s="2">
        <v>43429</v>
      </c>
      <c r="K1" s="2">
        <v>43459</v>
      </c>
      <c r="L1" s="2">
        <v>43490</v>
      </c>
      <c r="M1" s="2">
        <v>43521</v>
      </c>
      <c r="N1" s="2">
        <v>43549</v>
      </c>
      <c r="O1" s="2">
        <v>43580</v>
      </c>
      <c r="P1" s="2">
        <v>43610</v>
      </c>
      <c r="Q1" s="2">
        <v>43641</v>
      </c>
      <c r="R1" s="2">
        <v>43671</v>
      </c>
      <c r="S1" s="2">
        <v>43702</v>
      </c>
      <c r="T1" s="2">
        <v>43733</v>
      </c>
      <c r="U1" s="2">
        <v>43763</v>
      </c>
      <c r="V1" s="2">
        <v>43794</v>
      </c>
      <c r="W1" s="2">
        <v>43824</v>
      </c>
      <c r="X1" s="2">
        <v>43855</v>
      </c>
      <c r="Y1" s="2">
        <v>43886</v>
      </c>
      <c r="Z1" s="2">
        <v>43915</v>
      </c>
      <c r="AA1" s="2">
        <v>43946</v>
      </c>
      <c r="AB1" s="2"/>
    </row>
    <row r="2" spans="1:30" x14ac:dyDescent="0.25">
      <c r="A2" t="s">
        <v>25</v>
      </c>
      <c r="B2" t="s">
        <v>26</v>
      </c>
      <c r="C2" s="1">
        <v>25.11</v>
      </c>
      <c r="D2" s="1">
        <v>50</v>
      </c>
      <c r="E2" s="1"/>
      <c r="F2" s="4">
        <f>90.06-$C$2</f>
        <v>64.95</v>
      </c>
      <c r="G2" s="4">
        <f>64.92-C2</f>
        <v>39.81</v>
      </c>
      <c r="H2" s="4">
        <f>90.06-C2</f>
        <v>64.95</v>
      </c>
      <c r="I2" s="4">
        <f>27.4-C2</f>
        <v>2.2899999999999991</v>
      </c>
      <c r="J2" s="4">
        <f>27.4-C2</f>
        <v>2.2899999999999991</v>
      </c>
      <c r="K2" s="4">
        <f>27.4-$C$2</f>
        <v>2.2899999999999991</v>
      </c>
      <c r="L2" s="4">
        <f>24.76-$C$2</f>
        <v>-0.34999999999999787</v>
      </c>
      <c r="M2" s="4">
        <f>28.6-$C$2</f>
        <v>3.490000000000002</v>
      </c>
      <c r="N2" s="4">
        <f>24.76-$C$2</f>
        <v>-0.34999999999999787</v>
      </c>
      <c r="O2" s="4">
        <f>36.13-$C$2</f>
        <v>11.020000000000003</v>
      </c>
      <c r="P2" s="4">
        <f>24.73-$C$2</f>
        <v>-0.37999999999999901</v>
      </c>
      <c r="Q2" s="4">
        <f>24.73-$C$2</f>
        <v>-0.37999999999999901</v>
      </c>
      <c r="R2" s="4">
        <f>59.87-$C$2</f>
        <v>34.76</v>
      </c>
      <c r="S2" s="4">
        <f>92.75-$C$2</f>
        <v>67.64</v>
      </c>
      <c r="T2" s="4">
        <f>25.11-$C$2</f>
        <v>0</v>
      </c>
      <c r="U2" s="4">
        <f>25.11-$C$2</f>
        <v>0</v>
      </c>
      <c r="V2" s="4">
        <f>25.11-$C$2</f>
        <v>0</v>
      </c>
      <c r="W2" s="4">
        <f>45.63-$C$2</f>
        <v>20.520000000000003</v>
      </c>
      <c r="X2" s="4">
        <f>117.2-$C$2</f>
        <v>92.09</v>
      </c>
      <c r="Y2" s="4">
        <f>25.04-$C$2</f>
        <v>-7.0000000000000284E-2</v>
      </c>
      <c r="Z2" s="4"/>
      <c r="AA2" s="4"/>
      <c r="AB2" s="4"/>
      <c r="AD2" s="4">
        <f>SUM(F2:AC2)</f>
        <v>404.57</v>
      </c>
    </row>
    <row r="3" spans="1:30" x14ac:dyDescent="0.25">
      <c r="A3" t="s">
        <v>27</v>
      </c>
      <c r="B3" t="s">
        <v>28</v>
      </c>
      <c r="C3" s="1">
        <v>20.059999999999999</v>
      </c>
      <c r="E3" s="1"/>
      <c r="G3" s="4">
        <f>31.59-C3</f>
        <v>11.530000000000001</v>
      </c>
      <c r="H3" s="4">
        <f>59.25-C3</f>
        <v>39.19</v>
      </c>
      <c r="I3" s="4">
        <f>21.69-C3</f>
        <v>1.6300000000000026</v>
      </c>
      <c r="J3" s="4">
        <f>21.69-C3</f>
        <v>1.6300000000000026</v>
      </c>
      <c r="K3" s="4">
        <f>21.69-$C$3</f>
        <v>1.6300000000000026</v>
      </c>
      <c r="L3" s="4">
        <f>21.69-$C$3</f>
        <v>1.6300000000000026</v>
      </c>
      <c r="M3" s="4">
        <f>21.69-$C$3</f>
        <v>1.6300000000000026</v>
      </c>
      <c r="N3" s="4">
        <f>21.69-$C$3</f>
        <v>1.6300000000000026</v>
      </c>
      <c r="O3" s="4">
        <f>62.53-$C$3</f>
        <v>42.47</v>
      </c>
      <c r="P3" s="4">
        <f>21.61-$C$3</f>
        <v>1.5500000000000007</v>
      </c>
      <c r="Q3" s="4">
        <f>21.67-$C$3</f>
        <v>1.610000000000003</v>
      </c>
      <c r="R3" s="4">
        <f>20.06-$C$3</f>
        <v>0</v>
      </c>
      <c r="S3" s="4">
        <f>20.06-$C$3</f>
        <v>0</v>
      </c>
      <c r="T3" s="4">
        <f>20.06-$C$3</f>
        <v>0</v>
      </c>
      <c r="U3" s="4">
        <f>20.06-$C$3</f>
        <v>0</v>
      </c>
      <c r="V3" s="4">
        <f>71.36-$C$3</f>
        <v>51.3</v>
      </c>
      <c r="W3" s="4">
        <f>40.58-$C$3</f>
        <v>20.52</v>
      </c>
      <c r="X3" s="4">
        <f>101.93-$C$3</f>
        <v>81.87</v>
      </c>
      <c r="Y3" s="4">
        <f>20.01-$C$3</f>
        <v>-4.9999999999997158E-2</v>
      </c>
      <c r="Z3" s="4"/>
      <c r="AA3" s="4"/>
      <c r="AB3" s="4"/>
      <c r="AD3" s="4">
        <f>SUM(G3:AC3)</f>
        <v>259.77000000000004</v>
      </c>
    </row>
    <row r="4" spans="1:30" x14ac:dyDescent="0.25">
      <c r="A4" t="s">
        <v>29</v>
      </c>
      <c r="B4" t="s">
        <v>26</v>
      </c>
      <c r="C4" s="1">
        <v>25.11</v>
      </c>
      <c r="E4" s="1"/>
      <c r="H4" s="4">
        <f>(86.59-21.67)-$C$4</f>
        <v>39.81</v>
      </c>
      <c r="I4" s="4">
        <f>(49.07-21.67)-C4</f>
        <v>2.2899999999999991</v>
      </c>
      <c r="J4" s="4">
        <f>49.07-21.67-C4</f>
        <v>2.2899999999999991</v>
      </c>
      <c r="K4" s="4">
        <f>49.07-21.67-$C$4</f>
        <v>2.2899999999999991</v>
      </c>
      <c r="L4" s="4">
        <f>46.43-21.67-$C$4</f>
        <v>-0.35000000000000142</v>
      </c>
      <c r="M4" s="4">
        <f>46.43-21.67-$C$4</f>
        <v>-0.35000000000000142</v>
      </c>
      <c r="N4" s="4">
        <f>46.43-21.67-$C$4</f>
        <v>-0.35000000000000142</v>
      </c>
      <c r="O4" s="4">
        <f>24.73-$C$4</f>
        <v>-0.37999999999999901</v>
      </c>
      <c r="P4" s="4">
        <f>24.73-$C$4</f>
        <v>-0.37999999999999901</v>
      </c>
      <c r="Q4" s="4">
        <f>24.73-$C$4</f>
        <v>-0.37999999999999901</v>
      </c>
      <c r="R4" s="4">
        <f>25.11-$C$4</f>
        <v>0</v>
      </c>
      <c r="S4" s="4">
        <f>25.11-$C$4</f>
        <v>0</v>
      </c>
      <c r="T4" s="4">
        <f>25.11-$C$4</f>
        <v>0</v>
      </c>
      <c r="U4" s="4">
        <f>25.11-$C$4</f>
        <v>0</v>
      </c>
      <c r="V4" s="4">
        <f>25.11-$C$4</f>
        <v>0</v>
      </c>
      <c r="W4" s="4">
        <f>55.89-$C$4</f>
        <v>30.78</v>
      </c>
      <c r="X4" s="4">
        <f>66-$C$4</f>
        <v>40.89</v>
      </c>
      <c r="Y4" s="4">
        <f>25.04-$C$4</f>
        <v>-7.0000000000000284E-2</v>
      </c>
      <c r="Z4" s="4"/>
      <c r="AA4" s="4"/>
      <c r="AB4" s="4"/>
      <c r="AD4" s="4">
        <f>SUM(G4:AC4)</f>
        <v>116.09</v>
      </c>
    </row>
    <row r="5" spans="1:30" x14ac:dyDescent="0.25">
      <c r="A5" t="s">
        <v>30</v>
      </c>
      <c r="B5" t="s">
        <v>28</v>
      </c>
      <c r="E5" s="1"/>
      <c r="J5" s="4"/>
    </row>
    <row r="6" spans="1:30" x14ac:dyDescent="0.25">
      <c r="A6" t="s">
        <v>30</v>
      </c>
      <c r="B6" t="s">
        <v>28</v>
      </c>
      <c r="E6" s="1"/>
      <c r="J6" s="4"/>
    </row>
    <row r="8" spans="1:30" s="8" customFormat="1" x14ac:dyDescent="0.25">
      <c r="C8" s="9">
        <f>SUM(C2:C7)</f>
        <v>70.28</v>
      </c>
      <c r="D8" s="31">
        <f>SUM(D2,C3,C4)</f>
        <v>95.17</v>
      </c>
      <c r="E8" s="9">
        <f t="shared" ref="E8:AA8" si="0">SUM(E2:E7)</f>
        <v>0</v>
      </c>
      <c r="F8" s="9">
        <f t="shared" si="0"/>
        <v>64.95</v>
      </c>
      <c r="G8" s="9">
        <f t="shared" si="0"/>
        <v>51.34</v>
      </c>
      <c r="H8" s="9">
        <f t="shared" si="0"/>
        <v>143.94999999999999</v>
      </c>
      <c r="I8" s="9">
        <f t="shared" si="0"/>
        <v>6.2100000000000009</v>
      </c>
      <c r="J8" s="9">
        <f t="shared" si="0"/>
        <v>6.2100000000000009</v>
      </c>
      <c r="K8" s="9">
        <f t="shared" si="0"/>
        <v>6.2100000000000009</v>
      </c>
      <c r="L8" s="9">
        <f t="shared" si="0"/>
        <v>0.93000000000000327</v>
      </c>
      <c r="M8" s="9">
        <f t="shared" si="0"/>
        <v>4.7700000000000031</v>
      </c>
      <c r="N8" s="9">
        <f t="shared" si="0"/>
        <v>0.93000000000000327</v>
      </c>
      <c r="O8" s="9">
        <f t="shared" si="0"/>
        <v>53.11</v>
      </c>
      <c r="P8" s="9">
        <f t="shared" si="0"/>
        <v>0.7900000000000027</v>
      </c>
      <c r="Q8" s="9">
        <f t="shared" si="0"/>
        <v>0.85000000000000497</v>
      </c>
      <c r="R8" s="9">
        <f t="shared" si="0"/>
        <v>34.76</v>
      </c>
      <c r="S8" s="9">
        <f t="shared" si="0"/>
        <v>67.64</v>
      </c>
      <c r="T8" s="9">
        <f t="shared" si="0"/>
        <v>0</v>
      </c>
      <c r="U8" s="9">
        <f t="shared" si="0"/>
        <v>0</v>
      </c>
      <c r="V8" s="9">
        <f t="shared" si="0"/>
        <v>51.3</v>
      </c>
      <c r="W8" s="9">
        <f t="shared" si="0"/>
        <v>71.820000000000007</v>
      </c>
      <c r="X8" s="9">
        <f t="shared" si="0"/>
        <v>214.85000000000002</v>
      </c>
      <c r="Y8" s="9">
        <f t="shared" si="0"/>
        <v>-0.18999999999999773</v>
      </c>
      <c r="Z8" s="9">
        <f t="shared" si="0"/>
        <v>0</v>
      </c>
      <c r="AA8" s="9">
        <f t="shared" si="0"/>
        <v>0</v>
      </c>
      <c r="AC8" s="10">
        <f>SUM(E8:AB8)</f>
        <v>780.43000000000006</v>
      </c>
    </row>
    <row r="9" spans="1:30" x14ac:dyDescent="0.25">
      <c r="E9" s="1"/>
      <c r="F9" s="1"/>
      <c r="G9" s="1"/>
      <c r="H9" s="4"/>
      <c r="J9" s="8">
        <v>2018</v>
      </c>
      <c r="K9" s="10">
        <f>SUM(E8:K8)</f>
        <v>278.86999999999995</v>
      </c>
      <c r="V9" s="8">
        <v>2019</v>
      </c>
      <c r="W9" s="10">
        <f>SUM(L8:W8)</f>
        <v>286.90000000000003</v>
      </c>
    </row>
    <row r="10" spans="1:30" x14ac:dyDescent="0.25">
      <c r="B10">
        <v>3</v>
      </c>
      <c r="C10" s="1">
        <f>E22*B10</f>
        <v>24.375</v>
      </c>
      <c r="E10" s="1"/>
      <c r="F10" s="1"/>
      <c r="G10" s="1"/>
      <c r="H10" s="4"/>
    </row>
    <row r="11" spans="1:30" x14ac:dyDescent="0.25">
      <c r="B11">
        <v>2</v>
      </c>
      <c r="C11" s="1">
        <f>E23*B11</f>
        <v>32.857142857142854</v>
      </c>
      <c r="E11" s="1"/>
      <c r="F11" s="1"/>
      <c r="G11" s="1"/>
      <c r="H11" s="4"/>
    </row>
    <row r="12" spans="1:30" x14ac:dyDescent="0.25">
      <c r="C12" s="1">
        <f>SUM(C10:C11)</f>
        <v>57.232142857142854</v>
      </c>
      <c r="E12" s="1"/>
      <c r="F12" s="1"/>
      <c r="G12" s="1"/>
      <c r="H12" s="4"/>
    </row>
    <row r="13" spans="1:30" x14ac:dyDescent="0.25">
      <c r="E13" s="1"/>
      <c r="F13" s="1"/>
      <c r="G13" s="1"/>
      <c r="H13" s="4"/>
    </row>
    <row r="14" spans="1:30" x14ac:dyDescent="0.25">
      <c r="B14" t="s">
        <v>31</v>
      </c>
      <c r="C14" s="1">
        <f>C4-C5</f>
        <v>25.11</v>
      </c>
    </row>
    <row r="15" spans="1:30" x14ac:dyDescent="0.25">
      <c r="O15" s="2"/>
      <c r="P15" s="2"/>
    </row>
    <row r="16" spans="1:30" s="1" customFormat="1" x14ac:dyDescent="0.25">
      <c r="A16" s="1" t="s">
        <v>32</v>
      </c>
      <c r="B16" s="1" t="s">
        <v>26</v>
      </c>
      <c r="C16" s="1">
        <f>27.4+25</f>
        <v>52.4</v>
      </c>
      <c r="D16" s="1">
        <f>85.58</f>
        <v>85.58</v>
      </c>
      <c r="E16" s="1">
        <f>92.42</f>
        <v>92.42</v>
      </c>
      <c r="F16" s="1">
        <f>61.13</f>
        <v>61.13</v>
      </c>
      <c r="G16" s="1">
        <v>59.56</v>
      </c>
      <c r="H16" s="1">
        <v>60.58</v>
      </c>
      <c r="I16" s="1">
        <v>122.86</v>
      </c>
      <c r="J16" s="1">
        <v>65.83</v>
      </c>
      <c r="K16" s="1">
        <v>56.27</v>
      </c>
      <c r="L16" s="1">
        <v>56.16</v>
      </c>
      <c r="M16" s="1">
        <v>152.30000000000001</v>
      </c>
      <c r="N16" s="1">
        <v>82.43</v>
      </c>
      <c r="O16" s="1">
        <v>81.12</v>
      </c>
      <c r="P16" s="1">
        <v>80.78</v>
      </c>
      <c r="Q16" s="1">
        <v>82.16</v>
      </c>
    </row>
    <row r="17" spans="2:27" s="8" customFormat="1" x14ac:dyDescent="0.25">
      <c r="C17" s="1">
        <f>25.11+47.92</f>
        <v>73.03</v>
      </c>
      <c r="D17" s="10">
        <f>D16-C16</f>
        <v>33.18</v>
      </c>
      <c r="E17" s="10">
        <f>E16-C16</f>
        <v>40.020000000000003</v>
      </c>
      <c r="F17" s="10">
        <f>F16-C16</f>
        <v>8.730000000000004</v>
      </c>
      <c r="G17" s="10">
        <f>G16-C16</f>
        <v>7.1600000000000037</v>
      </c>
      <c r="H17" s="10">
        <f>H16-C16</f>
        <v>8.18</v>
      </c>
      <c r="I17" s="10">
        <f>I16-$C$16</f>
        <v>70.460000000000008</v>
      </c>
      <c r="J17" s="10">
        <f>J16-$C$16</f>
        <v>13.43</v>
      </c>
      <c r="K17" s="10">
        <f>K16-$C$16</f>
        <v>3.8700000000000045</v>
      </c>
      <c r="L17" s="10">
        <f>L16-$C$16</f>
        <v>3.759999999999998</v>
      </c>
      <c r="M17" s="10">
        <f>(M16-C17)-30</f>
        <v>49.27000000000001</v>
      </c>
      <c r="N17" s="10">
        <f>N16-$C$17</f>
        <v>9.4000000000000057</v>
      </c>
      <c r="O17" s="10">
        <f>O16-$C$17</f>
        <v>8.0900000000000034</v>
      </c>
      <c r="P17" s="10">
        <f>P16-$C$17</f>
        <v>7.75</v>
      </c>
      <c r="Q17" s="10">
        <f>Q16-$C$17</f>
        <v>9.1299999999999955</v>
      </c>
      <c r="R17" s="10">
        <f>R16-$C$17</f>
        <v>-73.03</v>
      </c>
      <c r="S17" s="10"/>
      <c r="T17" s="10"/>
      <c r="U17" s="10"/>
      <c r="V17" s="10"/>
      <c r="W17" s="10"/>
      <c r="X17" s="10"/>
      <c r="Y17" s="10"/>
      <c r="Z17" s="10"/>
      <c r="AA17" s="10"/>
    </row>
    <row r="22" spans="2:27" x14ac:dyDescent="0.25">
      <c r="B22" t="s">
        <v>28</v>
      </c>
      <c r="C22" s="1">
        <v>97.5</v>
      </c>
      <c r="D22" s="11">
        <v>12</v>
      </c>
      <c r="E22" s="1">
        <f>C22/D22</f>
        <v>8.125</v>
      </c>
    </row>
    <row r="23" spans="2:27" x14ac:dyDescent="0.25">
      <c r="B23" t="s">
        <v>26</v>
      </c>
      <c r="C23" s="1">
        <v>115</v>
      </c>
      <c r="D23" s="11">
        <v>7</v>
      </c>
      <c r="E23" s="1">
        <f>C23/D23</f>
        <v>16.428571428571427</v>
      </c>
    </row>
    <row r="26" spans="2:27" x14ac:dyDescent="0.25">
      <c r="B26" t="s">
        <v>58</v>
      </c>
      <c r="C26" s="13"/>
      <c r="D26" s="13"/>
      <c r="E26" s="14"/>
      <c r="F26" s="14"/>
      <c r="G26" s="14"/>
      <c r="H26" s="14"/>
      <c r="I26" s="14"/>
      <c r="J26" s="14"/>
      <c r="K26" s="14"/>
      <c r="L26" s="14"/>
    </row>
    <row r="27" spans="2:27" x14ac:dyDescent="0.25"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2:27" x14ac:dyDescent="0.25">
      <c r="B28" t="s">
        <v>64</v>
      </c>
      <c r="C28" s="13">
        <v>98.3</v>
      </c>
      <c r="D28" s="1">
        <f>C28/14</f>
        <v>7.0214285714285714</v>
      </c>
    </row>
    <row r="29" spans="2:27" x14ac:dyDescent="0.25">
      <c r="B29" s="2"/>
      <c r="C29" s="13"/>
    </row>
    <row r="30" spans="2:27" x14ac:dyDescent="0.25">
      <c r="B30" s="2" t="s">
        <v>65</v>
      </c>
      <c r="C30" s="14" t="s">
        <v>66</v>
      </c>
      <c r="D30" s="13">
        <v>55.48</v>
      </c>
      <c r="E30" s="14">
        <f>D30+$D$28</f>
        <v>62.501428571428569</v>
      </c>
      <c r="F30" s="14">
        <f>D30-$D$39</f>
        <v>35.42</v>
      </c>
      <c r="H30" s="1">
        <v>35.42</v>
      </c>
    </row>
    <row r="31" spans="2:27" x14ac:dyDescent="0.25">
      <c r="B31" s="2" t="s">
        <v>67</v>
      </c>
      <c r="C31" s="14" t="s">
        <v>68</v>
      </c>
      <c r="D31" s="13">
        <v>80.48</v>
      </c>
      <c r="E31" s="14">
        <f t="shared" ref="E31:E43" si="1">D31+$D$28</f>
        <v>87.501428571428576</v>
      </c>
      <c r="F31" s="14">
        <f>D31-$D$39</f>
        <v>60.42</v>
      </c>
      <c r="H31" s="1">
        <v>60.42</v>
      </c>
    </row>
    <row r="32" spans="2:27" x14ac:dyDescent="0.25">
      <c r="B32" s="2" t="s">
        <v>69</v>
      </c>
      <c r="C32" s="14" t="s">
        <v>105</v>
      </c>
      <c r="D32" s="13">
        <v>49.23</v>
      </c>
      <c r="E32" s="14">
        <f t="shared" si="1"/>
        <v>56.251428571428569</v>
      </c>
      <c r="F32" s="14">
        <f t="shared" ref="F32:F43" si="2">D32-$D$39</f>
        <v>29.169999999999998</v>
      </c>
      <c r="H32" s="1">
        <v>29.17</v>
      </c>
    </row>
    <row r="33" spans="2:8" x14ac:dyDescent="0.25">
      <c r="B33" s="2" t="s">
        <v>70</v>
      </c>
      <c r="C33" s="14" t="s">
        <v>68</v>
      </c>
      <c r="D33" s="13">
        <v>49.23</v>
      </c>
      <c r="E33" s="14">
        <f t="shared" si="1"/>
        <v>56.251428571428569</v>
      </c>
      <c r="F33" s="14">
        <f t="shared" si="2"/>
        <v>29.169999999999998</v>
      </c>
      <c r="H33" s="1">
        <v>29.17</v>
      </c>
    </row>
    <row r="34" spans="2:8" x14ac:dyDescent="0.25">
      <c r="B34" s="2" t="s">
        <v>71</v>
      </c>
      <c r="C34" s="14" t="s">
        <v>68</v>
      </c>
      <c r="D34" s="13">
        <v>36.729999999999997</v>
      </c>
      <c r="E34" s="14">
        <f t="shared" si="1"/>
        <v>43.751428571428569</v>
      </c>
      <c r="F34" s="14">
        <f t="shared" si="2"/>
        <v>16.669999999999998</v>
      </c>
      <c r="H34" s="1">
        <v>58.34</v>
      </c>
    </row>
    <row r="35" spans="2:8" x14ac:dyDescent="0.25">
      <c r="B35" s="2" t="s">
        <v>72</v>
      </c>
      <c r="C35" s="14" t="s">
        <v>73</v>
      </c>
      <c r="D35" s="13">
        <v>20.059999999999999</v>
      </c>
      <c r="E35" s="14">
        <f t="shared" si="1"/>
        <v>27.081428571428571</v>
      </c>
      <c r="F35" s="14"/>
      <c r="H35" s="1"/>
    </row>
    <row r="36" spans="2:8" x14ac:dyDescent="0.25">
      <c r="B36" s="2" t="s">
        <v>74</v>
      </c>
      <c r="C36" s="14" t="s">
        <v>75</v>
      </c>
      <c r="D36" s="13">
        <v>30.32</v>
      </c>
      <c r="E36" s="14">
        <f t="shared" si="1"/>
        <v>37.341428571428573</v>
      </c>
      <c r="F36" s="14">
        <f>D36-$D$39</f>
        <v>10.260000000000002</v>
      </c>
      <c r="H36" s="1"/>
    </row>
    <row r="37" spans="2:8" x14ac:dyDescent="0.25">
      <c r="B37" s="2" t="s">
        <v>76</v>
      </c>
      <c r="C37" s="14" t="s">
        <v>77</v>
      </c>
      <c r="D37" s="13">
        <v>18.920000000000002</v>
      </c>
      <c r="E37" s="14">
        <f>D37+$D$28</f>
        <v>25.941428571428574</v>
      </c>
      <c r="F37" s="14"/>
      <c r="H37" s="1"/>
    </row>
    <row r="38" spans="2:8" x14ac:dyDescent="0.25">
      <c r="B38" t="s">
        <v>78</v>
      </c>
      <c r="C38" s="1" t="s">
        <v>79</v>
      </c>
      <c r="D38" s="13">
        <v>18.920000000000002</v>
      </c>
      <c r="E38" s="14">
        <f t="shared" si="1"/>
        <v>25.941428571428574</v>
      </c>
      <c r="F38" s="14"/>
      <c r="H38" s="1"/>
    </row>
    <row r="39" spans="2:8" x14ac:dyDescent="0.25">
      <c r="B39" t="s">
        <v>80</v>
      </c>
      <c r="C39" s="13" t="s">
        <v>81</v>
      </c>
      <c r="D39" s="13">
        <v>20.059999999999999</v>
      </c>
      <c r="E39" s="14">
        <f t="shared" si="1"/>
        <v>27.081428571428571</v>
      </c>
      <c r="F39" s="14"/>
      <c r="H39" s="1"/>
    </row>
    <row r="40" spans="2:8" x14ac:dyDescent="0.25">
      <c r="B40" t="s">
        <v>82</v>
      </c>
      <c r="C40" s="1" t="s">
        <v>68</v>
      </c>
      <c r="D40" s="13">
        <v>45.06</v>
      </c>
      <c r="E40" s="14">
        <f t="shared" si="1"/>
        <v>52.081428571428575</v>
      </c>
      <c r="F40" s="14">
        <f t="shared" si="2"/>
        <v>25.000000000000004</v>
      </c>
      <c r="H40" s="1"/>
    </row>
    <row r="41" spans="2:8" x14ac:dyDescent="0.25">
      <c r="B41" t="s">
        <v>83</v>
      </c>
      <c r="C41" s="1" t="s">
        <v>103</v>
      </c>
      <c r="D41" s="13">
        <v>13.49</v>
      </c>
      <c r="E41" s="14">
        <f t="shared" si="1"/>
        <v>20.511428571428571</v>
      </c>
      <c r="F41" s="14"/>
      <c r="H41" s="1"/>
    </row>
    <row r="42" spans="2:8" x14ac:dyDescent="0.25">
      <c r="B42" t="s">
        <v>84</v>
      </c>
      <c r="C42" s="1" t="s">
        <v>85</v>
      </c>
      <c r="D42" s="13">
        <v>80.48</v>
      </c>
      <c r="E42" s="14">
        <f t="shared" si="1"/>
        <v>87.501428571428576</v>
      </c>
      <c r="F42" s="14">
        <f t="shared" si="2"/>
        <v>60.42</v>
      </c>
      <c r="H42" s="1">
        <v>60.42</v>
      </c>
    </row>
    <row r="43" spans="2:8" x14ac:dyDescent="0.25">
      <c r="B43" t="s">
        <v>86</v>
      </c>
      <c r="C43" s="1" t="s">
        <v>68</v>
      </c>
      <c r="D43" s="13">
        <v>48.4</v>
      </c>
      <c r="E43" s="14">
        <f t="shared" si="1"/>
        <v>55.421428571428571</v>
      </c>
      <c r="F43" s="14">
        <f t="shared" si="2"/>
        <v>28.34</v>
      </c>
      <c r="H43" s="1"/>
    </row>
    <row r="44" spans="2:8" x14ac:dyDescent="0.25">
      <c r="F44" s="14">
        <f>SUM(F30:F43)</f>
        <v>294.86999999999995</v>
      </c>
      <c r="H44" s="1"/>
    </row>
    <row r="45" spans="2:8" x14ac:dyDescent="0.25">
      <c r="B45" t="s">
        <v>59</v>
      </c>
      <c r="H45" s="1"/>
    </row>
    <row r="46" spans="2:8" x14ac:dyDescent="0.25">
      <c r="H46" s="1"/>
    </row>
    <row r="47" spans="2:8" x14ac:dyDescent="0.25">
      <c r="B47" t="s">
        <v>87</v>
      </c>
      <c r="C47" s="13">
        <v>115.94</v>
      </c>
      <c r="D47" s="1">
        <f>C47/6</f>
        <v>19.323333333333334</v>
      </c>
      <c r="H47" s="1"/>
    </row>
    <row r="48" spans="2:8" x14ac:dyDescent="0.25">
      <c r="H48" s="1"/>
    </row>
    <row r="49" spans="2:8" x14ac:dyDescent="0.25">
      <c r="B49" t="s">
        <v>88</v>
      </c>
      <c r="C49" s="1" t="s">
        <v>89</v>
      </c>
      <c r="D49" s="13">
        <v>25.11</v>
      </c>
      <c r="E49" s="14">
        <f t="shared" ref="E49:E54" si="3">D49+$D$47</f>
        <v>44.433333333333337</v>
      </c>
      <c r="F49" s="14"/>
      <c r="H49" s="1"/>
    </row>
    <row r="50" spans="2:8" x14ac:dyDescent="0.25">
      <c r="B50" t="s">
        <v>90</v>
      </c>
      <c r="C50" s="1" t="s">
        <v>91</v>
      </c>
      <c r="D50" s="13">
        <v>80.02</v>
      </c>
      <c r="E50" s="14">
        <f t="shared" si="3"/>
        <v>99.343333333333334</v>
      </c>
      <c r="F50" s="14">
        <f>D50-$D$49</f>
        <v>54.91</v>
      </c>
      <c r="H50" s="1">
        <v>47.92</v>
      </c>
    </row>
    <row r="51" spans="2:8" x14ac:dyDescent="0.25">
      <c r="B51" t="s">
        <v>92</v>
      </c>
      <c r="C51" s="1" t="s">
        <v>93</v>
      </c>
      <c r="D51" s="13">
        <v>25.11</v>
      </c>
      <c r="E51" s="14">
        <f t="shared" si="3"/>
        <v>44.433333333333337</v>
      </c>
      <c r="F51" s="14"/>
      <c r="H51" s="1"/>
    </row>
    <row r="52" spans="2:8" x14ac:dyDescent="0.25">
      <c r="B52" t="s">
        <v>94</v>
      </c>
      <c r="C52" s="1" t="s">
        <v>95</v>
      </c>
      <c r="D52" s="13">
        <v>73.03</v>
      </c>
      <c r="E52" s="14">
        <f t="shared" si="3"/>
        <v>92.353333333333339</v>
      </c>
      <c r="F52" s="14">
        <f>D52-$D$49</f>
        <v>47.92</v>
      </c>
      <c r="H52" s="1">
        <v>47.83</v>
      </c>
    </row>
    <row r="53" spans="2:8" x14ac:dyDescent="0.25">
      <c r="B53" t="s">
        <v>96</v>
      </c>
      <c r="C53" s="1" t="s">
        <v>97</v>
      </c>
      <c r="D53" s="13">
        <v>73.03</v>
      </c>
      <c r="E53" s="14">
        <f t="shared" si="3"/>
        <v>92.353333333333339</v>
      </c>
      <c r="F53" s="14">
        <f>D53-$D$49</f>
        <v>47.92</v>
      </c>
      <c r="H53" s="1">
        <v>47.92</v>
      </c>
    </row>
    <row r="54" spans="2:8" x14ac:dyDescent="0.25">
      <c r="B54" t="s">
        <v>98</v>
      </c>
      <c r="C54" s="1" t="s">
        <v>99</v>
      </c>
      <c r="D54" s="13">
        <v>92.75</v>
      </c>
      <c r="E54" s="14">
        <f t="shared" si="3"/>
        <v>112.07333333333334</v>
      </c>
      <c r="F54" s="14">
        <f>D54-$D$49</f>
        <v>67.64</v>
      </c>
      <c r="H54" s="1"/>
    </row>
    <row r="55" spans="2:8" x14ac:dyDescent="0.25">
      <c r="F55" s="14">
        <f>SUM(F49:F54)</f>
        <v>218.39</v>
      </c>
      <c r="H55" s="1"/>
    </row>
    <row r="56" spans="2:8" x14ac:dyDescent="0.25">
      <c r="B56" t="s">
        <v>60</v>
      </c>
      <c r="H56" s="1"/>
    </row>
    <row r="57" spans="2:8" x14ac:dyDescent="0.25">
      <c r="H57" s="1"/>
    </row>
    <row r="58" spans="2:8" x14ac:dyDescent="0.25">
      <c r="B58" t="s">
        <v>100</v>
      </c>
      <c r="C58" s="1" t="s">
        <v>101</v>
      </c>
      <c r="D58" s="13">
        <v>59</v>
      </c>
      <c r="F58" s="1">
        <v>42.5</v>
      </c>
      <c r="H58" s="1">
        <v>42.5</v>
      </c>
    </row>
    <row r="59" spans="2:8" x14ac:dyDescent="0.25">
      <c r="F59" s="4">
        <f>SUM(F58,F55,F44)</f>
        <v>555.76</v>
      </c>
      <c r="H59" s="1"/>
    </row>
    <row r="60" spans="2:8" x14ac:dyDescent="0.25">
      <c r="B60" t="s">
        <v>61</v>
      </c>
      <c r="H60" s="4">
        <f>SUM(H30:H59)</f>
        <v>459.11</v>
      </c>
    </row>
    <row r="62" spans="2:8" x14ac:dyDescent="0.25">
      <c r="B62" t="s">
        <v>102</v>
      </c>
      <c r="C62" s="1" t="s">
        <v>104</v>
      </c>
      <c r="D62" s="13">
        <v>13.49</v>
      </c>
    </row>
    <row r="66" spans="2:2" x14ac:dyDescent="0.25">
      <c r="B66" t="s">
        <v>62</v>
      </c>
    </row>
    <row r="67" spans="2:2" x14ac:dyDescent="0.25">
      <c r="B67" t="s">
        <v>63</v>
      </c>
    </row>
    <row r="68" spans="2:2" x14ac:dyDescent="0.25">
      <c r="B68" s="14">
        <v>1018.47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F350-5127-42C1-B28D-531B373EFEC7}">
  <dimension ref="A1:L57"/>
  <sheetViews>
    <sheetView topLeftCell="A13" workbookViewId="0">
      <selection activeCell="D29" sqref="D29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14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11</v>
      </c>
      <c r="B2" s="1">
        <v>0</v>
      </c>
      <c r="F2" s="1">
        <f>B2/3</f>
        <v>0</v>
      </c>
      <c r="G2" s="4">
        <f t="shared" ref="G2:G17" si="0">B2/6</f>
        <v>0</v>
      </c>
      <c r="H2" s="4">
        <f>G2/2</f>
        <v>0</v>
      </c>
      <c r="I2" s="4">
        <f t="shared" ref="I2:I17" si="1">B2/12</f>
        <v>0</v>
      </c>
      <c r="J2" s="1">
        <f t="shared" ref="J2:J20" si="2">(B2*D2)/12</f>
        <v>0</v>
      </c>
      <c r="L2" s="4"/>
    </row>
    <row r="3" spans="1:12" x14ac:dyDescent="0.25">
      <c r="A3" t="s">
        <v>12</v>
      </c>
      <c r="B3" s="1">
        <v>0</v>
      </c>
      <c r="C3" s="2"/>
      <c r="D3" s="3">
        <v>0.1749</v>
      </c>
      <c r="F3" s="1">
        <f t="shared" ref="F3:F17" si="3">B3/3</f>
        <v>0</v>
      </c>
      <c r="G3" s="4">
        <f t="shared" si="0"/>
        <v>0</v>
      </c>
      <c r="H3" s="4">
        <f t="shared" ref="H3:H20" si="4">G3/2</f>
        <v>0</v>
      </c>
      <c r="I3" s="4">
        <f t="shared" si="1"/>
        <v>0</v>
      </c>
      <c r="J3" s="1">
        <f t="shared" si="2"/>
        <v>0</v>
      </c>
      <c r="K3" s="1">
        <v>97</v>
      </c>
    </row>
    <row r="4" spans="1:12" x14ac:dyDescent="0.25">
      <c r="A4" t="s">
        <v>13</v>
      </c>
      <c r="B4" s="1">
        <v>0</v>
      </c>
      <c r="C4" s="2"/>
      <c r="F4" s="1">
        <f t="shared" si="3"/>
        <v>0</v>
      </c>
      <c r="G4" s="4">
        <f t="shared" si="0"/>
        <v>0</v>
      </c>
      <c r="H4" s="4">
        <f t="shared" si="4"/>
        <v>0</v>
      </c>
      <c r="I4" s="4">
        <f t="shared" si="1"/>
        <v>0</v>
      </c>
      <c r="J4" s="1">
        <f t="shared" si="2"/>
        <v>0</v>
      </c>
    </row>
    <row r="5" spans="1:12" x14ac:dyDescent="0.25">
      <c r="A5" t="s">
        <v>14</v>
      </c>
      <c r="B5" s="1">
        <v>903.41</v>
      </c>
      <c r="C5" s="2">
        <v>43935</v>
      </c>
      <c r="D5" s="3">
        <v>0.29239999999999999</v>
      </c>
      <c r="E5" s="1">
        <v>37</v>
      </c>
      <c r="F5" s="1">
        <f t="shared" si="3"/>
        <v>301.13666666666666</v>
      </c>
      <c r="G5" s="4">
        <f t="shared" si="0"/>
        <v>150.56833333333333</v>
      </c>
      <c r="H5" s="4">
        <f t="shared" si="4"/>
        <v>75.284166666666664</v>
      </c>
      <c r="I5" s="4">
        <f t="shared" si="1"/>
        <v>75.284166666666664</v>
      </c>
      <c r="J5" s="1">
        <f t="shared" si="2"/>
        <v>22.013090333333334</v>
      </c>
    </row>
    <row r="6" spans="1:12" x14ac:dyDescent="0.25">
      <c r="A6" t="s">
        <v>15</v>
      </c>
      <c r="B6" s="1">
        <v>5182.1499999999996</v>
      </c>
      <c r="C6" s="2">
        <v>43800</v>
      </c>
      <c r="D6" s="3">
        <v>0</v>
      </c>
      <c r="E6" s="1">
        <v>190</v>
      </c>
      <c r="F6" s="1">
        <f t="shared" si="3"/>
        <v>1727.3833333333332</v>
      </c>
      <c r="G6" s="4">
        <f t="shared" si="0"/>
        <v>863.69166666666661</v>
      </c>
      <c r="H6" s="4">
        <f t="shared" si="4"/>
        <v>431.8458333333333</v>
      </c>
      <c r="I6" s="4">
        <f t="shared" si="1"/>
        <v>431.8458333333333</v>
      </c>
      <c r="J6" s="1">
        <f t="shared" si="2"/>
        <v>0</v>
      </c>
      <c r="K6" s="1">
        <v>221</v>
      </c>
    </row>
    <row r="7" spans="1:12" x14ac:dyDescent="0.25">
      <c r="A7" t="s">
        <v>16</v>
      </c>
      <c r="B7" s="1">
        <v>5785</v>
      </c>
      <c r="C7" s="2">
        <v>43751</v>
      </c>
      <c r="D7" s="3">
        <v>0</v>
      </c>
      <c r="E7" s="1">
        <v>239</v>
      </c>
      <c r="F7" s="1">
        <f t="shared" si="3"/>
        <v>1928.3333333333333</v>
      </c>
      <c r="G7" s="4">
        <f t="shared" si="0"/>
        <v>964.16666666666663</v>
      </c>
      <c r="H7" s="4">
        <f t="shared" si="4"/>
        <v>482.08333333333331</v>
      </c>
      <c r="I7" s="4">
        <f t="shared" si="1"/>
        <v>482.08333333333331</v>
      </c>
      <c r="J7" s="1">
        <f t="shared" si="2"/>
        <v>0</v>
      </c>
      <c r="K7" s="1">
        <v>273</v>
      </c>
    </row>
    <row r="8" spans="1:12" x14ac:dyDescent="0.25">
      <c r="A8" t="s">
        <v>17</v>
      </c>
      <c r="B8" s="1">
        <v>5295</v>
      </c>
      <c r="C8" s="2"/>
      <c r="D8" s="3">
        <v>0.1749</v>
      </c>
      <c r="F8" s="1">
        <f t="shared" si="3"/>
        <v>1765</v>
      </c>
      <c r="G8" s="4">
        <f t="shared" si="0"/>
        <v>882.5</v>
      </c>
      <c r="H8" s="4">
        <f t="shared" si="4"/>
        <v>441.25</v>
      </c>
      <c r="I8" s="4">
        <f t="shared" si="1"/>
        <v>441.25</v>
      </c>
      <c r="J8" s="1">
        <f>(B8*D8)/12</f>
        <v>77.174625000000006</v>
      </c>
      <c r="K8" s="1">
        <v>138</v>
      </c>
      <c r="L8" s="4"/>
    </row>
    <row r="9" spans="1:12" x14ac:dyDescent="0.25">
      <c r="A9" t="s">
        <v>18</v>
      </c>
      <c r="B9" s="1">
        <v>0</v>
      </c>
      <c r="D9" s="3">
        <v>0.1749</v>
      </c>
      <c r="F9" s="1">
        <f t="shared" si="3"/>
        <v>0</v>
      </c>
      <c r="G9" s="4">
        <f t="shared" si="0"/>
        <v>0</v>
      </c>
      <c r="H9" s="4">
        <f t="shared" si="4"/>
        <v>0</v>
      </c>
      <c r="I9" s="4">
        <f t="shared" si="1"/>
        <v>0</v>
      </c>
      <c r="J9" s="1">
        <f t="shared" si="2"/>
        <v>0</v>
      </c>
      <c r="K9" s="1">
        <v>140</v>
      </c>
    </row>
    <row r="10" spans="1:12" x14ac:dyDescent="0.25">
      <c r="A10" t="s">
        <v>19</v>
      </c>
      <c r="B10" s="1">
        <v>12803.54</v>
      </c>
      <c r="C10" t="s">
        <v>43</v>
      </c>
      <c r="D10" s="3">
        <v>0</v>
      </c>
      <c r="F10" s="1">
        <f t="shared" si="3"/>
        <v>4267.8466666666673</v>
      </c>
      <c r="G10" s="4">
        <f t="shared" si="0"/>
        <v>2133.9233333333336</v>
      </c>
      <c r="H10" s="4">
        <f t="shared" si="4"/>
        <v>1066.9616666666668</v>
      </c>
      <c r="I10" s="4">
        <f t="shared" si="1"/>
        <v>1066.9616666666668</v>
      </c>
      <c r="J10" s="1">
        <f t="shared" si="2"/>
        <v>0</v>
      </c>
      <c r="K10" s="1">
        <v>471</v>
      </c>
    </row>
    <row r="11" spans="1:12" x14ac:dyDescent="0.25">
      <c r="A11" t="s">
        <v>38</v>
      </c>
      <c r="B11" s="1">
        <v>0</v>
      </c>
      <c r="C11" s="2"/>
      <c r="F11" s="1">
        <f t="shared" si="3"/>
        <v>0</v>
      </c>
      <c r="G11" s="4">
        <f t="shared" si="0"/>
        <v>0</v>
      </c>
      <c r="H11" s="4">
        <f t="shared" si="4"/>
        <v>0</v>
      </c>
      <c r="I11" s="4">
        <f t="shared" si="1"/>
        <v>0</v>
      </c>
      <c r="J11" s="1">
        <f t="shared" si="2"/>
        <v>0</v>
      </c>
    </row>
    <row r="12" spans="1:12" x14ac:dyDescent="0.25">
      <c r="A12" t="s">
        <v>21</v>
      </c>
      <c r="B12" s="1">
        <v>0</v>
      </c>
      <c r="C12" s="2"/>
      <c r="F12" s="1">
        <f t="shared" si="3"/>
        <v>0</v>
      </c>
      <c r="G12" s="4">
        <f t="shared" si="0"/>
        <v>0</v>
      </c>
      <c r="H12" s="4">
        <f t="shared" si="4"/>
        <v>0</v>
      </c>
      <c r="I12" s="4">
        <f t="shared" si="1"/>
        <v>0</v>
      </c>
      <c r="J12" s="1">
        <f t="shared" si="2"/>
        <v>0</v>
      </c>
    </row>
    <row r="13" spans="1:12" x14ac:dyDescent="0.25">
      <c r="A13" t="s">
        <v>22</v>
      </c>
      <c r="B13" s="1">
        <v>810.77</v>
      </c>
      <c r="C13" s="2"/>
      <c r="D13" s="3">
        <v>9.9900000000000003E-2</v>
      </c>
      <c r="F13" s="1">
        <f t="shared" si="3"/>
        <v>270.25666666666666</v>
      </c>
      <c r="G13" s="4">
        <f t="shared" si="0"/>
        <v>135.12833333333333</v>
      </c>
      <c r="H13" s="4">
        <f>G13/2</f>
        <v>67.564166666666665</v>
      </c>
      <c r="I13" s="4">
        <f t="shared" si="1"/>
        <v>67.564166666666665</v>
      </c>
      <c r="J13" s="1">
        <f t="shared" si="2"/>
        <v>6.7496602500000007</v>
      </c>
    </row>
    <row r="14" spans="1:12" x14ac:dyDescent="0.25">
      <c r="A14" t="s">
        <v>10</v>
      </c>
      <c r="B14" s="1">
        <v>40893.699999999997</v>
      </c>
      <c r="D14" s="3">
        <v>0.1774</v>
      </c>
      <c r="F14" s="1">
        <f t="shared" si="3"/>
        <v>13631.233333333332</v>
      </c>
      <c r="G14" s="4">
        <f t="shared" si="0"/>
        <v>6815.6166666666659</v>
      </c>
      <c r="H14" s="4">
        <f t="shared" si="4"/>
        <v>3407.8083333333329</v>
      </c>
      <c r="I14" s="4">
        <f t="shared" si="1"/>
        <v>3407.8083333333329</v>
      </c>
      <c r="J14" s="1">
        <f t="shared" si="2"/>
        <v>604.54519833333336</v>
      </c>
    </row>
    <row r="15" spans="1:12" x14ac:dyDescent="0.25">
      <c r="A15" t="s">
        <v>56</v>
      </c>
      <c r="B15" s="1">
        <v>0</v>
      </c>
      <c r="F15" s="1">
        <f t="shared" si="3"/>
        <v>0</v>
      </c>
      <c r="G15" s="4">
        <f t="shared" si="0"/>
        <v>0</v>
      </c>
      <c r="H15" s="4">
        <f t="shared" si="4"/>
        <v>0</v>
      </c>
      <c r="I15" s="4">
        <f t="shared" si="1"/>
        <v>0</v>
      </c>
      <c r="J15" s="1">
        <f t="shared" si="2"/>
        <v>0</v>
      </c>
    </row>
    <row r="16" spans="1:12" x14ac:dyDescent="0.25">
      <c r="A16" t="s">
        <v>35</v>
      </c>
      <c r="B16" s="1">
        <v>0</v>
      </c>
      <c r="F16" s="1">
        <f t="shared" si="3"/>
        <v>0</v>
      </c>
      <c r="G16" s="4">
        <f t="shared" si="0"/>
        <v>0</v>
      </c>
      <c r="H16" s="4">
        <f t="shared" si="4"/>
        <v>0</v>
      </c>
      <c r="I16" s="4">
        <f t="shared" si="1"/>
        <v>0</v>
      </c>
      <c r="J16" s="1">
        <f t="shared" si="2"/>
        <v>0</v>
      </c>
    </row>
    <row r="17" spans="1:11" x14ac:dyDescent="0.25">
      <c r="A17" t="s">
        <v>52</v>
      </c>
      <c r="B17" s="1">
        <v>307.33</v>
      </c>
      <c r="F17" s="1">
        <f t="shared" si="3"/>
        <v>102.44333333333333</v>
      </c>
      <c r="G17" s="4">
        <f t="shared" si="0"/>
        <v>51.221666666666664</v>
      </c>
      <c r="H17" s="4">
        <f t="shared" si="4"/>
        <v>25.610833333333332</v>
      </c>
      <c r="I17" s="4">
        <f t="shared" si="1"/>
        <v>25.610833333333332</v>
      </c>
      <c r="J17" s="1">
        <f t="shared" si="2"/>
        <v>0</v>
      </c>
    </row>
    <row r="18" spans="1:11" x14ac:dyDescent="0.25">
      <c r="A18" t="s">
        <v>39</v>
      </c>
      <c r="B18" s="1">
        <v>10249.1</v>
      </c>
      <c r="F18" s="1">
        <f>B18/3</f>
        <v>3416.3666666666668</v>
      </c>
      <c r="G18" s="4">
        <f>B18/6</f>
        <v>1708.1833333333334</v>
      </c>
      <c r="H18" s="4">
        <f t="shared" si="4"/>
        <v>854.0916666666667</v>
      </c>
      <c r="I18" s="4">
        <f>B18/12</f>
        <v>854.0916666666667</v>
      </c>
      <c r="J18" s="1">
        <f t="shared" si="2"/>
        <v>0</v>
      </c>
    </row>
    <row r="19" spans="1:11" x14ac:dyDescent="0.25">
      <c r="A19" t="s">
        <v>57</v>
      </c>
      <c r="B19" s="1">
        <v>48857.599999999999</v>
      </c>
      <c r="F19" s="1">
        <f>B19/3</f>
        <v>16285.866666666667</v>
      </c>
      <c r="G19" s="4">
        <f>B19/6</f>
        <v>8142.9333333333334</v>
      </c>
      <c r="H19" s="4">
        <f t="shared" si="4"/>
        <v>4071.4666666666667</v>
      </c>
      <c r="I19" s="4">
        <f>B19/12</f>
        <v>4071.4666666666667</v>
      </c>
      <c r="J19" s="1">
        <f t="shared" si="2"/>
        <v>0</v>
      </c>
    </row>
    <row r="20" spans="1:11" x14ac:dyDescent="0.25">
      <c r="A20" t="s">
        <v>106</v>
      </c>
      <c r="B20" s="1">
        <v>0</v>
      </c>
      <c r="F20" s="1">
        <f>B20/3</f>
        <v>0</v>
      </c>
      <c r="G20" s="4">
        <f>B20/6</f>
        <v>0</v>
      </c>
      <c r="H20" s="4">
        <f t="shared" si="4"/>
        <v>0</v>
      </c>
      <c r="I20" s="4">
        <f>B20/12</f>
        <v>0</v>
      </c>
      <c r="J20" s="1">
        <f t="shared" si="2"/>
        <v>0</v>
      </c>
    </row>
    <row r="22" spans="1:11" x14ac:dyDescent="0.25">
      <c r="B22" s="1">
        <f>SUM(B2:B21)</f>
        <v>131087.6</v>
      </c>
      <c r="D22" s="3">
        <f>AVERAGE(D2:D21)</f>
        <v>0.12159999999999999</v>
      </c>
      <c r="E22" s="1">
        <f t="shared" ref="E22:K22" si="5">SUM(E2:E21)</f>
        <v>466</v>
      </c>
      <c r="F22" s="1">
        <f t="shared" si="5"/>
        <v>43695.866666666669</v>
      </c>
      <c r="G22" s="1">
        <f t="shared" si="5"/>
        <v>21847.933333333334</v>
      </c>
      <c r="H22" s="1">
        <f t="shared" si="5"/>
        <v>10923.966666666667</v>
      </c>
      <c r="I22" s="1">
        <f t="shared" si="5"/>
        <v>10923.966666666667</v>
      </c>
      <c r="J22" s="1">
        <f t="shared" si="5"/>
        <v>710.48257391666675</v>
      </c>
      <c r="K22" s="1">
        <f t="shared" si="5"/>
        <v>1340</v>
      </c>
    </row>
    <row r="23" spans="1:11" x14ac:dyDescent="0.25">
      <c r="J23" s="1">
        <f>(B22*D22)/12</f>
        <v>1328.3543466666665</v>
      </c>
    </row>
    <row r="25" spans="1:11" x14ac:dyDescent="0.25">
      <c r="A25" s="8" t="s">
        <v>36</v>
      </c>
      <c r="B25" s="18"/>
      <c r="C25" s="15">
        <v>3374.19</v>
      </c>
      <c r="D25" s="1">
        <v>3374.19</v>
      </c>
      <c r="F25" s="6"/>
    </row>
    <row r="26" spans="1:11" x14ac:dyDescent="0.25">
      <c r="A26" s="8" t="s">
        <v>37</v>
      </c>
      <c r="B26" s="15">
        <v>550</v>
      </c>
      <c r="C26" s="19"/>
      <c r="D26" s="1">
        <v>550</v>
      </c>
      <c r="F26" s="6">
        <v>43926</v>
      </c>
    </row>
    <row r="27" spans="1:11" x14ac:dyDescent="0.25">
      <c r="A27" s="8" t="s">
        <v>24</v>
      </c>
      <c r="B27" s="15">
        <v>847.62</v>
      </c>
      <c r="C27" s="18"/>
      <c r="D27" s="1">
        <v>847.62</v>
      </c>
      <c r="E27" s="12"/>
      <c r="F27" s="7"/>
    </row>
    <row r="28" spans="1:11" x14ac:dyDescent="0.25">
      <c r="A28" s="8" t="s">
        <v>39</v>
      </c>
      <c r="C28" s="15">
        <v>1207.1300000000001</v>
      </c>
      <c r="D28" s="1">
        <v>1207.1300000000001</v>
      </c>
    </row>
    <row r="29" spans="1:11" x14ac:dyDescent="0.25">
      <c r="A29" s="8" t="s">
        <v>57</v>
      </c>
      <c r="B29" s="15">
        <v>1382.89</v>
      </c>
      <c r="C29" s="18"/>
      <c r="D29" s="1">
        <v>1382.89</v>
      </c>
    </row>
    <row r="30" spans="1:11" x14ac:dyDescent="0.25">
      <c r="A30" s="8" t="s">
        <v>11</v>
      </c>
      <c r="B30" s="18">
        <v>0</v>
      </c>
      <c r="C30" s="18"/>
    </row>
    <row r="31" spans="1:11" x14ac:dyDescent="0.25">
      <c r="A31" s="8" t="s">
        <v>12</v>
      </c>
      <c r="B31" s="18">
        <v>0</v>
      </c>
      <c r="C31" s="18"/>
    </row>
    <row r="32" spans="1:11" x14ac:dyDescent="0.25">
      <c r="A32" s="8" t="s">
        <v>13</v>
      </c>
      <c r="B32" s="18">
        <v>0</v>
      </c>
      <c r="C32" s="18"/>
    </row>
    <row r="33" spans="1:12" x14ac:dyDescent="0.25">
      <c r="A33" s="8" t="s">
        <v>14</v>
      </c>
      <c r="B33" s="15">
        <v>150</v>
      </c>
      <c r="C33" s="18"/>
      <c r="I33" t="s">
        <v>11</v>
      </c>
      <c r="J33" s="1">
        <v>0</v>
      </c>
    </row>
    <row r="34" spans="1:12" x14ac:dyDescent="0.25">
      <c r="A34" s="8" t="s">
        <v>15</v>
      </c>
      <c r="B34" s="15">
        <v>190</v>
      </c>
      <c r="C34" s="18"/>
      <c r="I34" t="s">
        <v>12</v>
      </c>
      <c r="J34" s="13">
        <v>2596.11</v>
      </c>
    </row>
    <row r="35" spans="1:12" x14ac:dyDescent="0.25">
      <c r="A35" s="8" t="s">
        <v>16</v>
      </c>
      <c r="B35" s="15">
        <v>239</v>
      </c>
      <c r="C35" s="18"/>
      <c r="G35" s="1"/>
      <c r="I35" t="s">
        <v>13</v>
      </c>
      <c r="J35" s="1">
        <v>0</v>
      </c>
    </row>
    <row r="36" spans="1:12" x14ac:dyDescent="0.25">
      <c r="A36" s="8" t="s">
        <v>17</v>
      </c>
      <c r="B36" s="18">
        <v>0</v>
      </c>
      <c r="C36" s="18"/>
      <c r="I36" t="s">
        <v>14</v>
      </c>
      <c r="K36" s="1">
        <v>1275.21</v>
      </c>
    </row>
    <row r="37" spans="1:12" x14ac:dyDescent="0.25">
      <c r="A37" s="8" t="s">
        <v>18</v>
      </c>
      <c r="B37" s="18">
        <v>0</v>
      </c>
      <c r="C37" s="18"/>
      <c r="G37" s="13"/>
      <c r="I37" t="s">
        <v>15</v>
      </c>
      <c r="K37" s="1">
        <v>6219.78</v>
      </c>
    </row>
    <row r="38" spans="1:12" x14ac:dyDescent="0.25">
      <c r="A38" s="8" t="s">
        <v>19</v>
      </c>
      <c r="B38" s="15">
        <v>250</v>
      </c>
      <c r="C38" s="15">
        <v>250</v>
      </c>
      <c r="G38" s="1"/>
      <c r="I38" t="s">
        <v>16</v>
      </c>
      <c r="K38" s="1">
        <v>7107</v>
      </c>
    </row>
    <row r="39" spans="1:12" x14ac:dyDescent="0.25">
      <c r="A39" s="8" t="s">
        <v>38</v>
      </c>
      <c r="B39" s="18">
        <v>0</v>
      </c>
      <c r="C39" s="18"/>
      <c r="G39" s="1"/>
      <c r="I39" t="s">
        <v>17</v>
      </c>
      <c r="J39" s="1">
        <v>3714.28</v>
      </c>
    </row>
    <row r="40" spans="1:12" x14ac:dyDescent="0.25">
      <c r="A40" s="8" t="s">
        <v>21</v>
      </c>
      <c r="B40" s="18">
        <v>0</v>
      </c>
      <c r="C40" s="18"/>
      <c r="I40" t="s">
        <v>18</v>
      </c>
      <c r="J40" s="1">
        <v>3819.28</v>
      </c>
    </row>
    <row r="41" spans="1:12" x14ac:dyDescent="0.25">
      <c r="A41" s="8" t="s">
        <v>22</v>
      </c>
      <c r="B41" s="15">
        <v>148</v>
      </c>
      <c r="C41" s="18"/>
      <c r="G41" s="14"/>
      <c r="I41" t="s">
        <v>19</v>
      </c>
      <c r="K41" s="1">
        <v>15593.49</v>
      </c>
    </row>
    <row r="42" spans="1:12" x14ac:dyDescent="0.25">
      <c r="A42" s="8" t="s">
        <v>10</v>
      </c>
      <c r="B42" s="18"/>
      <c r="C42" s="15">
        <v>1000</v>
      </c>
      <c r="I42" t="s">
        <v>20</v>
      </c>
      <c r="J42" s="1">
        <v>0</v>
      </c>
    </row>
    <row r="43" spans="1:12" s="3" customFormat="1" x14ac:dyDescent="0.25">
      <c r="A43" s="8" t="s">
        <v>35</v>
      </c>
      <c r="B43" s="18">
        <v>0</v>
      </c>
      <c r="C43" s="18"/>
      <c r="E43" s="1"/>
      <c r="F43" s="1"/>
      <c r="G43" s="4"/>
      <c r="H43"/>
      <c r="I43" t="s">
        <v>38</v>
      </c>
      <c r="J43" s="1">
        <v>0</v>
      </c>
      <c r="K43" s="1"/>
      <c r="L43"/>
    </row>
    <row r="44" spans="1:12" s="3" customFormat="1" x14ac:dyDescent="0.25">
      <c r="A44" s="8" t="s">
        <v>33</v>
      </c>
      <c r="B44" s="15">
        <v>246</v>
      </c>
      <c r="C44" s="18"/>
      <c r="E44" s="1"/>
      <c r="F44" s="1"/>
      <c r="G44"/>
      <c r="H44"/>
      <c r="I44" t="s">
        <v>21</v>
      </c>
      <c r="J44" s="1">
        <v>0</v>
      </c>
      <c r="K44" s="1"/>
      <c r="L44"/>
    </row>
    <row r="45" spans="1:12" s="3" customFormat="1" x14ac:dyDescent="0.25">
      <c r="A45" s="8" t="s">
        <v>44</v>
      </c>
      <c r="B45" s="15">
        <v>252.7</v>
      </c>
      <c r="C45" s="18"/>
      <c r="E45" s="1"/>
      <c r="F45" s="1"/>
      <c r="G45"/>
      <c r="H45"/>
      <c r="I45" t="s">
        <v>22</v>
      </c>
      <c r="K45" s="1">
        <v>1642.23</v>
      </c>
      <c r="L45"/>
    </row>
    <row r="46" spans="1:12" x14ac:dyDescent="0.25">
      <c r="A46" s="8" t="s">
        <v>45</v>
      </c>
      <c r="B46" s="18"/>
      <c r="C46" s="18"/>
      <c r="D46" s="1"/>
      <c r="I46" t="s">
        <v>10</v>
      </c>
      <c r="J46" s="1">
        <v>10000</v>
      </c>
      <c r="K46" s="1">
        <v>36358.93</v>
      </c>
    </row>
    <row r="47" spans="1:12" s="3" customFormat="1" x14ac:dyDescent="0.25">
      <c r="A47" s="8" t="s">
        <v>52</v>
      </c>
      <c r="B47" s="15">
        <v>307.33</v>
      </c>
      <c r="C47" s="15">
        <v>399.33</v>
      </c>
      <c r="D47" s="1"/>
      <c r="E47" s="1"/>
      <c r="F47" s="1"/>
      <c r="G47"/>
      <c r="H47"/>
      <c r="I47" t="s">
        <v>35</v>
      </c>
      <c r="J47" s="1">
        <v>0</v>
      </c>
      <c r="K47" s="1"/>
      <c r="L47"/>
    </row>
    <row r="48" spans="1:12" s="3" customFormat="1" x14ac:dyDescent="0.25">
      <c r="A48" s="8" t="s">
        <v>55</v>
      </c>
      <c r="B48" s="18">
        <v>0</v>
      </c>
      <c r="D48" s="1"/>
      <c r="E48" s="1"/>
      <c r="F48" s="1"/>
      <c r="H48"/>
      <c r="I48"/>
      <c r="J48" s="1"/>
      <c r="K48" s="1"/>
      <c r="L48"/>
    </row>
    <row r="49" spans="1:12" s="3" customFormat="1" x14ac:dyDescent="0.25">
      <c r="A49" s="8"/>
      <c r="B49" s="1"/>
      <c r="C49" s="1"/>
      <c r="E49" s="1"/>
      <c r="F49" s="1"/>
      <c r="H49"/>
      <c r="I49"/>
      <c r="J49" s="1"/>
      <c r="K49" s="1"/>
      <c r="L49"/>
    </row>
    <row r="50" spans="1:12" s="3" customFormat="1" x14ac:dyDescent="0.25">
      <c r="A50" s="8" t="s">
        <v>41</v>
      </c>
      <c r="B50" s="1">
        <f>SUM(B25:B49)</f>
        <v>4563.54</v>
      </c>
      <c r="C50" s="1">
        <f>SUM(C25:C49)</f>
        <v>6230.65</v>
      </c>
      <c r="D50" s="1">
        <f>SUM(D26:D49)</f>
        <v>3987.6400000000003</v>
      </c>
      <c r="E50" s="1"/>
      <c r="F50" s="1"/>
      <c r="H50"/>
      <c r="I50"/>
      <c r="J50" s="1"/>
      <c r="K50" s="1"/>
      <c r="L50"/>
    </row>
    <row r="51" spans="1:12" s="3" customFormat="1" x14ac:dyDescent="0.25">
      <c r="A51"/>
      <c r="B51" s="1"/>
      <c r="C51"/>
      <c r="E51" s="1"/>
      <c r="F51" s="1"/>
      <c r="G51"/>
      <c r="H51"/>
      <c r="I51"/>
      <c r="J51" s="1"/>
      <c r="K51" s="1"/>
      <c r="L51"/>
    </row>
    <row r="52" spans="1:12" x14ac:dyDescent="0.25">
      <c r="A52" s="8" t="s">
        <v>40</v>
      </c>
      <c r="B52" s="9">
        <v>3889.12</v>
      </c>
      <c r="C52" s="9">
        <v>3889.12</v>
      </c>
      <c r="J52" s="1">
        <f>SUM(J33:J47)</f>
        <v>20129.669999999998</v>
      </c>
    </row>
    <row r="54" spans="1:12" x14ac:dyDescent="0.25">
      <c r="A54" t="s">
        <v>42</v>
      </c>
      <c r="B54" s="1">
        <f>B52-B50</f>
        <v>-674.42000000000007</v>
      </c>
      <c r="C54" s="1">
        <f>C52-C50</f>
        <v>-2341.5299999999997</v>
      </c>
      <c r="I54" t="s">
        <v>39</v>
      </c>
      <c r="J54" s="1">
        <v>35056.15</v>
      </c>
    </row>
    <row r="56" spans="1:12" x14ac:dyDescent="0.25">
      <c r="A56" t="s">
        <v>1</v>
      </c>
      <c r="B56" s="1">
        <v>380.3</v>
      </c>
      <c r="J56" s="1">
        <f>J54-J52</f>
        <v>14926.480000000003</v>
      </c>
    </row>
    <row r="57" spans="1:12" x14ac:dyDescent="0.25">
      <c r="B57" s="1">
        <f>B50-B56</f>
        <v>4183.24</v>
      </c>
    </row>
  </sheetData>
  <autoFilter ref="A1:K14" xr:uid="{1F705934-551F-4A30-809C-BD2B1658412C}">
    <sortState xmlns:xlrd2="http://schemas.microsoft.com/office/spreadsheetml/2017/richdata2" ref="A2:K14">
      <sortCondition descending="1" ref="D1:D14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E746-5E9F-476B-AAB4-4579620AF0FA}">
  <dimension ref="A1:L55"/>
  <sheetViews>
    <sheetView topLeftCell="A16" workbookViewId="0">
      <selection activeCell="D27" sqref="D27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2.140625" style="1" bestFit="1" customWidth="1"/>
    <col min="11" max="11" width="14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11</v>
      </c>
      <c r="B2" s="1">
        <v>0</v>
      </c>
      <c r="E2" s="1">
        <v>52</v>
      </c>
      <c r="F2" s="1">
        <f>B2/3</f>
        <v>0</v>
      </c>
      <c r="G2" s="4">
        <f t="shared" ref="G2:G17" si="0">B2/6</f>
        <v>0</v>
      </c>
      <c r="H2" s="4">
        <f>G2/2</f>
        <v>0</v>
      </c>
      <c r="I2" s="4">
        <f t="shared" ref="I2:I17" si="1">B2/12</f>
        <v>0</v>
      </c>
      <c r="J2" s="1">
        <f t="shared" ref="J2:J19" si="2">(B2*D2)/12</f>
        <v>0</v>
      </c>
      <c r="L2" s="4"/>
    </row>
    <row r="3" spans="1:12" x14ac:dyDescent="0.25">
      <c r="A3" t="s">
        <v>12</v>
      </c>
      <c r="B3" s="1">
        <v>39.99</v>
      </c>
      <c r="C3" s="2"/>
      <c r="D3" s="3">
        <v>0.1749</v>
      </c>
      <c r="E3" s="1">
        <v>182</v>
      </c>
      <c r="F3" s="1">
        <f t="shared" ref="F3:F17" si="3">B3/3</f>
        <v>13.33</v>
      </c>
      <c r="G3" s="4">
        <f t="shared" si="0"/>
        <v>6.665</v>
      </c>
      <c r="H3" s="4">
        <f t="shared" ref="H3:H19" si="4">G3/2</f>
        <v>3.3325</v>
      </c>
      <c r="I3" s="4">
        <f t="shared" si="1"/>
        <v>3.3325</v>
      </c>
      <c r="J3" s="1">
        <f t="shared" si="2"/>
        <v>0.58285425000000002</v>
      </c>
      <c r="K3" s="1">
        <v>97</v>
      </c>
    </row>
    <row r="4" spans="1:12" x14ac:dyDescent="0.25">
      <c r="A4" t="s">
        <v>13</v>
      </c>
      <c r="B4" s="1">
        <v>0</v>
      </c>
      <c r="C4" s="2"/>
      <c r="E4" s="1">
        <v>107</v>
      </c>
      <c r="F4" s="1">
        <f t="shared" si="3"/>
        <v>0</v>
      </c>
      <c r="G4" s="4">
        <f t="shared" si="0"/>
        <v>0</v>
      </c>
      <c r="H4" s="4">
        <f t="shared" si="4"/>
        <v>0</v>
      </c>
      <c r="I4" s="4">
        <f t="shared" si="1"/>
        <v>0</v>
      </c>
      <c r="J4" s="1">
        <f t="shared" si="2"/>
        <v>0</v>
      </c>
    </row>
    <row r="5" spans="1:12" x14ac:dyDescent="0.25">
      <c r="A5" t="s">
        <v>14</v>
      </c>
      <c r="B5" s="1">
        <v>977.77</v>
      </c>
      <c r="C5" s="2">
        <v>43935</v>
      </c>
      <c r="D5" s="3">
        <v>0.29239999999999999</v>
      </c>
      <c r="E5" s="1">
        <v>136</v>
      </c>
      <c r="F5" s="1">
        <f t="shared" si="3"/>
        <v>325.92333333333335</v>
      </c>
      <c r="G5" s="4">
        <f t="shared" si="0"/>
        <v>162.96166666666667</v>
      </c>
      <c r="H5" s="4">
        <f t="shared" si="4"/>
        <v>81.480833333333337</v>
      </c>
      <c r="I5" s="4">
        <f t="shared" si="1"/>
        <v>81.480833333333337</v>
      </c>
      <c r="J5" s="1">
        <f t="shared" si="2"/>
        <v>23.824995666666666</v>
      </c>
    </row>
    <row r="6" spans="1:12" x14ac:dyDescent="0.25">
      <c r="A6" t="s">
        <v>15</v>
      </c>
      <c r="B6" s="1">
        <v>5381.15</v>
      </c>
      <c r="C6" s="2">
        <v>43800</v>
      </c>
      <c r="D6" s="3">
        <v>0</v>
      </c>
      <c r="E6" s="1">
        <v>164</v>
      </c>
      <c r="F6" s="1">
        <f t="shared" si="3"/>
        <v>1793.7166666666665</v>
      </c>
      <c r="G6" s="4">
        <f t="shared" si="0"/>
        <v>896.85833333333323</v>
      </c>
      <c r="H6" s="4">
        <f t="shared" si="4"/>
        <v>448.42916666666662</v>
      </c>
      <c r="I6" s="4">
        <f t="shared" si="1"/>
        <v>448.42916666666662</v>
      </c>
      <c r="J6" s="1">
        <f t="shared" si="2"/>
        <v>0</v>
      </c>
      <c r="K6" s="1">
        <v>221</v>
      </c>
    </row>
    <row r="7" spans="1:12" x14ac:dyDescent="0.25">
      <c r="A7" t="s">
        <v>16</v>
      </c>
      <c r="B7" s="1">
        <v>6033</v>
      </c>
      <c r="C7" s="2">
        <v>43751</v>
      </c>
      <c r="D7" s="3">
        <v>0</v>
      </c>
      <c r="E7" s="1">
        <v>298</v>
      </c>
      <c r="F7" s="1">
        <f t="shared" si="3"/>
        <v>2011</v>
      </c>
      <c r="G7" s="4">
        <f t="shared" si="0"/>
        <v>1005.5</v>
      </c>
      <c r="H7" s="4">
        <f t="shared" si="4"/>
        <v>502.75</v>
      </c>
      <c r="I7" s="4">
        <f t="shared" si="1"/>
        <v>502.75</v>
      </c>
      <c r="J7" s="1">
        <f t="shared" si="2"/>
        <v>0</v>
      </c>
      <c r="K7" s="1">
        <v>273</v>
      </c>
    </row>
    <row r="8" spans="1:12" x14ac:dyDescent="0.25">
      <c r="A8" t="s">
        <v>17</v>
      </c>
      <c r="B8" s="1">
        <v>8.4700000000000006</v>
      </c>
      <c r="C8" s="2"/>
      <c r="D8" s="3">
        <v>0.1749</v>
      </c>
      <c r="E8" s="1">
        <v>210</v>
      </c>
      <c r="F8" s="1">
        <f t="shared" si="3"/>
        <v>2.8233333333333337</v>
      </c>
      <c r="G8" s="4">
        <f t="shared" si="0"/>
        <v>1.4116666666666668</v>
      </c>
      <c r="H8" s="4">
        <f t="shared" si="4"/>
        <v>0.70583333333333342</v>
      </c>
      <c r="I8" s="4">
        <f t="shared" si="1"/>
        <v>0.70583333333333342</v>
      </c>
      <c r="J8" s="1">
        <f>(B8*D8)/12</f>
        <v>0.12345025</v>
      </c>
      <c r="K8" s="1">
        <v>138</v>
      </c>
      <c r="L8" s="4"/>
    </row>
    <row r="9" spans="1:12" x14ac:dyDescent="0.25">
      <c r="A9" t="s">
        <v>18</v>
      </c>
      <c r="B9" s="1">
        <v>0</v>
      </c>
      <c r="D9" s="3">
        <v>0.1749</v>
      </c>
      <c r="E9" s="1">
        <v>115</v>
      </c>
      <c r="F9" s="1">
        <f t="shared" si="3"/>
        <v>0</v>
      </c>
      <c r="G9" s="4">
        <f t="shared" si="0"/>
        <v>0</v>
      </c>
      <c r="H9" s="4">
        <f t="shared" si="4"/>
        <v>0</v>
      </c>
      <c r="I9" s="4">
        <f t="shared" si="1"/>
        <v>0</v>
      </c>
      <c r="J9" s="1">
        <f t="shared" si="2"/>
        <v>0</v>
      </c>
      <c r="K9" s="1">
        <v>140</v>
      </c>
    </row>
    <row r="10" spans="1:12" x14ac:dyDescent="0.25">
      <c r="A10" t="s">
        <v>19</v>
      </c>
      <c r="B10" s="1">
        <v>13249.42</v>
      </c>
      <c r="C10" t="s">
        <v>43</v>
      </c>
      <c r="D10" s="3">
        <v>0</v>
      </c>
      <c r="E10" s="1">
        <v>153</v>
      </c>
      <c r="F10" s="1">
        <f t="shared" si="3"/>
        <v>4416.4733333333334</v>
      </c>
      <c r="G10" s="4">
        <f t="shared" si="0"/>
        <v>2208.2366666666667</v>
      </c>
      <c r="H10" s="4">
        <f t="shared" si="4"/>
        <v>1104.1183333333333</v>
      </c>
      <c r="I10" s="4">
        <f t="shared" si="1"/>
        <v>1104.1183333333333</v>
      </c>
      <c r="J10" s="1">
        <f t="shared" si="2"/>
        <v>0</v>
      </c>
      <c r="K10" s="1">
        <v>471</v>
      </c>
    </row>
    <row r="11" spans="1:12" x14ac:dyDescent="0.25">
      <c r="A11" t="s">
        <v>38</v>
      </c>
      <c r="B11" s="1">
        <v>106.56</v>
      </c>
      <c r="C11" s="2"/>
      <c r="F11" s="1">
        <f t="shared" si="3"/>
        <v>35.520000000000003</v>
      </c>
      <c r="G11" s="4">
        <f t="shared" si="0"/>
        <v>17.760000000000002</v>
      </c>
      <c r="H11" s="4">
        <f t="shared" si="4"/>
        <v>8.8800000000000008</v>
      </c>
      <c r="I11" s="4">
        <f t="shared" si="1"/>
        <v>8.8800000000000008</v>
      </c>
      <c r="J11" s="1">
        <f t="shared" si="2"/>
        <v>0</v>
      </c>
    </row>
    <row r="12" spans="1:12" x14ac:dyDescent="0.25">
      <c r="A12" t="s">
        <v>21</v>
      </c>
      <c r="B12" s="1">
        <v>300</v>
      </c>
      <c r="C12" s="2"/>
      <c r="E12" s="1">
        <v>380</v>
      </c>
      <c r="F12" s="1">
        <f t="shared" si="3"/>
        <v>100</v>
      </c>
      <c r="G12" s="4">
        <f t="shared" si="0"/>
        <v>50</v>
      </c>
      <c r="H12" s="4">
        <f t="shared" si="4"/>
        <v>25</v>
      </c>
      <c r="I12" s="4">
        <f t="shared" si="1"/>
        <v>25</v>
      </c>
      <c r="J12" s="1">
        <f t="shared" si="2"/>
        <v>0</v>
      </c>
    </row>
    <row r="13" spans="1:12" x14ac:dyDescent="0.25">
      <c r="A13" t="s">
        <v>22</v>
      </c>
      <c r="B13" s="1">
        <v>952.23</v>
      </c>
      <c r="C13" s="2"/>
      <c r="D13" s="3">
        <v>9.9900000000000003E-2</v>
      </c>
      <c r="F13" s="1">
        <f t="shared" si="3"/>
        <v>317.41000000000003</v>
      </c>
      <c r="G13" s="4">
        <f t="shared" si="0"/>
        <v>158.70500000000001</v>
      </c>
      <c r="H13" s="4">
        <f>G13/2</f>
        <v>79.352500000000006</v>
      </c>
      <c r="I13" s="4">
        <f t="shared" si="1"/>
        <v>79.352500000000006</v>
      </c>
      <c r="J13" s="1">
        <f t="shared" si="2"/>
        <v>7.9273147500000007</v>
      </c>
    </row>
    <row r="14" spans="1:12" x14ac:dyDescent="0.25">
      <c r="A14" t="s">
        <v>10</v>
      </c>
      <c r="B14" s="1">
        <v>34730.120000000003</v>
      </c>
      <c r="D14" s="3">
        <v>0.1774</v>
      </c>
      <c r="F14" s="1">
        <f t="shared" si="3"/>
        <v>11576.706666666667</v>
      </c>
      <c r="G14" s="4">
        <f t="shared" si="0"/>
        <v>5788.3533333333335</v>
      </c>
      <c r="H14" s="4">
        <f t="shared" si="4"/>
        <v>2894.1766666666667</v>
      </c>
      <c r="I14" s="4">
        <f t="shared" si="1"/>
        <v>2894.1766666666667</v>
      </c>
      <c r="J14" s="1">
        <f t="shared" si="2"/>
        <v>513.42694066666672</v>
      </c>
    </row>
    <row r="15" spans="1:12" x14ac:dyDescent="0.25">
      <c r="A15" t="s">
        <v>56</v>
      </c>
      <c r="F15" s="1">
        <f t="shared" si="3"/>
        <v>0</v>
      </c>
      <c r="G15" s="4">
        <f t="shared" si="0"/>
        <v>0</v>
      </c>
      <c r="H15" s="4">
        <f t="shared" si="4"/>
        <v>0</v>
      </c>
      <c r="I15" s="4">
        <f t="shared" si="1"/>
        <v>0</v>
      </c>
      <c r="J15" s="1">
        <f t="shared" si="2"/>
        <v>0</v>
      </c>
    </row>
    <row r="16" spans="1:12" x14ac:dyDescent="0.25">
      <c r="A16" t="s">
        <v>35</v>
      </c>
      <c r="B16" s="1">
        <v>0</v>
      </c>
      <c r="F16" s="1">
        <f t="shared" si="3"/>
        <v>0</v>
      </c>
      <c r="G16" s="4">
        <f t="shared" si="0"/>
        <v>0</v>
      </c>
      <c r="H16" s="4">
        <f t="shared" si="4"/>
        <v>0</v>
      </c>
      <c r="I16" s="4">
        <f t="shared" si="1"/>
        <v>0</v>
      </c>
      <c r="J16" s="1">
        <f t="shared" si="2"/>
        <v>0</v>
      </c>
    </row>
    <row r="17" spans="1:11" x14ac:dyDescent="0.25">
      <c r="A17" t="s">
        <v>52</v>
      </c>
      <c r="B17" s="1">
        <v>239.51</v>
      </c>
      <c r="F17" s="1">
        <f t="shared" si="3"/>
        <v>79.836666666666659</v>
      </c>
      <c r="G17" s="4">
        <f t="shared" si="0"/>
        <v>39.918333333333329</v>
      </c>
      <c r="H17" s="4">
        <f t="shared" si="4"/>
        <v>19.959166666666665</v>
      </c>
      <c r="I17" s="4">
        <f t="shared" si="1"/>
        <v>19.959166666666665</v>
      </c>
      <c r="J17" s="1">
        <f t="shared" si="2"/>
        <v>0</v>
      </c>
    </row>
    <row r="18" spans="1:11" x14ac:dyDescent="0.25">
      <c r="A18" t="s">
        <v>39</v>
      </c>
      <c r="B18" s="1">
        <v>31916.720000000001</v>
      </c>
      <c r="F18" s="1">
        <f>B18/3</f>
        <v>10638.906666666668</v>
      </c>
      <c r="G18" s="4">
        <f>B18/6</f>
        <v>5319.4533333333338</v>
      </c>
      <c r="H18" s="4">
        <f t="shared" si="4"/>
        <v>2659.7266666666669</v>
      </c>
      <c r="I18" s="4">
        <f>B18/12</f>
        <v>2659.7266666666669</v>
      </c>
      <c r="J18" s="1">
        <f t="shared" si="2"/>
        <v>0</v>
      </c>
    </row>
    <row r="19" spans="1:11" x14ac:dyDescent="0.25">
      <c r="A19" t="s">
        <v>57</v>
      </c>
      <c r="B19" s="1">
        <v>49535.68</v>
      </c>
      <c r="F19" s="1">
        <f>B19/3</f>
        <v>16511.893333333333</v>
      </c>
      <c r="G19" s="4">
        <f>B19/6</f>
        <v>8255.9466666666667</v>
      </c>
      <c r="H19" s="4">
        <f t="shared" si="4"/>
        <v>4127.9733333333334</v>
      </c>
      <c r="I19" s="4">
        <f>B19/12</f>
        <v>4127.9733333333334</v>
      </c>
      <c r="J19" s="1">
        <f t="shared" si="2"/>
        <v>0</v>
      </c>
    </row>
    <row r="21" spans="1:11" x14ac:dyDescent="0.25">
      <c r="B21" s="1">
        <f>SUM(B2:B20)</f>
        <v>143470.62</v>
      </c>
      <c r="D21" s="3">
        <f>AVERAGE(D2:D20)</f>
        <v>0.12159999999999999</v>
      </c>
      <c r="E21" s="1">
        <f>SUM(E2:E20)</f>
        <v>1797</v>
      </c>
      <c r="F21" s="1">
        <f>SUM(F2:F20)</f>
        <v>47823.54</v>
      </c>
      <c r="G21" s="1">
        <f>SUM(G2:G20)</f>
        <v>23911.77</v>
      </c>
      <c r="H21" s="1"/>
      <c r="I21" s="1">
        <f>SUM(I2:I20)</f>
        <v>11955.885</v>
      </c>
      <c r="J21" s="1">
        <f>SUM(J2:J20)</f>
        <v>545.88555558333337</v>
      </c>
      <c r="K21" s="1">
        <f>SUM(K2:K20)</f>
        <v>1340</v>
      </c>
    </row>
    <row r="22" spans="1:11" x14ac:dyDescent="0.25">
      <c r="J22" s="1">
        <f>(B21*D21)/12</f>
        <v>1453.8356159999996</v>
      </c>
    </row>
    <row r="24" spans="1:11" x14ac:dyDescent="0.25">
      <c r="A24" s="8" t="s">
        <v>36</v>
      </c>
      <c r="B24" s="18"/>
      <c r="C24" s="15">
        <v>3374.19</v>
      </c>
      <c r="D24" s="1">
        <v>3374.19</v>
      </c>
      <c r="F24" s="6"/>
    </row>
    <row r="25" spans="1:11" x14ac:dyDescent="0.25">
      <c r="A25" s="8" t="s">
        <v>37</v>
      </c>
      <c r="B25" s="15">
        <v>550</v>
      </c>
      <c r="C25" s="4"/>
      <c r="D25" s="1">
        <v>550</v>
      </c>
      <c r="F25" s="6">
        <v>43926</v>
      </c>
    </row>
    <row r="26" spans="1:11" x14ac:dyDescent="0.25">
      <c r="A26" s="8" t="s">
        <v>24</v>
      </c>
      <c r="B26" s="15">
        <v>847.62</v>
      </c>
      <c r="C26" s="1"/>
      <c r="D26" s="1">
        <v>847.62</v>
      </c>
      <c r="E26" s="12">
        <f>SUM(B26:B26)</f>
        <v>847.62</v>
      </c>
      <c r="F26" s="7"/>
    </row>
    <row r="27" spans="1:11" x14ac:dyDescent="0.25">
      <c r="A27" s="8" t="s">
        <v>39</v>
      </c>
      <c r="B27" s="15">
        <v>15000</v>
      </c>
      <c r="C27" s="15">
        <v>7000</v>
      </c>
      <c r="D27" s="1">
        <v>1207.1300000000001</v>
      </c>
    </row>
    <row r="28" spans="1:11" x14ac:dyDescent="0.25">
      <c r="A28" s="8" t="s">
        <v>57</v>
      </c>
      <c r="B28" s="15">
        <v>1382.89</v>
      </c>
      <c r="C28" s="1"/>
      <c r="D28" s="1"/>
    </row>
    <row r="29" spans="1:11" x14ac:dyDescent="0.25">
      <c r="A29" s="8" t="s">
        <v>11</v>
      </c>
      <c r="B29" s="18">
        <v>0</v>
      </c>
      <c r="C29" s="1"/>
    </row>
    <row r="30" spans="1:11" x14ac:dyDescent="0.25">
      <c r="A30" s="8" t="s">
        <v>12</v>
      </c>
      <c r="B30" s="15">
        <v>39.99</v>
      </c>
      <c r="C30" s="1"/>
    </row>
    <row r="31" spans="1:11" x14ac:dyDescent="0.25">
      <c r="A31" s="8" t="s">
        <v>13</v>
      </c>
      <c r="B31" s="18">
        <v>0</v>
      </c>
      <c r="C31" s="1"/>
    </row>
    <row r="32" spans="1:11" x14ac:dyDescent="0.25">
      <c r="A32" s="8" t="s">
        <v>14</v>
      </c>
      <c r="B32" s="15">
        <v>100</v>
      </c>
      <c r="C32" s="1"/>
      <c r="I32" t="s">
        <v>11</v>
      </c>
      <c r="J32" s="1">
        <v>0</v>
      </c>
    </row>
    <row r="33" spans="1:12" x14ac:dyDescent="0.25">
      <c r="A33" s="8" t="s">
        <v>15</v>
      </c>
      <c r="B33" s="15">
        <v>199</v>
      </c>
      <c r="C33" s="1"/>
      <c r="I33" t="s">
        <v>12</v>
      </c>
      <c r="J33" s="13">
        <v>2596.11</v>
      </c>
    </row>
    <row r="34" spans="1:12" x14ac:dyDescent="0.25">
      <c r="A34" s="8" t="s">
        <v>16</v>
      </c>
      <c r="B34" s="15">
        <v>248</v>
      </c>
      <c r="C34" s="1"/>
      <c r="G34" s="1"/>
      <c r="I34" t="s">
        <v>13</v>
      </c>
      <c r="J34" s="1">
        <v>0</v>
      </c>
    </row>
    <row r="35" spans="1:12" x14ac:dyDescent="0.25">
      <c r="A35" s="8" t="s">
        <v>17</v>
      </c>
      <c r="B35" s="15">
        <v>8.4700000000000006</v>
      </c>
      <c r="C35" s="15">
        <v>59.54</v>
      </c>
      <c r="I35" t="s">
        <v>14</v>
      </c>
      <c r="K35" s="1">
        <v>1275.21</v>
      </c>
    </row>
    <row r="36" spans="1:12" x14ac:dyDescent="0.25">
      <c r="A36" s="8" t="s">
        <v>18</v>
      </c>
      <c r="B36" s="18">
        <v>0</v>
      </c>
      <c r="C36" s="1"/>
      <c r="G36" s="13"/>
      <c r="I36" t="s">
        <v>15</v>
      </c>
      <c r="K36" s="1">
        <v>6219.78</v>
      </c>
    </row>
    <row r="37" spans="1:12" x14ac:dyDescent="0.25">
      <c r="A37" s="8" t="s">
        <v>19</v>
      </c>
      <c r="B37" s="15">
        <v>250</v>
      </c>
      <c r="C37" s="15">
        <v>250</v>
      </c>
      <c r="G37" s="1"/>
      <c r="I37" t="s">
        <v>16</v>
      </c>
      <c r="K37" s="1">
        <v>7107</v>
      </c>
    </row>
    <row r="38" spans="1:12" x14ac:dyDescent="0.25">
      <c r="A38" s="8" t="s">
        <v>38</v>
      </c>
      <c r="B38" s="15">
        <v>106.56</v>
      </c>
      <c r="C38" s="1"/>
      <c r="G38" s="1"/>
      <c r="I38" t="s">
        <v>17</v>
      </c>
      <c r="J38" s="1">
        <v>3714.28</v>
      </c>
    </row>
    <row r="39" spans="1:12" x14ac:dyDescent="0.25">
      <c r="A39" s="8" t="s">
        <v>21</v>
      </c>
      <c r="B39" s="15">
        <v>300</v>
      </c>
      <c r="C39" s="1"/>
      <c r="I39" t="s">
        <v>18</v>
      </c>
      <c r="J39" s="1">
        <v>3819.28</v>
      </c>
    </row>
    <row r="40" spans="1:12" x14ac:dyDescent="0.25">
      <c r="A40" s="8" t="s">
        <v>22</v>
      </c>
      <c r="B40" s="15">
        <v>148</v>
      </c>
      <c r="C40" s="1"/>
      <c r="G40" s="14"/>
      <c r="I40" t="s">
        <v>19</v>
      </c>
      <c r="K40" s="1">
        <v>15593.49</v>
      </c>
    </row>
    <row r="41" spans="1:12" x14ac:dyDescent="0.25">
      <c r="A41" s="8" t="s">
        <v>10</v>
      </c>
      <c r="B41" s="15">
        <v>1000</v>
      </c>
      <c r="C41" s="15">
        <v>3000</v>
      </c>
      <c r="I41" t="s">
        <v>20</v>
      </c>
      <c r="J41" s="1">
        <v>0</v>
      </c>
    </row>
    <row r="42" spans="1:12" s="3" customFormat="1" x14ac:dyDescent="0.25">
      <c r="A42" s="8" t="s">
        <v>35</v>
      </c>
      <c r="B42" s="18">
        <v>0</v>
      </c>
      <c r="C42" s="1"/>
      <c r="E42" s="1"/>
      <c r="F42" s="1"/>
      <c r="G42" s="4"/>
      <c r="H42"/>
      <c r="I42" t="s">
        <v>38</v>
      </c>
      <c r="J42" s="1">
        <v>0</v>
      </c>
      <c r="K42" s="1"/>
      <c r="L42"/>
    </row>
    <row r="43" spans="1:12" s="3" customFormat="1" x14ac:dyDescent="0.25">
      <c r="A43" s="8" t="s">
        <v>33</v>
      </c>
      <c r="B43" s="15">
        <v>246</v>
      </c>
      <c r="C43" s="1"/>
      <c r="E43" s="1"/>
      <c r="F43" s="1"/>
      <c r="G43"/>
      <c r="H43"/>
      <c r="I43" t="s">
        <v>21</v>
      </c>
      <c r="J43" s="1">
        <v>0</v>
      </c>
      <c r="K43" s="1"/>
      <c r="L43"/>
    </row>
    <row r="44" spans="1:12" s="3" customFormat="1" x14ac:dyDescent="0.25">
      <c r="A44" s="8" t="s">
        <v>44</v>
      </c>
      <c r="B44" s="15">
        <v>253.77</v>
      </c>
      <c r="C44" s="1"/>
      <c r="E44" s="1"/>
      <c r="F44" s="1"/>
      <c r="G44"/>
      <c r="H44"/>
      <c r="I44" t="s">
        <v>22</v>
      </c>
      <c r="K44" s="1">
        <v>1642.23</v>
      </c>
      <c r="L44"/>
    </row>
    <row r="45" spans="1:12" x14ac:dyDescent="0.25">
      <c r="A45" s="8" t="s">
        <v>45</v>
      </c>
      <c r="B45" s="15">
        <v>126.4</v>
      </c>
      <c r="C45" s="1"/>
      <c r="D45" s="1"/>
      <c r="I45" t="s">
        <v>10</v>
      </c>
      <c r="J45" s="1">
        <v>10000</v>
      </c>
      <c r="K45" s="1">
        <v>36358.93</v>
      </c>
    </row>
    <row r="46" spans="1:12" s="3" customFormat="1" x14ac:dyDescent="0.25">
      <c r="A46" s="8" t="s">
        <v>52</v>
      </c>
      <c r="B46" s="15">
        <v>260.36</v>
      </c>
      <c r="C46" s="1"/>
      <c r="D46" s="1"/>
      <c r="E46" s="1"/>
      <c r="F46" s="1"/>
      <c r="G46"/>
      <c r="H46"/>
      <c r="I46" t="s">
        <v>35</v>
      </c>
      <c r="J46" s="1">
        <v>0</v>
      </c>
      <c r="K46" s="1"/>
      <c r="L46"/>
    </row>
    <row r="47" spans="1:12" s="3" customFormat="1" x14ac:dyDescent="0.25">
      <c r="A47" s="8" t="s">
        <v>55</v>
      </c>
      <c r="B47" s="18">
        <v>0</v>
      </c>
      <c r="D47" s="1"/>
      <c r="E47" s="1"/>
      <c r="F47" s="1"/>
      <c r="H47"/>
      <c r="I47"/>
      <c r="J47" s="1"/>
      <c r="K47" s="1"/>
      <c r="L47"/>
    </row>
    <row r="48" spans="1:12" s="3" customFormat="1" x14ac:dyDescent="0.25">
      <c r="A48" s="8"/>
      <c r="B48" s="1"/>
      <c r="C48" s="1"/>
      <c r="E48" s="1"/>
      <c r="F48" s="1"/>
      <c r="H48"/>
      <c r="I48"/>
      <c r="J48" s="1"/>
      <c r="K48" s="1"/>
      <c r="L48"/>
    </row>
    <row r="49" spans="1:12" s="3" customFormat="1" x14ac:dyDescent="0.25">
      <c r="A49" s="8" t="s">
        <v>41</v>
      </c>
      <c r="B49" s="1">
        <f>SUM(B24:B48)</f>
        <v>21067.060000000005</v>
      </c>
      <c r="C49" s="1">
        <f>SUM(C24:C48)</f>
        <v>13683.730000000001</v>
      </c>
      <c r="D49" s="1">
        <f>SUM(D25:D48)</f>
        <v>2604.75</v>
      </c>
      <c r="E49" s="1"/>
      <c r="F49" s="1"/>
      <c r="H49"/>
      <c r="I49"/>
      <c r="J49" s="1"/>
      <c r="K49" s="1"/>
      <c r="L49"/>
    </row>
    <row r="50" spans="1:12" s="3" customFormat="1" x14ac:dyDescent="0.25">
      <c r="A50"/>
      <c r="B50" s="1"/>
      <c r="C50"/>
      <c r="E50" s="1"/>
      <c r="F50" s="1"/>
      <c r="G50"/>
      <c r="H50"/>
      <c r="I50"/>
      <c r="J50" s="1"/>
      <c r="K50" s="1"/>
      <c r="L50"/>
    </row>
    <row r="51" spans="1:12" x14ac:dyDescent="0.25">
      <c r="A51" s="8" t="s">
        <v>40</v>
      </c>
      <c r="B51" s="9">
        <v>3889.12</v>
      </c>
      <c r="C51" s="9">
        <v>3889.12</v>
      </c>
      <c r="J51" s="1">
        <f>SUM(J32:J46)</f>
        <v>20129.669999999998</v>
      </c>
    </row>
    <row r="52" spans="1:12" x14ac:dyDescent="0.25">
      <c r="B52" s="1">
        <v>682.15</v>
      </c>
    </row>
    <row r="53" spans="1:12" x14ac:dyDescent="0.25">
      <c r="A53" t="s">
        <v>42</v>
      </c>
      <c r="B53" s="1">
        <f>B51-B49</f>
        <v>-17177.940000000006</v>
      </c>
      <c r="C53" s="1">
        <f>C51-C49</f>
        <v>-9794.61</v>
      </c>
      <c r="I53" t="s">
        <v>39</v>
      </c>
      <c r="J53" s="1">
        <v>35056.15</v>
      </c>
    </row>
    <row r="54" spans="1:12" x14ac:dyDescent="0.25">
      <c r="B54" s="1">
        <f>B51-B52</f>
        <v>3206.97</v>
      </c>
    </row>
    <row r="55" spans="1:12" x14ac:dyDescent="0.25">
      <c r="B55" s="1">
        <f>B49-B54</f>
        <v>17860.090000000004</v>
      </c>
      <c r="J55" s="1">
        <f>J53-J51</f>
        <v>14926.480000000003</v>
      </c>
    </row>
  </sheetData>
  <autoFilter ref="A1:K14" xr:uid="{1F705934-551F-4A30-809C-BD2B1658412C}">
    <sortState xmlns:xlrd2="http://schemas.microsoft.com/office/spreadsheetml/2017/richdata2" ref="A2:K14">
      <sortCondition descending="1" ref="D1:D14"/>
    </sortState>
  </autoFilter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8860-D293-4055-8001-D37C35DCA98B}">
  <dimension ref="A1:L55"/>
  <sheetViews>
    <sheetView topLeftCell="A19" workbookViewId="0">
      <selection activeCell="B45" sqref="B45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0.5703125" bestFit="1" customWidth="1"/>
    <col min="10" max="10" width="12.140625" style="1" bestFit="1" customWidth="1"/>
    <col min="11" max="11" width="14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11</v>
      </c>
      <c r="B2" s="1">
        <v>0</v>
      </c>
      <c r="E2" s="1">
        <v>52</v>
      </c>
      <c r="F2" s="1">
        <f>B2/3</f>
        <v>0</v>
      </c>
      <c r="G2" s="4">
        <f t="shared" ref="G2:G16" si="0">B2/6</f>
        <v>0</v>
      </c>
      <c r="H2" s="4">
        <f>G2/2</f>
        <v>0</v>
      </c>
      <c r="I2" s="4">
        <f t="shared" ref="I2:I16" si="1">B2/12</f>
        <v>0</v>
      </c>
      <c r="J2" s="1">
        <f t="shared" ref="J2:J17" si="2">(B2*D2)/12</f>
        <v>0</v>
      </c>
      <c r="L2" s="4"/>
    </row>
    <row r="3" spans="1:12" x14ac:dyDescent="0.25">
      <c r="A3" t="s">
        <v>12</v>
      </c>
      <c r="B3" s="1">
        <v>0</v>
      </c>
      <c r="C3" s="2"/>
      <c r="D3" s="3">
        <v>0.1749</v>
      </c>
      <c r="E3" s="1">
        <v>182</v>
      </c>
      <c r="F3" s="1">
        <f t="shared" ref="F3:F16" si="3">B3/3</f>
        <v>0</v>
      </c>
      <c r="G3" s="4">
        <f t="shared" si="0"/>
        <v>0</v>
      </c>
      <c r="H3" s="4">
        <f t="shared" ref="H3:H18" si="4">G3/2</f>
        <v>0</v>
      </c>
      <c r="I3" s="4">
        <f t="shared" si="1"/>
        <v>0</v>
      </c>
      <c r="J3" s="1">
        <f t="shared" si="2"/>
        <v>0</v>
      </c>
      <c r="K3" s="1">
        <v>97</v>
      </c>
    </row>
    <row r="4" spans="1:12" x14ac:dyDescent="0.25">
      <c r="A4" t="s">
        <v>13</v>
      </c>
      <c r="B4" s="1">
        <v>0</v>
      </c>
      <c r="C4" s="2"/>
      <c r="E4" s="1">
        <v>107</v>
      </c>
      <c r="F4" s="1">
        <f t="shared" si="3"/>
        <v>0</v>
      </c>
      <c r="G4" s="4">
        <f t="shared" si="0"/>
        <v>0</v>
      </c>
      <c r="H4" s="4">
        <f t="shared" si="4"/>
        <v>0</v>
      </c>
      <c r="I4" s="4">
        <f t="shared" si="1"/>
        <v>0</v>
      </c>
      <c r="J4" s="1">
        <f t="shared" si="2"/>
        <v>0</v>
      </c>
    </row>
    <row r="5" spans="1:12" x14ac:dyDescent="0.25">
      <c r="A5" t="s">
        <v>14</v>
      </c>
      <c r="B5" s="1">
        <v>1052.1300000000001</v>
      </c>
      <c r="C5" s="2"/>
      <c r="D5" s="3">
        <v>0.29239999999999999</v>
      </c>
      <c r="E5" s="1">
        <v>136</v>
      </c>
      <c r="F5" s="1">
        <f t="shared" si="3"/>
        <v>350.71000000000004</v>
      </c>
      <c r="G5" s="4">
        <f t="shared" si="0"/>
        <v>175.35500000000002</v>
      </c>
      <c r="H5" s="4">
        <f t="shared" si="4"/>
        <v>87.677500000000009</v>
      </c>
      <c r="I5" s="4">
        <f t="shared" si="1"/>
        <v>87.677500000000009</v>
      </c>
      <c r="J5" s="1">
        <f t="shared" si="2"/>
        <v>25.636901000000005</v>
      </c>
    </row>
    <row r="6" spans="1:12" x14ac:dyDescent="0.25">
      <c r="A6" t="s">
        <v>15</v>
      </c>
      <c r="B6" s="1">
        <v>5584.15</v>
      </c>
      <c r="C6" s="2">
        <v>43800</v>
      </c>
      <c r="D6" s="3">
        <v>0</v>
      </c>
      <c r="E6" s="1">
        <v>164</v>
      </c>
      <c r="F6" s="1">
        <f t="shared" si="3"/>
        <v>1861.3833333333332</v>
      </c>
      <c r="G6" s="4">
        <f t="shared" si="0"/>
        <v>930.69166666666661</v>
      </c>
      <c r="H6" s="4">
        <f t="shared" si="4"/>
        <v>465.3458333333333</v>
      </c>
      <c r="I6" s="4">
        <f t="shared" si="1"/>
        <v>465.3458333333333</v>
      </c>
      <c r="J6" s="1">
        <f t="shared" si="2"/>
        <v>0</v>
      </c>
      <c r="K6" s="1">
        <v>221</v>
      </c>
    </row>
    <row r="7" spans="1:12" x14ac:dyDescent="0.25">
      <c r="A7" t="s">
        <v>16</v>
      </c>
      <c r="B7" s="1">
        <v>6289</v>
      </c>
      <c r="C7" s="2">
        <v>43751</v>
      </c>
      <c r="D7" s="3">
        <v>0</v>
      </c>
      <c r="E7" s="1">
        <v>298</v>
      </c>
      <c r="F7" s="1">
        <f t="shared" si="3"/>
        <v>2096.3333333333335</v>
      </c>
      <c r="G7" s="4">
        <f t="shared" si="0"/>
        <v>1048.1666666666667</v>
      </c>
      <c r="H7" s="4">
        <f t="shared" si="4"/>
        <v>524.08333333333337</v>
      </c>
      <c r="I7" s="4">
        <f t="shared" si="1"/>
        <v>524.08333333333337</v>
      </c>
      <c r="J7" s="1">
        <f t="shared" si="2"/>
        <v>0</v>
      </c>
      <c r="K7" s="1">
        <v>273</v>
      </c>
    </row>
    <row r="8" spans="1:12" x14ac:dyDescent="0.25">
      <c r="A8" t="s">
        <v>17</v>
      </c>
      <c r="B8" s="1">
        <v>8.4700000000000006</v>
      </c>
      <c r="C8" s="2"/>
      <c r="D8" s="3">
        <v>0.1749</v>
      </c>
      <c r="E8" s="1">
        <v>210</v>
      </c>
      <c r="F8" s="1">
        <f t="shared" si="3"/>
        <v>2.8233333333333337</v>
      </c>
      <c r="G8" s="4">
        <f t="shared" si="0"/>
        <v>1.4116666666666668</v>
      </c>
      <c r="H8" s="4">
        <f t="shared" si="4"/>
        <v>0.70583333333333342</v>
      </c>
      <c r="I8" s="4">
        <f t="shared" si="1"/>
        <v>0.70583333333333342</v>
      </c>
      <c r="J8" s="1">
        <f>(B8*D8)/12</f>
        <v>0.12345025</v>
      </c>
      <c r="K8" s="1">
        <v>138</v>
      </c>
      <c r="L8" s="4"/>
    </row>
    <row r="9" spans="1:12" x14ac:dyDescent="0.25">
      <c r="A9" t="s">
        <v>18</v>
      </c>
      <c r="B9" s="1">
        <v>0</v>
      </c>
      <c r="D9" s="3">
        <v>0.1749</v>
      </c>
      <c r="E9" s="1">
        <v>115</v>
      </c>
      <c r="F9" s="1">
        <f t="shared" si="3"/>
        <v>0</v>
      </c>
      <c r="G9" s="4">
        <f t="shared" si="0"/>
        <v>0</v>
      </c>
      <c r="H9" s="4">
        <f t="shared" si="4"/>
        <v>0</v>
      </c>
      <c r="I9" s="4">
        <f t="shared" si="1"/>
        <v>0</v>
      </c>
      <c r="J9" s="1">
        <f t="shared" si="2"/>
        <v>0</v>
      </c>
      <c r="K9" s="1">
        <v>140</v>
      </c>
    </row>
    <row r="10" spans="1:12" x14ac:dyDescent="0.25">
      <c r="A10" t="s">
        <v>19</v>
      </c>
      <c r="B10" s="1">
        <v>13190.97</v>
      </c>
      <c r="C10" t="s">
        <v>43</v>
      </c>
      <c r="D10" s="3">
        <v>0</v>
      </c>
      <c r="E10" s="1">
        <v>153</v>
      </c>
      <c r="F10" s="1">
        <f t="shared" si="3"/>
        <v>4396.99</v>
      </c>
      <c r="G10" s="4">
        <f t="shared" si="0"/>
        <v>2198.4949999999999</v>
      </c>
      <c r="H10" s="4">
        <f t="shared" si="4"/>
        <v>1099.2474999999999</v>
      </c>
      <c r="I10" s="4">
        <f t="shared" si="1"/>
        <v>1099.2474999999999</v>
      </c>
      <c r="J10" s="1">
        <f t="shared" si="2"/>
        <v>0</v>
      </c>
      <c r="K10" s="1">
        <v>471</v>
      </c>
    </row>
    <row r="11" spans="1:12" x14ac:dyDescent="0.25">
      <c r="A11" t="s">
        <v>38</v>
      </c>
      <c r="B11" s="1">
        <v>0</v>
      </c>
      <c r="C11" s="2"/>
      <c r="F11" s="1">
        <f t="shared" si="3"/>
        <v>0</v>
      </c>
      <c r="G11" s="4">
        <f t="shared" si="0"/>
        <v>0</v>
      </c>
      <c r="H11" s="4">
        <f t="shared" si="4"/>
        <v>0</v>
      </c>
      <c r="I11" s="4">
        <f t="shared" si="1"/>
        <v>0</v>
      </c>
      <c r="J11" s="1">
        <f t="shared" si="2"/>
        <v>0</v>
      </c>
    </row>
    <row r="12" spans="1:12" x14ac:dyDescent="0.25">
      <c r="A12" t="s">
        <v>21</v>
      </c>
      <c r="B12" s="1">
        <v>0</v>
      </c>
      <c r="C12" s="2"/>
      <c r="E12" s="1">
        <v>380</v>
      </c>
      <c r="F12" s="1">
        <f t="shared" si="3"/>
        <v>0</v>
      </c>
      <c r="G12" s="4">
        <f t="shared" si="0"/>
        <v>0</v>
      </c>
      <c r="H12" s="4">
        <f t="shared" si="4"/>
        <v>0</v>
      </c>
      <c r="I12" s="4">
        <f t="shared" si="1"/>
        <v>0</v>
      </c>
      <c r="J12" s="1">
        <f t="shared" si="2"/>
        <v>0</v>
      </c>
    </row>
    <row r="13" spans="1:12" x14ac:dyDescent="0.25">
      <c r="A13" t="s">
        <v>22</v>
      </c>
      <c r="C13" s="2"/>
      <c r="D13" s="3">
        <v>9.9900000000000003E-2</v>
      </c>
      <c r="F13" s="1">
        <f t="shared" si="3"/>
        <v>0</v>
      </c>
      <c r="G13" s="4">
        <f t="shared" si="0"/>
        <v>0</v>
      </c>
      <c r="H13" s="4">
        <f>G13/2</f>
        <v>0</v>
      </c>
      <c r="I13" s="4">
        <f t="shared" si="1"/>
        <v>0</v>
      </c>
      <c r="J13" s="1">
        <f t="shared" si="2"/>
        <v>0</v>
      </c>
    </row>
    <row r="14" spans="1:12" x14ac:dyDescent="0.25">
      <c r="A14" t="s">
        <v>10</v>
      </c>
      <c r="B14" s="1">
        <v>38906.94</v>
      </c>
      <c r="F14" s="1">
        <f t="shared" si="3"/>
        <v>12968.980000000001</v>
      </c>
      <c r="G14" s="4">
        <f t="shared" si="0"/>
        <v>6484.4900000000007</v>
      </c>
      <c r="H14" s="4">
        <f t="shared" si="4"/>
        <v>3242.2450000000003</v>
      </c>
      <c r="I14" s="4">
        <f t="shared" si="1"/>
        <v>3242.2450000000003</v>
      </c>
      <c r="J14" s="1">
        <f t="shared" si="2"/>
        <v>0</v>
      </c>
    </row>
    <row r="15" spans="1:12" x14ac:dyDescent="0.25">
      <c r="A15" t="s">
        <v>56</v>
      </c>
      <c r="F15" s="1">
        <f t="shared" si="3"/>
        <v>0</v>
      </c>
      <c r="G15" s="4">
        <f t="shared" si="0"/>
        <v>0</v>
      </c>
      <c r="H15" s="4">
        <f t="shared" si="4"/>
        <v>0</v>
      </c>
      <c r="I15" s="4">
        <f t="shared" si="1"/>
        <v>0</v>
      </c>
      <c r="J15" s="1">
        <f t="shared" si="2"/>
        <v>0</v>
      </c>
    </row>
    <row r="16" spans="1:12" x14ac:dyDescent="0.25">
      <c r="A16" t="s">
        <v>35</v>
      </c>
      <c r="B16" s="1">
        <v>0</v>
      </c>
      <c r="F16" s="1">
        <f t="shared" si="3"/>
        <v>0</v>
      </c>
      <c r="G16" s="4">
        <f t="shared" si="0"/>
        <v>0</v>
      </c>
      <c r="H16" s="4">
        <f t="shared" si="4"/>
        <v>0</v>
      </c>
      <c r="I16" s="4">
        <f t="shared" si="1"/>
        <v>0</v>
      </c>
      <c r="J16" s="1">
        <f t="shared" si="2"/>
        <v>0</v>
      </c>
    </row>
    <row r="17" spans="1:11" x14ac:dyDescent="0.25">
      <c r="A17" t="s">
        <v>52</v>
      </c>
      <c r="B17" s="1">
        <v>74.58</v>
      </c>
      <c r="F17" s="1">
        <f>B17/3</f>
        <v>24.86</v>
      </c>
      <c r="G17" s="4">
        <f>B17/6</f>
        <v>12.43</v>
      </c>
      <c r="H17" s="4">
        <f>G17/2</f>
        <v>6.2149999999999999</v>
      </c>
      <c r="I17" s="4">
        <f>B17/12</f>
        <v>6.2149999999999999</v>
      </c>
      <c r="J17" s="1">
        <f t="shared" si="2"/>
        <v>0</v>
      </c>
    </row>
    <row r="18" spans="1:11" x14ac:dyDescent="0.25">
      <c r="A18" t="s">
        <v>39</v>
      </c>
      <c r="B18" s="1">
        <v>32759.19</v>
      </c>
      <c r="F18" s="1">
        <f>B18/3</f>
        <v>10919.73</v>
      </c>
      <c r="G18" s="4">
        <f>B18/6</f>
        <v>5459.8649999999998</v>
      </c>
      <c r="H18" s="4">
        <f t="shared" si="4"/>
        <v>2729.9324999999999</v>
      </c>
      <c r="I18" s="4">
        <f>B18/12</f>
        <v>2729.9324999999999</v>
      </c>
    </row>
    <row r="19" spans="1:11" x14ac:dyDescent="0.25">
      <c r="A19" t="s">
        <v>57</v>
      </c>
      <c r="B19" s="1">
        <v>50361.23</v>
      </c>
      <c r="G19" s="4"/>
      <c r="H19" s="4"/>
      <c r="I19" s="4"/>
    </row>
    <row r="21" spans="1:11" x14ac:dyDescent="0.25">
      <c r="B21" s="1">
        <f>SUM(B2:B20)</f>
        <v>148226.66</v>
      </c>
      <c r="D21" s="3">
        <f>AVERAGE(D2:D20)</f>
        <v>0.11462499999999999</v>
      </c>
      <c r="E21" s="1">
        <f>SUM(E2:E20)</f>
        <v>1797</v>
      </c>
      <c r="F21" s="1">
        <f>SUM(F2:F20)</f>
        <v>32621.81</v>
      </c>
      <c r="G21" s="1">
        <f>SUM(G2:G20)</f>
        <v>16310.905000000001</v>
      </c>
      <c r="H21" s="1"/>
      <c r="I21" s="1">
        <f>SUM(I2:I20)</f>
        <v>8155.4525000000003</v>
      </c>
      <c r="J21" s="1">
        <f>SUM(J2:J20)</f>
        <v>25.760351250000006</v>
      </c>
      <c r="K21" s="1">
        <f>SUM(K2:K20)</f>
        <v>1340</v>
      </c>
    </row>
    <row r="22" spans="1:11" x14ac:dyDescent="0.25">
      <c r="J22" s="1">
        <f>(B21*D21)/12</f>
        <v>1415.8734085416665</v>
      </c>
    </row>
    <row r="24" spans="1:11" x14ac:dyDescent="0.25">
      <c r="A24" s="8" t="s">
        <v>36</v>
      </c>
      <c r="B24" s="1">
        <v>0</v>
      </c>
      <c r="C24" s="17">
        <f>D24-B24</f>
        <v>3374.19</v>
      </c>
      <c r="D24" s="1">
        <v>3374.19</v>
      </c>
      <c r="F24" s="6">
        <v>43419</v>
      </c>
    </row>
    <row r="25" spans="1:11" x14ac:dyDescent="0.25">
      <c r="A25" s="8" t="s">
        <v>37</v>
      </c>
      <c r="B25" s="15">
        <v>550</v>
      </c>
      <c r="C25" s="4">
        <f>D25-B25</f>
        <v>0</v>
      </c>
      <c r="D25" s="1">
        <v>550</v>
      </c>
      <c r="F25" s="6">
        <v>43926</v>
      </c>
    </row>
    <row r="26" spans="1:11" x14ac:dyDescent="0.25">
      <c r="A26" s="8" t="s">
        <v>24</v>
      </c>
      <c r="B26" s="15">
        <v>847.62</v>
      </c>
      <c r="C26" s="1"/>
      <c r="E26" s="12">
        <f>SUM(B26:B26)</f>
        <v>847.62</v>
      </c>
      <c r="F26" s="7">
        <f>DATEDIF(F24,F25,"m")</f>
        <v>16</v>
      </c>
    </row>
    <row r="27" spans="1:11" x14ac:dyDescent="0.25">
      <c r="A27" s="8" t="s">
        <v>23</v>
      </c>
      <c r="B27" s="15">
        <v>540.94000000000005</v>
      </c>
      <c r="C27" s="1"/>
      <c r="E27" s="12"/>
      <c r="F27" s="7"/>
    </row>
    <row r="28" spans="1:11" x14ac:dyDescent="0.25">
      <c r="A28" s="8" t="s">
        <v>39</v>
      </c>
      <c r="B28" s="15">
        <v>1207.1300000000001</v>
      </c>
      <c r="C28" s="1">
        <f>D28-B28</f>
        <v>0</v>
      </c>
      <c r="D28" s="1">
        <v>1207.1300000000001</v>
      </c>
      <c r="F28" s="1">
        <v>1438.37</v>
      </c>
    </row>
    <row r="29" spans="1:11" x14ac:dyDescent="0.25">
      <c r="A29" s="8" t="s">
        <v>57</v>
      </c>
      <c r="B29" s="15">
        <v>1382.89</v>
      </c>
      <c r="C29" s="1"/>
      <c r="D29" s="1"/>
      <c r="F29" s="1">
        <f>F28/F26</f>
        <v>89.898124999999993</v>
      </c>
    </row>
    <row r="30" spans="1:11" x14ac:dyDescent="0.25">
      <c r="A30" s="8" t="s">
        <v>11</v>
      </c>
      <c r="B30" s="1">
        <v>0</v>
      </c>
      <c r="C30" s="1"/>
    </row>
    <row r="31" spans="1:11" x14ac:dyDescent="0.25">
      <c r="A31" s="8" t="s">
        <v>12</v>
      </c>
      <c r="B31" s="1">
        <v>0</v>
      </c>
      <c r="C31" s="1"/>
    </row>
    <row r="32" spans="1:11" x14ac:dyDescent="0.25">
      <c r="A32" s="8" t="s">
        <v>13</v>
      </c>
      <c r="B32" s="1">
        <v>0</v>
      </c>
      <c r="C32" s="1"/>
      <c r="F32" s="1">
        <f>SUM(B28:B29)</f>
        <v>2590.0200000000004</v>
      </c>
      <c r="I32" t="s">
        <v>11</v>
      </c>
      <c r="J32" s="1">
        <v>0</v>
      </c>
    </row>
    <row r="33" spans="1:12" x14ac:dyDescent="0.25">
      <c r="A33" s="8" t="s">
        <v>14</v>
      </c>
      <c r="B33" s="15">
        <v>100</v>
      </c>
      <c r="C33" s="1"/>
      <c r="F33" s="1">
        <v>203</v>
      </c>
      <c r="I33" t="s">
        <v>12</v>
      </c>
      <c r="J33" s="13">
        <v>2596.11</v>
      </c>
    </row>
    <row r="34" spans="1:12" x14ac:dyDescent="0.25">
      <c r="A34" s="8" t="s">
        <v>15</v>
      </c>
      <c r="B34" s="15">
        <v>203</v>
      </c>
      <c r="C34" s="1"/>
      <c r="F34" s="1">
        <f>SUM(F32:F33)</f>
        <v>2793.0200000000004</v>
      </c>
      <c r="G34" s="1"/>
      <c r="I34" t="s">
        <v>13</v>
      </c>
      <c r="J34" s="1">
        <v>0</v>
      </c>
    </row>
    <row r="35" spans="1:12" x14ac:dyDescent="0.25">
      <c r="A35" s="8" t="s">
        <v>16</v>
      </c>
      <c r="B35" s="15">
        <v>256</v>
      </c>
      <c r="C35" s="1"/>
      <c r="F35" s="1">
        <v>2102.9299999999998</v>
      </c>
      <c r="I35" t="s">
        <v>14</v>
      </c>
      <c r="K35" s="1">
        <v>1275.21</v>
      </c>
    </row>
    <row r="36" spans="1:12" x14ac:dyDescent="0.25">
      <c r="A36" s="8" t="s">
        <v>17</v>
      </c>
      <c r="B36" s="1">
        <v>0</v>
      </c>
      <c r="C36" s="1"/>
      <c r="F36" s="1">
        <f>F34-F35</f>
        <v>690.0900000000006</v>
      </c>
      <c r="G36" s="13"/>
      <c r="I36" t="s">
        <v>15</v>
      </c>
      <c r="K36" s="1">
        <v>6219.78</v>
      </c>
    </row>
    <row r="37" spans="1:12" x14ac:dyDescent="0.25">
      <c r="A37" s="8" t="s">
        <v>18</v>
      </c>
      <c r="B37" s="1">
        <v>0</v>
      </c>
      <c r="C37" s="1"/>
      <c r="G37" s="1"/>
      <c r="I37" t="s">
        <v>16</v>
      </c>
      <c r="K37" s="1">
        <v>7107</v>
      </c>
    </row>
    <row r="38" spans="1:12" x14ac:dyDescent="0.25">
      <c r="A38" s="8" t="s">
        <v>19</v>
      </c>
      <c r="B38" s="15">
        <v>250</v>
      </c>
      <c r="C38" s="15">
        <v>250</v>
      </c>
      <c r="G38" s="1"/>
      <c r="I38" t="s">
        <v>17</v>
      </c>
      <c r="J38" s="1">
        <v>3714.28</v>
      </c>
    </row>
    <row r="39" spans="1:12" x14ac:dyDescent="0.25">
      <c r="A39" s="8" t="s">
        <v>38</v>
      </c>
      <c r="B39" s="1">
        <v>0</v>
      </c>
      <c r="C39" s="1"/>
      <c r="I39" t="s">
        <v>18</v>
      </c>
      <c r="J39" s="1">
        <v>3819.28</v>
      </c>
    </row>
    <row r="40" spans="1:12" x14ac:dyDescent="0.25">
      <c r="A40" s="8" t="s">
        <v>21</v>
      </c>
      <c r="B40" s="1">
        <v>0</v>
      </c>
      <c r="C40" s="1"/>
      <c r="G40" s="14"/>
      <c r="I40" t="s">
        <v>19</v>
      </c>
      <c r="K40" s="1">
        <v>15593.49</v>
      </c>
    </row>
    <row r="41" spans="1:12" x14ac:dyDescent="0.25">
      <c r="A41" s="8" t="s">
        <v>22</v>
      </c>
      <c r="B41" s="15">
        <v>148</v>
      </c>
      <c r="C41" s="1"/>
      <c r="I41" t="s">
        <v>20</v>
      </c>
      <c r="J41" s="1">
        <v>0</v>
      </c>
    </row>
    <row r="42" spans="1:12" s="3" customFormat="1" x14ac:dyDescent="0.25">
      <c r="A42" s="8" t="s">
        <v>10</v>
      </c>
      <c r="B42" s="15">
        <v>1000</v>
      </c>
      <c r="C42" s="1"/>
      <c r="E42" s="1"/>
      <c r="F42" s="1"/>
      <c r="G42" s="4"/>
      <c r="H42"/>
      <c r="I42" t="s">
        <v>38</v>
      </c>
      <c r="J42" s="1">
        <v>0</v>
      </c>
      <c r="K42" s="1"/>
      <c r="L42"/>
    </row>
    <row r="43" spans="1:12" s="3" customFormat="1" x14ac:dyDescent="0.25">
      <c r="A43" s="8" t="s">
        <v>35</v>
      </c>
      <c r="B43" s="1">
        <v>0</v>
      </c>
      <c r="C43" s="1"/>
      <c r="E43" s="1"/>
      <c r="F43" s="1"/>
      <c r="G43"/>
      <c r="H43"/>
      <c r="I43" t="s">
        <v>21</v>
      </c>
      <c r="J43" s="1">
        <v>0</v>
      </c>
      <c r="K43" s="1"/>
      <c r="L43"/>
    </row>
    <row r="44" spans="1:12" s="3" customFormat="1" x14ac:dyDescent="0.25">
      <c r="A44" s="8" t="s">
        <v>33</v>
      </c>
      <c r="B44" s="15">
        <v>246</v>
      </c>
      <c r="C44" s="1"/>
      <c r="E44" s="1"/>
      <c r="F44" s="1"/>
      <c r="G44"/>
      <c r="H44"/>
      <c r="I44" t="s">
        <v>22</v>
      </c>
      <c r="K44" s="1">
        <v>1642.23</v>
      </c>
      <c r="L44"/>
    </row>
    <row r="45" spans="1:12" x14ac:dyDescent="0.25">
      <c r="A45" s="8" t="s">
        <v>44</v>
      </c>
      <c r="B45" s="15">
        <v>170.6</v>
      </c>
      <c r="C45" s="1"/>
      <c r="I45" t="s">
        <v>10</v>
      </c>
      <c r="J45" s="1">
        <v>10000</v>
      </c>
      <c r="K45" s="1">
        <v>36358.93</v>
      </c>
    </row>
    <row r="46" spans="1:12" s="3" customFormat="1" x14ac:dyDescent="0.25">
      <c r="A46" s="8" t="s">
        <v>45</v>
      </c>
      <c r="B46" s="1">
        <v>0</v>
      </c>
      <c r="C46" s="1"/>
      <c r="D46" s="1"/>
      <c r="E46" s="1"/>
      <c r="F46" s="1"/>
      <c r="G46"/>
      <c r="H46"/>
      <c r="I46" t="s">
        <v>35</v>
      </c>
      <c r="J46" s="1">
        <v>0</v>
      </c>
      <c r="K46" s="1"/>
      <c r="L46"/>
    </row>
    <row r="47" spans="1:12" s="3" customFormat="1" x14ac:dyDescent="0.25">
      <c r="A47" s="8" t="s">
        <v>52</v>
      </c>
      <c r="B47" s="15">
        <v>0</v>
      </c>
      <c r="C47" s="1"/>
      <c r="D47" s="1"/>
      <c r="E47" s="1"/>
      <c r="F47" s="1"/>
      <c r="H47"/>
      <c r="I47"/>
      <c r="J47" s="1"/>
      <c r="K47" s="1"/>
      <c r="L47"/>
    </row>
    <row r="48" spans="1:12" s="3" customFormat="1" x14ac:dyDescent="0.25">
      <c r="A48" s="8" t="s">
        <v>55</v>
      </c>
      <c r="B48" s="18">
        <v>0</v>
      </c>
      <c r="D48" s="1"/>
      <c r="E48" s="1"/>
      <c r="F48" s="1"/>
      <c r="H48"/>
      <c r="I48"/>
      <c r="J48" s="1"/>
      <c r="K48" s="1"/>
      <c r="L48"/>
    </row>
    <row r="49" spans="1:12" s="3" customFormat="1" x14ac:dyDescent="0.25">
      <c r="A49" s="8"/>
      <c r="B49" s="1"/>
      <c r="C49" s="1"/>
      <c r="E49" s="1"/>
      <c r="F49" s="1"/>
      <c r="H49"/>
      <c r="I49"/>
      <c r="J49" s="1"/>
      <c r="K49" s="1"/>
      <c r="L49"/>
    </row>
    <row r="50" spans="1:12" s="3" customFormat="1" x14ac:dyDescent="0.25">
      <c r="A50" s="8" t="s">
        <v>41</v>
      </c>
      <c r="B50" s="1">
        <f>SUM(B24:B49)</f>
        <v>6902.18</v>
      </c>
      <c r="C50" s="1">
        <f>SUM(C24:C49)</f>
        <v>3624.19</v>
      </c>
      <c r="D50" s="1">
        <f>SUM(D25:D49)</f>
        <v>1757.13</v>
      </c>
      <c r="E50" s="1"/>
      <c r="F50" s="1"/>
      <c r="G50"/>
      <c r="H50"/>
      <c r="I50"/>
      <c r="J50" s="1"/>
      <c r="K50" s="1"/>
      <c r="L50"/>
    </row>
    <row r="51" spans="1:12" x14ac:dyDescent="0.25">
      <c r="J51" s="1">
        <f>SUM(J32:J46)</f>
        <v>20129.669999999998</v>
      </c>
    </row>
    <row r="52" spans="1:12" x14ac:dyDescent="0.25">
      <c r="A52" s="8" t="s">
        <v>40</v>
      </c>
      <c r="B52" s="9">
        <v>3889.12</v>
      </c>
      <c r="C52" s="9">
        <v>3889.12</v>
      </c>
    </row>
    <row r="53" spans="1:12" x14ac:dyDescent="0.25">
      <c r="I53" t="s">
        <v>39</v>
      </c>
      <c r="J53" s="1">
        <v>35056.15</v>
      </c>
    </row>
    <row r="54" spans="1:12" x14ac:dyDescent="0.25">
      <c r="A54" t="s">
        <v>42</v>
      </c>
      <c r="B54" s="1">
        <f>B52-B50</f>
        <v>-3013.0600000000004</v>
      </c>
      <c r="C54" s="1">
        <f>C52-C50</f>
        <v>264.92999999999984</v>
      </c>
    </row>
    <row r="55" spans="1:12" x14ac:dyDescent="0.25">
      <c r="J55" s="1">
        <f>J53-J51</f>
        <v>14926.480000000003</v>
      </c>
    </row>
  </sheetData>
  <autoFilter ref="A1:K14" xr:uid="{1F705934-551F-4A30-809C-BD2B1658412C}">
    <sortState xmlns:xlrd2="http://schemas.microsoft.com/office/spreadsheetml/2017/richdata2" ref="A2:K14">
      <sortCondition descending="1" ref="D1:D14"/>
    </sortState>
  </autoFilter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7D9-1423-454A-9A32-66C0021F03A9}">
  <dimension ref="A1:L52"/>
  <sheetViews>
    <sheetView topLeftCell="A19" workbookViewId="0">
      <selection activeCell="H19" sqref="H19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5703125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0.5703125" bestFit="1" customWidth="1"/>
    <col min="10" max="10" width="12.140625" style="1" bestFit="1" customWidth="1"/>
    <col min="11" max="11" width="14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11</v>
      </c>
      <c r="B2" s="1">
        <v>0</v>
      </c>
      <c r="E2" s="1">
        <v>52</v>
      </c>
      <c r="F2" s="1">
        <f>B2/3</f>
        <v>0</v>
      </c>
      <c r="G2" s="4">
        <f t="shared" ref="G2:G16" si="0">B2/6</f>
        <v>0</v>
      </c>
      <c r="H2" s="4">
        <f>G2/2</f>
        <v>0</v>
      </c>
      <c r="I2" s="4">
        <f t="shared" ref="I2:I16" si="1">B2/12</f>
        <v>0</v>
      </c>
      <c r="J2" s="1">
        <f t="shared" ref="J2:J13" si="2">(B2*D2)/12</f>
        <v>0</v>
      </c>
      <c r="L2" s="4"/>
    </row>
    <row r="3" spans="1:12" x14ac:dyDescent="0.25">
      <c r="A3" t="s">
        <v>12</v>
      </c>
      <c r="B3" s="1">
        <v>0</v>
      </c>
      <c r="C3" s="2"/>
      <c r="D3" s="3">
        <v>0.1749</v>
      </c>
      <c r="E3" s="1">
        <v>182</v>
      </c>
      <c r="F3" s="1">
        <f t="shared" ref="F3:F16" si="3">B3/3</f>
        <v>0</v>
      </c>
      <c r="G3" s="4">
        <f t="shared" si="0"/>
        <v>0</v>
      </c>
      <c r="H3" s="4">
        <f t="shared" ref="H3:H17" si="4">G3/2</f>
        <v>0</v>
      </c>
      <c r="I3" s="4">
        <f t="shared" si="1"/>
        <v>0</v>
      </c>
      <c r="J3" s="1">
        <f t="shared" si="2"/>
        <v>0</v>
      </c>
      <c r="K3" s="1">
        <v>97</v>
      </c>
    </row>
    <row r="4" spans="1:12" x14ac:dyDescent="0.25">
      <c r="A4" t="s">
        <v>13</v>
      </c>
      <c r="B4" s="1">
        <v>0</v>
      </c>
      <c r="C4" s="2"/>
      <c r="E4" s="1">
        <v>107</v>
      </c>
      <c r="F4" s="1">
        <f t="shared" si="3"/>
        <v>0</v>
      </c>
      <c r="G4" s="4">
        <f t="shared" si="0"/>
        <v>0</v>
      </c>
      <c r="H4" s="4">
        <f t="shared" si="4"/>
        <v>0</v>
      </c>
      <c r="I4" s="4">
        <f t="shared" si="1"/>
        <v>0</v>
      </c>
      <c r="J4" s="1">
        <f t="shared" si="2"/>
        <v>0</v>
      </c>
    </row>
    <row r="5" spans="1:12" x14ac:dyDescent="0.25">
      <c r="A5" t="s">
        <v>14</v>
      </c>
      <c r="B5" s="1">
        <v>1126.49</v>
      </c>
      <c r="C5" s="2"/>
      <c r="D5" s="3">
        <v>0.29239999999999999</v>
      </c>
      <c r="E5" s="1">
        <v>136</v>
      </c>
      <c r="F5" s="1">
        <f t="shared" si="3"/>
        <v>375.49666666666667</v>
      </c>
      <c r="G5" s="4">
        <f t="shared" si="0"/>
        <v>187.74833333333333</v>
      </c>
      <c r="H5" s="4">
        <f t="shared" si="4"/>
        <v>93.874166666666667</v>
      </c>
      <c r="I5" s="4">
        <f t="shared" si="1"/>
        <v>93.874166666666667</v>
      </c>
      <c r="J5" s="1">
        <f t="shared" si="2"/>
        <v>27.448806333333334</v>
      </c>
    </row>
    <row r="6" spans="1:12" x14ac:dyDescent="0.25">
      <c r="A6" t="s">
        <v>15</v>
      </c>
      <c r="B6" s="1">
        <v>5792.15</v>
      </c>
      <c r="C6" s="2">
        <v>43800</v>
      </c>
      <c r="D6" s="3">
        <v>0</v>
      </c>
      <c r="E6" s="1">
        <v>164</v>
      </c>
      <c r="F6" s="1">
        <f t="shared" si="3"/>
        <v>1930.7166666666665</v>
      </c>
      <c r="G6" s="4">
        <f t="shared" si="0"/>
        <v>965.35833333333323</v>
      </c>
      <c r="H6" s="4">
        <f t="shared" si="4"/>
        <v>482.67916666666662</v>
      </c>
      <c r="I6" s="4">
        <f t="shared" si="1"/>
        <v>482.67916666666662</v>
      </c>
      <c r="J6" s="1">
        <f t="shared" si="2"/>
        <v>0</v>
      </c>
      <c r="K6" s="1">
        <v>221</v>
      </c>
    </row>
    <row r="7" spans="1:12" x14ac:dyDescent="0.25">
      <c r="A7" t="s">
        <v>16</v>
      </c>
      <c r="B7" s="1">
        <v>6553</v>
      </c>
      <c r="C7" s="2">
        <v>43751</v>
      </c>
      <c r="D7" s="3">
        <v>0</v>
      </c>
      <c r="E7" s="1">
        <v>298</v>
      </c>
      <c r="F7" s="1">
        <f t="shared" si="3"/>
        <v>2184.3333333333335</v>
      </c>
      <c r="G7" s="4">
        <f t="shared" si="0"/>
        <v>1092.1666666666667</v>
      </c>
      <c r="H7" s="4">
        <f t="shared" si="4"/>
        <v>546.08333333333337</v>
      </c>
      <c r="I7" s="4">
        <f t="shared" si="1"/>
        <v>546.08333333333337</v>
      </c>
      <c r="J7" s="1">
        <f t="shared" si="2"/>
        <v>0</v>
      </c>
      <c r="K7" s="1">
        <v>273</v>
      </c>
    </row>
    <row r="8" spans="1:12" x14ac:dyDescent="0.25">
      <c r="A8" t="s">
        <v>17</v>
      </c>
      <c r="B8" s="1">
        <v>8.4700000000000006</v>
      </c>
      <c r="C8" s="2"/>
      <c r="D8" s="3">
        <v>0.1749</v>
      </c>
      <c r="E8" s="1">
        <v>210</v>
      </c>
      <c r="F8" s="1">
        <f t="shared" si="3"/>
        <v>2.8233333333333337</v>
      </c>
      <c r="G8" s="4">
        <f t="shared" si="0"/>
        <v>1.4116666666666668</v>
      </c>
      <c r="H8" s="4">
        <f t="shared" si="4"/>
        <v>0.70583333333333342</v>
      </c>
      <c r="I8" s="4">
        <f t="shared" si="1"/>
        <v>0.70583333333333342</v>
      </c>
      <c r="J8" s="1">
        <f>(B8*D8)/12</f>
        <v>0.12345025</v>
      </c>
      <c r="K8" s="1">
        <v>138</v>
      </c>
      <c r="L8" s="4"/>
    </row>
    <row r="9" spans="1:12" x14ac:dyDescent="0.25">
      <c r="A9" t="s">
        <v>18</v>
      </c>
      <c r="B9" s="1">
        <v>0</v>
      </c>
      <c r="D9" s="3">
        <v>0.1749</v>
      </c>
      <c r="E9" s="1">
        <v>115</v>
      </c>
      <c r="F9" s="1">
        <f t="shared" si="3"/>
        <v>0</v>
      </c>
      <c r="G9" s="4">
        <f t="shared" si="0"/>
        <v>0</v>
      </c>
      <c r="H9" s="4">
        <f t="shared" si="4"/>
        <v>0</v>
      </c>
      <c r="I9" s="4">
        <f t="shared" si="1"/>
        <v>0</v>
      </c>
      <c r="J9" s="1">
        <f t="shared" si="2"/>
        <v>0</v>
      </c>
      <c r="K9" s="1">
        <v>140</v>
      </c>
    </row>
    <row r="10" spans="1:12" x14ac:dyDescent="0.25">
      <c r="A10" t="s">
        <v>19</v>
      </c>
      <c r="B10" s="1">
        <v>13878.71</v>
      </c>
      <c r="C10" t="s">
        <v>43</v>
      </c>
      <c r="D10" s="3">
        <v>0</v>
      </c>
      <c r="E10" s="1">
        <v>153</v>
      </c>
      <c r="F10" s="1">
        <f t="shared" si="3"/>
        <v>4626.2366666666667</v>
      </c>
      <c r="G10" s="4">
        <f t="shared" si="0"/>
        <v>2313.1183333333333</v>
      </c>
      <c r="H10" s="4">
        <f t="shared" si="4"/>
        <v>1156.5591666666667</v>
      </c>
      <c r="I10" s="4">
        <f t="shared" si="1"/>
        <v>1156.5591666666667</v>
      </c>
      <c r="J10" s="1">
        <f t="shared" si="2"/>
        <v>0</v>
      </c>
      <c r="K10" s="1">
        <v>471</v>
      </c>
    </row>
    <row r="11" spans="1:12" x14ac:dyDescent="0.25">
      <c r="A11" t="s">
        <v>38</v>
      </c>
      <c r="B11" s="1">
        <v>0</v>
      </c>
      <c r="C11" s="2"/>
      <c r="F11" s="1">
        <f t="shared" si="3"/>
        <v>0</v>
      </c>
      <c r="G11" s="4">
        <f t="shared" si="0"/>
        <v>0</v>
      </c>
      <c r="H11" s="4">
        <f t="shared" si="4"/>
        <v>0</v>
      </c>
      <c r="I11" s="4">
        <f t="shared" si="1"/>
        <v>0</v>
      </c>
      <c r="J11" s="1">
        <f t="shared" si="2"/>
        <v>0</v>
      </c>
    </row>
    <row r="12" spans="1:12" x14ac:dyDescent="0.25">
      <c r="A12" t="s">
        <v>21</v>
      </c>
      <c r="B12" s="1">
        <v>0</v>
      </c>
      <c r="C12" s="2"/>
      <c r="E12" s="1">
        <v>380</v>
      </c>
      <c r="F12" s="1">
        <f t="shared" si="3"/>
        <v>0</v>
      </c>
      <c r="G12" s="4">
        <f t="shared" si="0"/>
        <v>0</v>
      </c>
      <c r="H12" s="4">
        <f t="shared" si="4"/>
        <v>0</v>
      </c>
      <c r="I12" s="4">
        <f t="shared" si="1"/>
        <v>0</v>
      </c>
      <c r="J12" s="1">
        <f t="shared" si="2"/>
        <v>0</v>
      </c>
    </row>
    <row r="13" spans="1:12" x14ac:dyDescent="0.25">
      <c r="A13" t="s">
        <v>22</v>
      </c>
      <c r="B13" s="1">
        <v>1231.67</v>
      </c>
      <c r="C13" s="2"/>
      <c r="D13" s="3">
        <v>9.9900000000000003E-2</v>
      </c>
      <c r="F13" s="1">
        <f t="shared" si="3"/>
        <v>410.55666666666667</v>
      </c>
      <c r="G13" s="4">
        <f t="shared" si="0"/>
        <v>205.27833333333334</v>
      </c>
      <c r="H13" s="4">
        <f>G13/2</f>
        <v>102.63916666666667</v>
      </c>
      <c r="I13" s="4">
        <f t="shared" si="1"/>
        <v>102.63916666666667</v>
      </c>
      <c r="J13" s="1">
        <f t="shared" si="2"/>
        <v>10.253652750000001</v>
      </c>
    </row>
    <row r="14" spans="1:12" x14ac:dyDescent="0.25">
      <c r="A14" t="s">
        <v>10</v>
      </c>
      <c r="B14" s="1">
        <v>33781.61</v>
      </c>
      <c r="F14" s="1">
        <f t="shared" si="3"/>
        <v>11260.536666666667</v>
      </c>
      <c r="G14" s="4">
        <f t="shared" si="0"/>
        <v>5630.2683333333334</v>
      </c>
      <c r="H14" s="4">
        <f t="shared" si="4"/>
        <v>2815.1341666666667</v>
      </c>
      <c r="I14" s="4">
        <f t="shared" si="1"/>
        <v>2815.1341666666667</v>
      </c>
    </row>
    <row r="15" spans="1:12" x14ac:dyDescent="0.25">
      <c r="A15" t="s">
        <v>56</v>
      </c>
      <c r="B15" s="1">
        <v>126.25</v>
      </c>
      <c r="F15" s="1">
        <f t="shared" si="3"/>
        <v>42.083333333333336</v>
      </c>
      <c r="G15" s="4">
        <f t="shared" si="0"/>
        <v>21.041666666666668</v>
      </c>
      <c r="H15" s="4">
        <f t="shared" si="4"/>
        <v>10.520833333333334</v>
      </c>
      <c r="I15" s="4">
        <f t="shared" si="1"/>
        <v>10.520833333333334</v>
      </c>
    </row>
    <row r="16" spans="1:12" x14ac:dyDescent="0.25">
      <c r="A16" t="s">
        <v>35</v>
      </c>
      <c r="B16" s="1">
        <v>0</v>
      </c>
      <c r="F16" s="1">
        <f t="shared" si="3"/>
        <v>0</v>
      </c>
      <c r="G16" s="4">
        <f t="shared" si="0"/>
        <v>0</v>
      </c>
      <c r="H16" s="4">
        <f t="shared" si="4"/>
        <v>0</v>
      </c>
      <c r="I16" s="4">
        <f t="shared" si="1"/>
        <v>0</v>
      </c>
    </row>
    <row r="17" spans="1:11" x14ac:dyDescent="0.25">
      <c r="A17" t="s">
        <v>39</v>
      </c>
      <c r="B17" s="1">
        <v>33593.71</v>
      </c>
      <c r="D17" s="3">
        <v>0.1464</v>
      </c>
      <c r="F17" s="1">
        <f>B17/3</f>
        <v>11197.903333333334</v>
      </c>
      <c r="G17" s="4">
        <f>B17/6</f>
        <v>5598.9516666666668</v>
      </c>
      <c r="H17" s="4">
        <f t="shared" si="4"/>
        <v>2799.4758333333334</v>
      </c>
      <c r="I17" s="4">
        <f>B17/12</f>
        <v>2799.4758333333334</v>
      </c>
    </row>
    <row r="19" spans="1:11" x14ac:dyDescent="0.25">
      <c r="B19" s="1">
        <f>SUM(B2:B18)</f>
        <v>96092.06</v>
      </c>
      <c r="D19" s="3">
        <f>AVERAGE(D2:D18)</f>
        <v>0.11815555555555554</v>
      </c>
      <c r="E19" s="1">
        <f t="shared" ref="E19:K19" si="5">SUM(E2:E18)</f>
        <v>1797</v>
      </c>
      <c r="F19" s="1">
        <f t="shared" si="5"/>
        <v>32030.686666666668</v>
      </c>
      <c r="G19" s="1">
        <f t="shared" si="5"/>
        <v>16015.343333333334</v>
      </c>
      <c r="H19" s="1">
        <f t="shared" si="5"/>
        <v>8007.6716666666671</v>
      </c>
      <c r="I19" s="1">
        <f t="shared" si="5"/>
        <v>8007.6716666666671</v>
      </c>
      <c r="J19" s="1">
        <f t="shared" si="5"/>
        <v>37.825909333333335</v>
      </c>
      <c r="K19" s="1">
        <f t="shared" si="5"/>
        <v>1340</v>
      </c>
    </row>
    <row r="20" spans="1:11" x14ac:dyDescent="0.25">
      <c r="J20" s="1">
        <f>(B19*D19)/12</f>
        <v>946.15089448148137</v>
      </c>
    </row>
    <row r="22" spans="1:11" x14ac:dyDescent="0.25">
      <c r="A22" s="8" t="s">
        <v>36</v>
      </c>
      <c r="B22" s="1">
        <v>0</v>
      </c>
      <c r="C22" s="4">
        <f>D22-B22</f>
        <v>3374.19</v>
      </c>
      <c r="D22" s="1">
        <v>3374.19</v>
      </c>
      <c r="F22" s="6">
        <v>43419</v>
      </c>
    </row>
    <row r="23" spans="1:11" x14ac:dyDescent="0.25">
      <c r="A23" s="8" t="s">
        <v>37</v>
      </c>
      <c r="B23" s="15">
        <v>550</v>
      </c>
      <c r="C23" s="4">
        <f>D23-B23</f>
        <v>0</v>
      </c>
      <c r="D23" s="1">
        <v>550</v>
      </c>
      <c r="F23" s="6">
        <v>43926</v>
      </c>
    </row>
    <row r="24" spans="1:11" x14ac:dyDescent="0.25">
      <c r="A24" s="8" t="s">
        <v>23</v>
      </c>
      <c r="B24" s="15">
        <v>540.94000000000005</v>
      </c>
      <c r="C24" s="1"/>
      <c r="E24" s="12">
        <f>SUM(B24:B25)</f>
        <v>1388.56</v>
      </c>
      <c r="F24" s="7">
        <f>DATEDIF(F22,F23,"m")</f>
        <v>16</v>
      </c>
    </row>
    <row r="25" spans="1:11" x14ac:dyDescent="0.25">
      <c r="A25" s="8" t="s">
        <v>24</v>
      </c>
      <c r="B25" s="15">
        <v>847.62</v>
      </c>
      <c r="C25" s="1"/>
      <c r="F25" s="1">
        <v>1438.37</v>
      </c>
    </row>
    <row r="26" spans="1:11" x14ac:dyDescent="0.25">
      <c r="A26" s="8" t="s">
        <v>39</v>
      </c>
      <c r="B26" s="1">
        <v>1207.1300000000001</v>
      </c>
      <c r="C26" s="1">
        <f>D26-B26</f>
        <v>0</v>
      </c>
      <c r="D26" s="1">
        <v>1207.1300000000001</v>
      </c>
      <c r="F26" s="1">
        <f>F25/F24</f>
        <v>89.898124999999993</v>
      </c>
    </row>
    <row r="27" spans="1:11" x14ac:dyDescent="0.25">
      <c r="A27" s="8" t="s">
        <v>11</v>
      </c>
      <c r="B27" s="1">
        <v>0</v>
      </c>
      <c r="C27" s="1"/>
    </row>
    <row r="28" spans="1:11" x14ac:dyDescent="0.25">
      <c r="A28" s="8" t="s">
        <v>12</v>
      </c>
      <c r="B28" s="1">
        <v>0</v>
      </c>
      <c r="C28" s="1"/>
    </row>
    <row r="29" spans="1:11" x14ac:dyDescent="0.25">
      <c r="A29" s="8" t="s">
        <v>13</v>
      </c>
      <c r="B29" s="1">
        <v>0</v>
      </c>
      <c r="C29" s="1"/>
      <c r="I29" t="s">
        <v>11</v>
      </c>
      <c r="J29" s="1">
        <v>0</v>
      </c>
    </row>
    <row r="30" spans="1:11" x14ac:dyDescent="0.25">
      <c r="A30" s="8" t="s">
        <v>14</v>
      </c>
      <c r="B30" s="15">
        <v>100</v>
      </c>
      <c r="C30" s="1"/>
      <c r="I30" t="s">
        <v>12</v>
      </c>
      <c r="J30" s="13">
        <v>2596.11</v>
      </c>
    </row>
    <row r="31" spans="1:11" x14ac:dyDescent="0.25">
      <c r="A31" s="8" t="s">
        <v>15</v>
      </c>
      <c r="B31" s="15">
        <v>208</v>
      </c>
      <c r="C31" s="1"/>
      <c r="G31" s="1"/>
      <c r="I31" t="s">
        <v>13</v>
      </c>
      <c r="J31" s="1">
        <v>0</v>
      </c>
    </row>
    <row r="32" spans="1:11" x14ac:dyDescent="0.25">
      <c r="A32" s="8" t="s">
        <v>16</v>
      </c>
      <c r="B32" s="15">
        <v>264</v>
      </c>
      <c r="C32" s="1"/>
      <c r="I32" t="s">
        <v>14</v>
      </c>
      <c r="K32" s="1">
        <v>1275.21</v>
      </c>
    </row>
    <row r="33" spans="1:12" x14ac:dyDescent="0.25">
      <c r="A33" s="8" t="s">
        <v>17</v>
      </c>
      <c r="B33" s="15">
        <v>8.4700000000000006</v>
      </c>
      <c r="C33" s="1"/>
      <c r="G33" s="13"/>
      <c r="I33" t="s">
        <v>15</v>
      </c>
      <c r="K33" s="1">
        <v>6219.78</v>
      </c>
    </row>
    <row r="34" spans="1:12" x14ac:dyDescent="0.25">
      <c r="A34" s="8" t="s">
        <v>18</v>
      </c>
      <c r="B34" s="1">
        <v>0</v>
      </c>
      <c r="C34" s="1"/>
      <c r="G34" s="1"/>
      <c r="I34" t="s">
        <v>16</v>
      </c>
      <c r="K34" s="1">
        <v>7107</v>
      </c>
    </row>
    <row r="35" spans="1:12" x14ac:dyDescent="0.25">
      <c r="A35" s="8" t="s">
        <v>19</v>
      </c>
      <c r="B35" s="15">
        <v>250</v>
      </c>
      <c r="C35" s="1">
        <v>250</v>
      </c>
      <c r="G35" s="1"/>
      <c r="I35" t="s">
        <v>17</v>
      </c>
      <c r="J35" s="1">
        <v>3714.28</v>
      </c>
    </row>
    <row r="36" spans="1:12" x14ac:dyDescent="0.25">
      <c r="A36" s="8" t="s">
        <v>38</v>
      </c>
      <c r="B36" s="1">
        <v>0</v>
      </c>
      <c r="C36" s="1"/>
      <c r="I36" t="s">
        <v>18</v>
      </c>
      <c r="J36" s="1">
        <v>3819.28</v>
      </c>
    </row>
    <row r="37" spans="1:12" x14ac:dyDescent="0.25">
      <c r="A37" s="8" t="s">
        <v>21</v>
      </c>
      <c r="B37" s="1">
        <v>0</v>
      </c>
      <c r="C37" s="1"/>
      <c r="G37" s="14"/>
      <c r="I37" t="s">
        <v>19</v>
      </c>
      <c r="K37" s="1">
        <v>15593.49</v>
      </c>
    </row>
    <row r="38" spans="1:12" x14ac:dyDescent="0.25">
      <c r="A38" s="8" t="s">
        <v>22</v>
      </c>
      <c r="B38" s="15">
        <v>148</v>
      </c>
      <c r="C38" s="1"/>
      <c r="I38" t="s">
        <v>20</v>
      </c>
      <c r="J38" s="1">
        <v>0</v>
      </c>
    </row>
    <row r="39" spans="1:12" s="3" customFormat="1" x14ac:dyDescent="0.25">
      <c r="A39" s="8" t="s">
        <v>10</v>
      </c>
      <c r="B39" s="1"/>
      <c r="C39" s="1"/>
      <c r="E39" s="1"/>
      <c r="F39" s="1"/>
      <c r="G39" s="4"/>
      <c r="H39"/>
      <c r="I39" t="s">
        <v>38</v>
      </c>
      <c r="J39" s="1">
        <v>0</v>
      </c>
      <c r="K39" s="1"/>
      <c r="L39"/>
    </row>
    <row r="40" spans="1:12" s="3" customFormat="1" x14ac:dyDescent="0.25">
      <c r="A40" s="8" t="s">
        <v>35</v>
      </c>
      <c r="B40" s="1">
        <v>0</v>
      </c>
      <c r="C40" s="1"/>
      <c r="E40" s="1"/>
      <c r="F40" s="1"/>
      <c r="G40"/>
      <c r="H40"/>
      <c r="I40" t="s">
        <v>21</v>
      </c>
      <c r="J40" s="1">
        <v>0</v>
      </c>
      <c r="K40" s="1"/>
      <c r="L40"/>
    </row>
    <row r="41" spans="1:12" s="3" customFormat="1" x14ac:dyDescent="0.25">
      <c r="A41" s="8" t="s">
        <v>33</v>
      </c>
      <c r="B41" s="15">
        <v>246</v>
      </c>
      <c r="C41" s="1"/>
      <c r="E41" s="1"/>
      <c r="F41" s="1"/>
      <c r="G41"/>
      <c r="H41"/>
      <c r="I41" t="s">
        <v>22</v>
      </c>
      <c r="K41" s="1">
        <v>1642.23</v>
      </c>
      <c r="L41"/>
    </row>
    <row r="42" spans="1:12" x14ac:dyDescent="0.25">
      <c r="A42" s="8" t="s">
        <v>44</v>
      </c>
      <c r="C42" s="1"/>
      <c r="I42" t="s">
        <v>10</v>
      </c>
      <c r="J42" s="1">
        <v>10000</v>
      </c>
      <c r="K42" s="1">
        <v>36358.93</v>
      </c>
    </row>
    <row r="43" spans="1:12" s="3" customFormat="1" x14ac:dyDescent="0.25">
      <c r="A43" s="8" t="s">
        <v>45</v>
      </c>
      <c r="B43" s="1">
        <v>0</v>
      </c>
      <c r="C43" s="1"/>
      <c r="D43" s="1"/>
      <c r="E43" s="1"/>
      <c r="F43" s="1"/>
      <c r="G43"/>
      <c r="H43"/>
      <c r="I43" t="s">
        <v>35</v>
      </c>
      <c r="J43" s="1">
        <v>0</v>
      </c>
      <c r="K43" s="1"/>
      <c r="L43"/>
    </row>
    <row r="44" spans="1:12" s="3" customFormat="1" x14ac:dyDescent="0.25">
      <c r="A44" s="8" t="s">
        <v>52</v>
      </c>
      <c r="B44" s="15">
        <v>134.18</v>
      </c>
      <c r="C44" s="1"/>
      <c r="D44" s="1"/>
      <c r="E44" s="1"/>
      <c r="F44" s="1"/>
      <c r="H44"/>
      <c r="I44"/>
      <c r="J44" s="1"/>
      <c r="K44" s="1"/>
      <c r="L44"/>
    </row>
    <row r="45" spans="1:12" s="3" customFormat="1" x14ac:dyDescent="0.25">
      <c r="A45" s="8" t="s">
        <v>55</v>
      </c>
      <c r="B45" s="15">
        <v>126.25</v>
      </c>
      <c r="D45" s="1"/>
      <c r="E45" s="1"/>
      <c r="F45" s="1"/>
      <c r="H45"/>
      <c r="I45"/>
      <c r="J45" s="1"/>
      <c r="K45" s="1"/>
      <c r="L45"/>
    </row>
    <row r="46" spans="1:12" s="3" customFormat="1" x14ac:dyDescent="0.25">
      <c r="A46" s="8"/>
      <c r="B46" s="1"/>
      <c r="C46" s="1"/>
      <c r="E46" s="1"/>
      <c r="F46" s="1"/>
      <c r="H46"/>
      <c r="I46"/>
      <c r="J46" s="1"/>
      <c r="K46" s="1"/>
      <c r="L46"/>
    </row>
    <row r="47" spans="1:12" s="3" customFormat="1" x14ac:dyDescent="0.25">
      <c r="A47" s="8" t="s">
        <v>41</v>
      </c>
      <c r="B47" s="1">
        <f>SUM(B22:B46)</f>
        <v>4630.59</v>
      </c>
      <c r="C47" s="1">
        <f>SUM(C22:C46)</f>
        <v>3624.19</v>
      </c>
      <c r="D47" s="1">
        <f>SUM(D23:D46)</f>
        <v>1757.13</v>
      </c>
      <c r="E47" s="1"/>
      <c r="F47" s="1"/>
      <c r="G47"/>
      <c r="H47"/>
      <c r="I47"/>
      <c r="J47" s="1"/>
      <c r="K47" s="1"/>
      <c r="L47"/>
    </row>
    <row r="48" spans="1:12" x14ac:dyDescent="0.25">
      <c r="J48" s="1">
        <f>SUM(J29:J43)</f>
        <v>20129.669999999998</v>
      </c>
    </row>
    <row r="49" spans="1:10" x14ac:dyDescent="0.25">
      <c r="A49" s="8" t="s">
        <v>40</v>
      </c>
      <c r="B49" s="9">
        <v>3889.12</v>
      </c>
      <c r="C49" s="9">
        <v>3889.12</v>
      </c>
    </row>
    <row r="50" spans="1:10" x14ac:dyDescent="0.25">
      <c r="I50" t="s">
        <v>39</v>
      </c>
      <c r="J50" s="1">
        <v>35056.15</v>
      </c>
    </row>
    <row r="51" spans="1:10" x14ac:dyDescent="0.25">
      <c r="A51" t="s">
        <v>42</v>
      </c>
      <c r="B51" s="1">
        <f>B49-B47</f>
        <v>-741.47000000000025</v>
      </c>
      <c r="C51" s="1">
        <f>C49-C47</f>
        <v>264.92999999999984</v>
      </c>
    </row>
    <row r="52" spans="1:10" x14ac:dyDescent="0.25">
      <c r="J52" s="1">
        <f>J50-J48</f>
        <v>14926.480000000003</v>
      </c>
    </row>
  </sheetData>
  <autoFilter ref="A1:K14" xr:uid="{1F705934-551F-4A30-809C-BD2B1658412C}">
    <sortState xmlns:xlrd2="http://schemas.microsoft.com/office/spreadsheetml/2017/richdata2" ref="A2:K14">
      <sortCondition descending="1" ref="D1:D14"/>
    </sortState>
  </autoFilter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98D4-1B6F-434D-A7B9-42D962C71AFC}">
  <dimension ref="A1:N50"/>
  <sheetViews>
    <sheetView topLeftCell="A10" workbookViewId="0">
      <selection activeCell="B17" sqref="B17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25" bestFit="1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0.5703125" bestFit="1" customWidth="1"/>
    <col min="10" max="10" width="10.5703125" customWidth="1"/>
    <col min="11" max="11" width="12.5703125" customWidth="1"/>
    <col min="12" max="12" width="12.140625" style="1" bestFit="1" customWidth="1"/>
    <col min="13" max="13" width="14" style="1" bestFit="1" customWidth="1"/>
    <col min="14" max="14" width="7" bestFit="1" customWidth="1"/>
  </cols>
  <sheetData>
    <row r="1" spans="1:14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6" t="s">
        <v>53</v>
      </c>
      <c r="K1" s="16" t="s">
        <v>54</v>
      </c>
      <c r="L1" s="1" t="s">
        <v>8</v>
      </c>
      <c r="M1" s="1" t="s">
        <v>9</v>
      </c>
    </row>
    <row r="2" spans="1:14" x14ac:dyDescent="0.25">
      <c r="A2" t="s">
        <v>11</v>
      </c>
      <c r="B2" s="1">
        <v>0</v>
      </c>
      <c r="E2" s="1">
        <v>52</v>
      </c>
      <c r="F2" s="1">
        <f>B2/3</f>
        <v>0</v>
      </c>
      <c r="G2" s="4">
        <f t="shared" ref="G2:G16" si="0">B2/6</f>
        <v>0</v>
      </c>
      <c r="H2" s="4">
        <f>G2/2</f>
        <v>0</v>
      </c>
      <c r="I2" s="4">
        <f>B2/12</f>
        <v>0</v>
      </c>
      <c r="J2" s="4">
        <f>B2/24</f>
        <v>0</v>
      </c>
      <c r="K2" s="4">
        <f t="shared" ref="K2:K17" si="1">B2/36</f>
        <v>0</v>
      </c>
      <c r="L2" s="1">
        <f t="shared" ref="L2:L14" si="2">(B2*D2)/12</f>
        <v>0</v>
      </c>
      <c r="N2" s="4"/>
    </row>
    <row r="3" spans="1:14" x14ac:dyDescent="0.25">
      <c r="A3" t="s">
        <v>12</v>
      </c>
      <c r="B3" s="1">
        <v>-0.01</v>
      </c>
      <c r="C3" s="2"/>
      <c r="E3" s="1">
        <v>182</v>
      </c>
      <c r="F3" s="1">
        <f t="shared" ref="F3:F16" si="3">B3/3</f>
        <v>-3.3333333333333335E-3</v>
      </c>
      <c r="G3" s="4">
        <f t="shared" si="0"/>
        <v>-1.6666666666666668E-3</v>
      </c>
      <c r="H3" s="4">
        <f t="shared" ref="H3:H17" si="4">G3/2</f>
        <v>-8.3333333333333339E-4</v>
      </c>
      <c r="I3" s="4">
        <f t="shared" ref="I3:I16" si="5">B3/12</f>
        <v>-8.3333333333333339E-4</v>
      </c>
      <c r="J3" s="4">
        <f t="shared" ref="J3:J17" si="6">B3/24</f>
        <v>-4.1666666666666669E-4</v>
      </c>
      <c r="K3" s="4">
        <f t="shared" si="1"/>
        <v>-2.7777777777777778E-4</v>
      </c>
      <c r="L3" s="1">
        <f t="shared" si="2"/>
        <v>0</v>
      </c>
      <c r="M3" s="1">
        <v>97</v>
      </c>
    </row>
    <row r="4" spans="1:14" x14ac:dyDescent="0.25">
      <c r="A4" t="s">
        <v>13</v>
      </c>
      <c r="B4" s="1">
        <v>0</v>
      </c>
      <c r="C4" s="2"/>
      <c r="E4" s="1">
        <v>107</v>
      </c>
      <c r="F4" s="1">
        <f t="shared" si="3"/>
        <v>0</v>
      </c>
      <c r="G4" s="4">
        <f t="shared" si="0"/>
        <v>0</v>
      </c>
      <c r="H4" s="4">
        <f t="shared" si="4"/>
        <v>0</v>
      </c>
      <c r="I4" s="4">
        <f t="shared" si="5"/>
        <v>0</v>
      </c>
      <c r="J4" s="4">
        <f t="shared" si="6"/>
        <v>0</v>
      </c>
      <c r="K4" s="4">
        <f t="shared" si="1"/>
        <v>0</v>
      </c>
      <c r="L4" s="1">
        <f t="shared" si="2"/>
        <v>0</v>
      </c>
    </row>
    <row r="5" spans="1:14" x14ac:dyDescent="0.25">
      <c r="A5" t="s">
        <v>14</v>
      </c>
      <c r="B5" s="1">
        <v>1200.8499999999999</v>
      </c>
      <c r="C5" s="2"/>
      <c r="E5" s="1">
        <v>136</v>
      </c>
      <c r="F5" s="1">
        <f t="shared" si="3"/>
        <v>400.2833333333333</v>
      </c>
      <c r="G5" s="4">
        <f t="shared" si="0"/>
        <v>200.14166666666665</v>
      </c>
      <c r="H5" s="4">
        <f t="shared" si="4"/>
        <v>100.07083333333333</v>
      </c>
      <c r="I5" s="4">
        <f t="shared" si="5"/>
        <v>100.07083333333333</v>
      </c>
      <c r="J5" s="4">
        <f t="shared" si="6"/>
        <v>50.035416666666663</v>
      </c>
      <c r="K5" s="4">
        <f t="shared" si="1"/>
        <v>33.356944444444444</v>
      </c>
      <c r="L5" s="1">
        <f t="shared" si="2"/>
        <v>0</v>
      </c>
    </row>
    <row r="6" spans="1:14" x14ac:dyDescent="0.25">
      <c r="A6" t="s">
        <v>15</v>
      </c>
      <c r="B6" s="1">
        <v>6003.65</v>
      </c>
      <c r="C6" s="2">
        <v>43800</v>
      </c>
      <c r="D6" s="3">
        <v>0</v>
      </c>
      <c r="E6" s="1">
        <v>164</v>
      </c>
      <c r="F6" s="1">
        <f t="shared" si="3"/>
        <v>2001.2166666666665</v>
      </c>
      <c r="G6" s="4">
        <f t="shared" si="0"/>
        <v>1000.6083333333332</v>
      </c>
      <c r="H6" s="4">
        <f t="shared" si="4"/>
        <v>500.30416666666662</v>
      </c>
      <c r="I6" s="4">
        <f t="shared" si="5"/>
        <v>500.30416666666662</v>
      </c>
      <c r="J6" s="4">
        <f t="shared" si="6"/>
        <v>250.15208333333331</v>
      </c>
      <c r="K6" s="4">
        <f t="shared" si="1"/>
        <v>166.76805555555555</v>
      </c>
      <c r="L6" s="1">
        <f t="shared" si="2"/>
        <v>0</v>
      </c>
      <c r="M6" s="1">
        <v>221</v>
      </c>
    </row>
    <row r="7" spans="1:14" x14ac:dyDescent="0.25">
      <c r="A7" t="s">
        <v>16</v>
      </c>
      <c r="B7" s="1">
        <v>6826</v>
      </c>
      <c r="C7" s="2">
        <v>43751</v>
      </c>
      <c r="D7" s="3">
        <v>0</v>
      </c>
      <c r="E7" s="1">
        <v>298</v>
      </c>
      <c r="F7" s="1">
        <f t="shared" si="3"/>
        <v>2275.3333333333335</v>
      </c>
      <c r="G7" s="4">
        <f t="shared" si="0"/>
        <v>1137.6666666666667</v>
      </c>
      <c r="H7" s="4">
        <f t="shared" si="4"/>
        <v>568.83333333333337</v>
      </c>
      <c r="I7" s="4">
        <f t="shared" si="5"/>
        <v>568.83333333333337</v>
      </c>
      <c r="J7" s="4">
        <f t="shared" si="6"/>
        <v>284.41666666666669</v>
      </c>
      <c r="K7" s="4">
        <f t="shared" si="1"/>
        <v>189.61111111111111</v>
      </c>
      <c r="L7" s="1">
        <f t="shared" si="2"/>
        <v>0</v>
      </c>
      <c r="M7" s="1">
        <v>273</v>
      </c>
    </row>
    <row r="8" spans="1:14" x14ac:dyDescent="0.25">
      <c r="A8" t="s">
        <v>17</v>
      </c>
      <c r="B8" s="1">
        <v>0</v>
      </c>
      <c r="C8" s="2"/>
      <c r="E8" s="1">
        <v>210</v>
      </c>
      <c r="F8" s="1">
        <f t="shared" si="3"/>
        <v>0</v>
      </c>
      <c r="G8" s="4">
        <f t="shared" si="0"/>
        <v>0</v>
      </c>
      <c r="H8" s="4">
        <f t="shared" si="4"/>
        <v>0</v>
      </c>
      <c r="I8" s="4">
        <f t="shared" si="5"/>
        <v>0</v>
      </c>
      <c r="J8" s="4">
        <f t="shared" si="6"/>
        <v>0</v>
      </c>
      <c r="K8" s="4">
        <f t="shared" si="1"/>
        <v>0</v>
      </c>
      <c r="L8" s="1">
        <f>(B8*D8)/12</f>
        <v>0</v>
      </c>
      <c r="M8" s="1">
        <v>138</v>
      </c>
      <c r="N8" s="4"/>
    </row>
    <row r="9" spans="1:14" x14ac:dyDescent="0.25">
      <c r="A9" t="s">
        <v>18</v>
      </c>
      <c r="B9" s="1">
        <v>0</v>
      </c>
      <c r="E9" s="1">
        <v>115</v>
      </c>
      <c r="F9" s="1">
        <f t="shared" si="3"/>
        <v>0</v>
      </c>
      <c r="G9" s="4">
        <f t="shared" si="0"/>
        <v>0</v>
      </c>
      <c r="H9" s="4">
        <f t="shared" si="4"/>
        <v>0</v>
      </c>
      <c r="I9" s="4">
        <f t="shared" si="5"/>
        <v>0</v>
      </c>
      <c r="J9" s="4">
        <f t="shared" si="6"/>
        <v>0</v>
      </c>
      <c r="K9" s="4">
        <f t="shared" si="1"/>
        <v>0</v>
      </c>
      <c r="L9" s="1">
        <f t="shared" si="2"/>
        <v>0</v>
      </c>
      <c r="M9" s="1">
        <v>140</v>
      </c>
    </row>
    <row r="10" spans="1:14" x14ac:dyDescent="0.25">
      <c r="A10" t="s">
        <v>19</v>
      </c>
      <c r="B10" s="1">
        <v>14628.71</v>
      </c>
      <c r="C10" t="s">
        <v>43</v>
      </c>
      <c r="D10" s="3">
        <v>0</v>
      </c>
      <c r="E10" s="1">
        <v>153</v>
      </c>
      <c r="F10" s="1">
        <f t="shared" si="3"/>
        <v>4876.2366666666667</v>
      </c>
      <c r="G10" s="4">
        <f t="shared" si="0"/>
        <v>2438.1183333333333</v>
      </c>
      <c r="H10" s="4">
        <f t="shared" si="4"/>
        <v>1219.0591666666667</v>
      </c>
      <c r="I10" s="4">
        <f t="shared" si="5"/>
        <v>1219.0591666666667</v>
      </c>
      <c r="J10" s="4">
        <f t="shared" si="6"/>
        <v>609.52958333333333</v>
      </c>
      <c r="K10" s="4">
        <f t="shared" si="1"/>
        <v>406.35305555555556</v>
      </c>
      <c r="L10" s="1">
        <f t="shared" si="2"/>
        <v>0</v>
      </c>
      <c r="M10" s="1">
        <v>471</v>
      </c>
    </row>
    <row r="11" spans="1:14" x14ac:dyDescent="0.25">
      <c r="A11" t="s">
        <v>20</v>
      </c>
      <c r="B11" s="1">
        <v>0</v>
      </c>
      <c r="C11" s="2"/>
      <c r="F11" s="1">
        <f t="shared" si="3"/>
        <v>0</v>
      </c>
      <c r="G11" s="4">
        <f t="shared" si="0"/>
        <v>0</v>
      </c>
      <c r="H11" s="4">
        <f t="shared" si="4"/>
        <v>0</v>
      </c>
      <c r="I11" s="4">
        <f t="shared" si="5"/>
        <v>0</v>
      </c>
      <c r="J11" s="4">
        <f t="shared" si="6"/>
        <v>0</v>
      </c>
      <c r="K11" s="4">
        <f t="shared" si="1"/>
        <v>0</v>
      </c>
      <c r="L11" s="1">
        <f t="shared" si="2"/>
        <v>0</v>
      </c>
    </row>
    <row r="12" spans="1:14" x14ac:dyDescent="0.25">
      <c r="A12" t="s">
        <v>38</v>
      </c>
      <c r="B12" s="1">
        <v>0</v>
      </c>
      <c r="C12" s="2"/>
      <c r="F12" s="1">
        <f t="shared" si="3"/>
        <v>0</v>
      </c>
      <c r="G12" s="4">
        <f t="shared" si="0"/>
        <v>0</v>
      </c>
      <c r="H12" s="4">
        <f t="shared" si="4"/>
        <v>0</v>
      </c>
      <c r="I12" s="4">
        <f t="shared" si="5"/>
        <v>0</v>
      </c>
      <c r="J12" s="4">
        <f t="shared" si="6"/>
        <v>0</v>
      </c>
      <c r="K12" s="4">
        <f t="shared" si="1"/>
        <v>0</v>
      </c>
      <c r="L12" s="1">
        <f t="shared" si="2"/>
        <v>0</v>
      </c>
    </row>
    <row r="13" spans="1:14" x14ac:dyDescent="0.25">
      <c r="A13" t="s">
        <v>21</v>
      </c>
      <c r="B13" s="1">
        <v>0</v>
      </c>
      <c r="C13" s="2"/>
      <c r="E13" s="1">
        <v>380</v>
      </c>
      <c r="F13" s="1">
        <f t="shared" si="3"/>
        <v>0</v>
      </c>
      <c r="G13" s="4">
        <f t="shared" si="0"/>
        <v>0</v>
      </c>
      <c r="H13" s="4">
        <f t="shared" si="4"/>
        <v>0</v>
      </c>
      <c r="I13" s="4">
        <f t="shared" si="5"/>
        <v>0</v>
      </c>
      <c r="J13" s="4">
        <f t="shared" si="6"/>
        <v>0</v>
      </c>
      <c r="K13" s="4">
        <f t="shared" si="1"/>
        <v>0</v>
      </c>
      <c r="L13" s="1">
        <f t="shared" si="2"/>
        <v>0</v>
      </c>
    </row>
    <row r="14" spans="1:14" x14ac:dyDescent="0.25">
      <c r="A14" t="s">
        <v>22</v>
      </c>
      <c r="B14" s="1">
        <v>1369.66</v>
      </c>
      <c r="C14" s="2"/>
      <c r="D14" s="3">
        <v>9.9900000000000003E-2</v>
      </c>
      <c r="F14" s="1">
        <f t="shared" si="3"/>
        <v>456.55333333333334</v>
      </c>
      <c r="G14" s="4">
        <f t="shared" si="0"/>
        <v>228.27666666666667</v>
      </c>
      <c r="H14" s="4">
        <f>G14/2</f>
        <v>114.13833333333334</v>
      </c>
      <c r="I14" s="4">
        <f t="shared" si="5"/>
        <v>114.13833333333334</v>
      </c>
      <c r="J14" s="4">
        <f t="shared" si="6"/>
        <v>57.069166666666668</v>
      </c>
      <c r="K14" s="4">
        <f t="shared" si="1"/>
        <v>38.046111111111117</v>
      </c>
      <c r="L14" s="1">
        <f t="shared" si="2"/>
        <v>11.402419500000001</v>
      </c>
    </row>
    <row r="15" spans="1:14" x14ac:dyDescent="0.25">
      <c r="A15" t="s">
        <v>10</v>
      </c>
      <c r="B15" s="1">
        <v>30163.53</v>
      </c>
      <c r="F15" s="1">
        <f t="shared" si="3"/>
        <v>10054.51</v>
      </c>
      <c r="G15" s="4">
        <f t="shared" si="0"/>
        <v>5027.2550000000001</v>
      </c>
      <c r="H15" s="4">
        <f t="shared" si="4"/>
        <v>2513.6275000000001</v>
      </c>
      <c r="I15" s="4">
        <f t="shared" si="5"/>
        <v>2513.6275000000001</v>
      </c>
      <c r="J15" s="4">
        <f t="shared" si="6"/>
        <v>1256.81375</v>
      </c>
      <c r="K15" s="4">
        <f t="shared" si="1"/>
        <v>837.87583333333328</v>
      </c>
    </row>
    <row r="16" spans="1:14" x14ac:dyDescent="0.25">
      <c r="A16" t="s">
        <v>35</v>
      </c>
      <c r="B16" s="1">
        <v>0</v>
      </c>
      <c r="F16" s="1">
        <f t="shared" si="3"/>
        <v>0</v>
      </c>
      <c r="G16" s="4">
        <f t="shared" si="0"/>
        <v>0</v>
      </c>
      <c r="H16" s="4">
        <f t="shared" si="4"/>
        <v>0</v>
      </c>
      <c r="I16" s="4">
        <f t="shared" si="5"/>
        <v>0</v>
      </c>
      <c r="J16" s="4">
        <f t="shared" si="6"/>
        <v>0</v>
      </c>
      <c r="K16" s="4">
        <f t="shared" si="1"/>
        <v>0</v>
      </c>
    </row>
    <row r="17" spans="1:13" x14ac:dyDescent="0.25">
      <c r="A17" t="s">
        <v>39</v>
      </c>
      <c r="B17" s="1">
        <v>34351.620000000003</v>
      </c>
      <c r="F17" s="1">
        <f>B17/3</f>
        <v>11450.54</v>
      </c>
      <c r="G17" s="4">
        <f>B17/6</f>
        <v>5725.27</v>
      </c>
      <c r="H17" s="4">
        <f t="shared" si="4"/>
        <v>2862.6350000000002</v>
      </c>
      <c r="I17" s="4">
        <f>B17/12</f>
        <v>2862.6350000000002</v>
      </c>
      <c r="J17" s="4">
        <f t="shared" si="6"/>
        <v>1431.3175000000001</v>
      </c>
      <c r="K17" s="4">
        <f t="shared" si="1"/>
        <v>954.2116666666667</v>
      </c>
    </row>
    <row r="19" spans="1:13" x14ac:dyDescent="0.25">
      <c r="B19" s="1">
        <f>SUM(B2:B18)</f>
        <v>94544.010000000009</v>
      </c>
      <c r="D19" s="3">
        <f>AVERAGE(D2:D18)</f>
        <v>2.4975000000000001E-2</v>
      </c>
      <c r="E19" s="1">
        <f>SUM(E2:E18)</f>
        <v>1797</v>
      </c>
      <c r="F19" s="1">
        <f>SUM(F2:F18)</f>
        <v>31514.67</v>
      </c>
      <c r="G19" s="1">
        <f>SUM(G2:G18)</f>
        <v>15757.334999999999</v>
      </c>
      <c r="H19" s="1"/>
      <c r="I19" s="1">
        <f>SUM(I2:I18)</f>
        <v>7878.6674999999996</v>
      </c>
      <c r="J19" s="1"/>
      <c r="K19" s="1"/>
      <c r="L19" s="1">
        <f>SUM(L2:L18)</f>
        <v>11.402419500000001</v>
      </c>
      <c r="M19" s="1">
        <f>SUM(M2:M18)</f>
        <v>1340</v>
      </c>
    </row>
    <row r="20" spans="1:13" x14ac:dyDescent="0.25">
      <c r="L20" s="1">
        <f>(B19*D19)/12</f>
        <v>196.76972081250003</v>
      </c>
    </row>
    <row r="22" spans="1:13" x14ac:dyDescent="0.25">
      <c r="A22" s="8" t="s">
        <v>36</v>
      </c>
      <c r="C22" s="17">
        <f>D22-B22</f>
        <v>3374.19</v>
      </c>
      <c r="D22" s="1">
        <v>3374.19</v>
      </c>
      <c r="F22" s="6">
        <v>43419</v>
      </c>
    </row>
    <row r="23" spans="1:13" x14ac:dyDescent="0.25">
      <c r="A23" s="8" t="s">
        <v>37</v>
      </c>
      <c r="B23" s="15">
        <v>550</v>
      </c>
      <c r="C23" s="4">
        <f>D23-B23</f>
        <v>0</v>
      </c>
      <c r="D23" s="1">
        <v>550</v>
      </c>
      <c r="F23" s="6">
        <v>43926</v>
      </c>
    </row>
    <row r="24" spans="1:13" x14ac:dyDescent="0.25">
      <c r="A24" s="8" t="s">
        <v>23</v>
      </c>
      <c r="B24" s="15">
        <v>540.94000000000005</v>
      </c>
      <c r="C24" s="1"/>
      <c r="E24" s="12">
        <f>SUM(B24:B25)</f>
        <v>1388.56</v>
      </c>
      <c r="F24" s="7">
        <f>DATEDIF(F22,F23,"m")</f>
        <v>16</v>
      </c>
    </row>
    <row r="25" spans="1:13" x14ac:dyDescent="0.25">
      <c r="A25" s="8" t="s">
        <v>24</v>
      </c>
      <c r="B25" s="15">
        <v>847.62</v>
      </c>
      <c r="C25" s="1"/>
      <c r="F25" s="1">
        <v>1438.37</v>
      </c>
    </row>
    <row r="26" spans="1:13" x14ac:dyDescent="0.25">
      <c r="A26" s="8" t="s">
        <v>39</v>
      </c>
      <c r="B26" s="15">
        <v>1207.1300000000001</v>
      </c>
      <c r="C26" s="1"/>
      <c r="D26" s="1">
        <v>1207.1300000000001</v>
      </c>
      <c r="F26" s="1">
        <f>F25/F24</f>
        <v>89.898124999999993</v>
      </c>
    </row>
    <row r="27" spans="1:13" x14ac:dyDescent="0.25">
      <c r="A27" s="8" t="s">
        <v>11</v>
      </c>
      <c r="B27" s="1">
        <v>0</v>
      </c>
      <c r="C27" s="1"/>
    </row>
    <row r="28" spans="1:13" x14ac:dyDescent="0.25">
      <c r="A28" s="8" t="s">
        <v>12</v>
      </c>
      <c r="B28" s="1">
        <v>0</v>
      </c>
      <c r="C28" s="1"/>
    </row>
    <row r="29" spans="1:13" x14ac:dyDescent="0.25">
      <c r="A29" s="8" t="s">
        <v>13</v>
      </c>
      <c r="B29" s="1">
        <v>0</v>
      </c>
      <c r="C29" s="1"/>
    </row>
    <row r="30" spans="1:13" x14ac:dyDescent="0.25">
      <c r="A30" s="8" t="s">
        <v>14</v>
      </c>
      <c r="B30" s="15">
        <v>100</v>
      </c>
      <c r="C30" s="1"/>
      <c r="L30" s="13"/>
    </row>
    <row r="31" spans="1:13" x14ac:dyDescent="0.25">
      <c r="A31" s="8" t="s">
        <v>15</v>
      </c>
      <c r="B31" s="15">
        <v>212</v>
      </c>
      <c r="C31" s="1"/>
      <c r="G31" s="1">
        <v>32042.87</v>
      </c>
    </row>
    <row r="32" spans="1:13" x14ac:dyDescent="0.25">
      <c r="A32" s="8" t="s">
        <v>16</v>
      </c>
      <c r="B32" s="15">
        <v>273</v>
      </c>
      <c r="C32" s="1"/>
    </row>
    <row r="33" spans="1:14" x14ac:dyDescent="0.25">
      <c r="A33" s="8" t="s">
        <v>17</v>
      </c>
      <c r="B33" s="1">
        <v>0</v>
      </c>
      <c r="C33" s="1"/>
      <c r="G33" s="13">
        <v>2653.26</v>
      </c>
    </row>
    <row r="34" spans="1:14" x14ac:dyDescent="0.25">
      <c r="A34" s="8" t="s">
        <v>18</v>
      </c>
      <c r="B34" s="1">
        <v>0</v>
      </c>
      <c r="C34" s="1"/>
      <c r="G34" s="1">
        <v>3787.95</v>
      </c>
    </row>
    <row r="35" spans="1:14" x14ac:dyDescent="0.25">
      <c r="A35" s="8" t="s">
        <v>19</v>
      </c>
      <c r="B35" s="15">
        <v>250</v>
      </c>
      <c r="C35" s="15">
        <v>250</v>
      </c>
      <c r="G35" s="1">
        <v>3903.64</v>
      </c>
    </row>
    <row r="36" spans="1:14" x14ac:dyDescent="0.25">
      <c r="A36" s="8" t="s">
        <v>20</v>
      </c>
      <c r="B36" s="1">
        <v>0</v>
      </c>
      <c r="C36" s="1"/>
    </row>
    <row r="37" spans="1:14" x14ac:dyDescent="0.25">
      <c r="A37" s="8" t="s">
        <v>38</v>
      </c>
      <c r="B37" s="1">
        <v>0</v>
      </c>
      <c r="C37" s="1"/>
      <c r="G37" s="14">
        <f>SUM(G33:G36)</f>
        <v>10344.85</v>
      </c>
    </row>
    <row r="38" spans="1:14" x14ac:dyDescent="0.25">
      <c r="A38" s="8" t="s">
        <v>21</v>
      </c>
      <c r="B38" s="1">
        <v>0</v>
      </c>
      <c r="C38" s="1"/>
    </row>
    <row r="39" spans="1:14" s="3" customFormat="1" x14ac:dyDescent="0.25">
      <c r="A39" s="8" t="s">
        <v>22</v>
      </c>
      <c r="B39" s="15">
        <v>148</v>
      </c>
      <c r="C39" s="1"/>
      <c r="E39" s="1"/>
      <c r="F39" s="1"/>
      <c r="G39" s="4">
        <f>G31-G37</f>
        <v>21698.019999999997</v>
      </c>
      <c r="H39"/>
      <c r="I39"/>
      <c r="J39"/>
      <c r="K39"/>
      <c r="L39" s="1"/>
      <c r="M39" s="1"/>
      <c r="N39"/>
    </row>
    <row r="40" spans="1:14" s="3" customFormat="1" x14ac:dyDescent="0.25">
      <c r="A40" s="8" t="s">
        <v>10</v>
      </c>
      <c r="B40" s="15">
        <v>500</v>
      </c>
      <c r="C40" s="1"/>
      <c r="E40" s="1"/>
      <c r="F40" s="1"/>
      <c r="G40"/>
      <c r="H40"/>
      <c r="I40"/>
      <c r="J40"/>
      <c r="K40"/>
      <c r="L40" s="1"/>
      <c r="M40" s="1"/>
      <c r="N40"/>
    </row>
    <row r="41" spans="1:14" s="3" customFormat="1" x14ac:dyDescent="0.25">
      <c r="A41" s="8" t="s">
        <v>35</v>
      </c>
      <c r="B41" s="1">
        <v>0</v>
      </c>
      <c r="C41" s="1"/>
      <c r="E41" s="1"/>
      <c r="F41" s="1"/>
      <c r="G41"/>
      <c r="H41"/>
      <c r="I41"/>
      <c r="J41"/>
      <c r="K41"/>
      <c r="M41" s="1"/>
      <c r="N41"/>
    </row>
    <row r="42" spans="1:14" x14ac:dyDescent="0.25">
      <c r="A42" s="8" t="s">
        <v>33</v>
      </c>
      <c r="B42" s="15">
        <v>227</v>
      </c>
      <c r="C42" s="1"/>
    </row>
    <row r="43" spans="1:14" s="3" customFormat="1" x14ac:dyDescent="0.25">
      <c r="A43" s="8" t="s">
        <v>44</v>
      </c>
      <c r="B43" s="1"/>
      <c r="C43" s="15">
        <v>264.43</v>
      </c>
      <c r="E43" s="1"/>
      <c r="F43" s="1"/>
      <c r="G43"/>
      <c r="H43"/>
      <c r="I43"/>
      <c r="J43"/>
      <c r="K43"/>
      <c r="L43" s="1"/>
      <c r="M43" s="1"/>
      <c r="N43"/>
    </row>
    <row r="44" spans="1:14" s="3" customFormat="1" x14ac:dyDescent="0.25">
      <c r="A44" s="8" t="s">
        <v>45</v>
      </c>
      <c r="B44" s="15">
        <v>126.4</v>
      </c>
      <c r="C44" s="1"/>
      <c r="D44" s="1"/>
      <c r="E44" s="1"/>
      <c r="F44" s="1"/>
      <c r="G44"/>
      <c r="H44"/>
      <c r="I44"/>
      <c r="J44"/>
      <c r="K44"/>
      <c r="L44" s="1"/>
      <c r="M44" s="1"/>
      <c r="N44"/>
    </row>
    <row r="45" spans="1:14" s="3" customFormat="1" x14ac:dyDescent="0.25">
      <c r="A45" s="8"/>
      <c r="B45" s="1"/>
      <c r="C45" s="1"/>
      <c r="E45" s="1"/>
      <c r="F45" s="1"/>
      <c r="G45"/>
      <c r="H45"/>
      <c r="I45"/>
      <c r="J45"/>
      <c r="K45"/>
      <c r="L45" s="1"/>
      <c r="M45" s="1"/>
      <c r="N45"/>
    </row>
    <row r="46" spans="1:14" x14ac:dyDescent="0.25">
      <c r="A46" s="8" t="s">
        <v>41</v>
      </c>
      <c r="B46" s="1">
        <f>SUM(B22:B45)</f>
        <v>4982.09</v>
      </c>
      <c r="C46" s="1">
        <f>SUM(C22:C45)</f>
        <v>3888.62</v>
      </c>
      <c r="D46" s="1">
        <f>SUM(D23:D45)</f>
        <v>1757.13</v>
      </c>
      <c r="E46" s="1">
        <f>SUM(B24:B25)</f>
        <v>1388.56</v>
      </c>
    </row>
    <row r="47" spans="1:14" x14ac:dyDescent="0.25">
      <c r="D47" s="3" t="s">
        <v>47</v>
      </c>
      <c r="E47" s="1" t="s">
        <v>46</v>
      </c>
    </row>
    <row r="48" spans="1:14" x14ac:dyDescent="0.25">
      <c r="A48" s="8" t="s">
        <v>40</v>
      </c>
      <c r="B48" s="9">
        <v>4016.47</v>
      </c>
      <c r="C48" s="9">
        <v>3889.12</v>
      </c>
    </row>
    <row r="50" spans="1:3" x14ac:dyDescent="0.25">
      <c r="A50" t="s">
        <v>42</v>
      </c>
      <c r="B50" s="1">
        <f>B48-B46</f>
        <v>-965.62000000000035</v>
      </c>
      <c r="C50" s="1">
        <f>C48-C46</f>
        <v>0.5</v>
      </c>
    </row>
  </sheetData>
  <autoFilter ref="A1:M15" xr:uid="{1F705934-551F-4A30-809C-BD2B1658412C}">
    <sortState xmlns:xlrd2="http://schemas.microsoft.com/office/spreadsheetml/2017/richdata2" ref="A2:M15">
      <sortCondition descending="1" ref="D1:D15"/>
    </sortState>
  </autoFilter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887D-F613-47A8-81BF-62BE1DD18C37}">
  <dimension ref="A1:L48"/>
  <sheetViews>
    <sheetView topLeftCell="A16" workbookViewId="0">
      <selection activeCell="B32" sqref="B32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0.5703125" bestFit="1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0.5703125" bestFit="1" customWidth="1"/>
    <col min="10" max="10" width="12.140625" style="1" bestFit="1" customWidth="1"/>
    <col min="11" max="11" width="14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11</v>
      </c>
      <c r="B2" s="1">
        <v>0</v>
      </c>
      <c r="E2" s="1">
        <v>52</v>
      </c>
      <c r="F2" s="1">
        <f>B2/3</f>
        <v>0</v>
      </c>
      <c r="G2" s="4">
        <f t="shared" ref="G2:G17" si="0">B2/6</f>
        <v>0</v>
      </c>
      <c r="H2" s="4">
        <f>G2/2</f>
        <v>0</v>
      </c>
      <c r="I2" s="4">
        <f t="shared" ref="I2:I17" si="1">B2/12</f>
        <v>0</v>
      </c>
      <c r="J2" s="1">
        <f t="shared" ref="J2:J14" si="2">(B2*D2)/12</f>
        <v>0</v>
      </c>
      <c r="L2" s="4"/>
    </row>
    <row r="3" spans="1:12" x14ac:dyDescent="0.25">
      <c r="A3" t="s">
        <v>12</v>
      </c>
      <c r="B3" s="1">
        <v>2596.11</v>
      </c>
      <c r="C3" s="2"/>
      <c r="D3" s="3">
        <v>0.1749</v>
      </c>
      <c r="E3" s="1">
        <v>182</v>
      </c>
      <c r="F3" s="1">
        <f t="shared" ref="F3:F17" si="3">B3/3</f>
        <v>865.37</v>
      </c>
      <c r="G3" s="4">
        <f t="shared" si="0"/>
        <v>432.685</v>
      </c>
      <c r="H3" s="4">
        <f t="shared" ref="H3:H17" si="4">G3/2</f>
        <v>216.3425</v>
      </c>
      <c r="I3" s="4">
        <f t="shared" si="1"/>
        <v>216.3425</v>
      </c>
      <c r="J3" s="1">
        <f t="shared" si="2"/>
        <v>37.838303250000003</v>
      </c>
      <c r="K3" s="1">
        <v>97</v>
      </c>
    </row>
    <row r="4" spans="1:12" x14ac:dyDescent="0.25">
      <c r="A4" t="s">
        <v>13</v>
      </c>
      <c r="B4" s="1">
        <v>0</v>
      </c>
      <c r="C4" s="2"/>
      <c r="E4" s="1">
        <v>107</v>
      </c>
      <c r="F4" s="1">
        <f t="shared" si="3"/>
        <v>0</v>
      </c>
      <c r="G4" s="4">
        <f t="shared" si="0"/>
        <v>0</v>
      </c>
      <c r="H4" s="4">
        <f t="shared" si="4"/>
        <v>0</v>
      </c>
      <c r="I4" s="4">
        <f t="shared" si="1"/>
        <v>0</v>
      </c>
      <c r="J4" s="1">
        <f t="shared" si="2"/>
        <v>0</v>
      </c>
    </row>
    <row r="5" spans="1:12" x14ac:dyDescent="0.25">
      <c r="A5" t="s">
        <v>14</v>
      </c>
      <c r="B5" s="1">
        <v>1275.21</v>
      </c>
      <c r="C5" s="2"/>
      <c r="D5" s="3">
        <v>0.29239999999999999</v>
      </c>
      <c r="E5" s="1">
        <v>136</v>
      </c>
      <c r="F5" s="1">
        <f t="shared" si="3"/>
        <v>425.07</v>
      </c>
      <c r="G5" s="4">
        <f t="shared" si="0"/>
        <v>212.535</v>
      </c>
      <c r="H5" s="4">
        <f t="shared" si="4"/>
        <v>106.2675</v>
      </c>
      <c r="I5" s="4">
        <f t="shared" si="1"/>
        <v>106.2675</v>
      </c>
      <c r="J5" s="1">
        <f t="shared" si="2"/>
        <v>31.072616999999997</v>
      </c>
    </row>
    <row r="6" spans="1:12" x14ac:dyDescent="0.25">
      <c r="A6" t="s">
        <v>15</v>
      </c>
      <c r="B6" s="1">
        <v>6219.78</v>
      </c>
      <c r="C6" s="2">
        <v>43800</v>
      </c>
      <c r="D6" s="3">
        <v>0</v>
      </c>
      <c r="E6" s="1">
        <v>164</v>
      </c>
      <c r="F6" s="1">
        <f t="shared" si="3"/>
        <v>2073.2599999999998</v>
      </c>
      <c r="G6" s="4">
        <f t="shared" si="0"/>
        <v>1036.6299999999999</v>
      </c>
      <c r="H6" s="4">
        <f t="shared" si="4"/>
        <v>518.31499999999994</v>
      </c>
      <c r="I6" s="4">
        <f t="shared" si="1"/>
        <v>518.31499999999994</v>
      </c>
      <c r="J6" s="1">
        <f t="shared" si="2"/>
        <v>0</v>
      </c>
      <c r="K6" s="1">
        <v>221</v>
      </c>
    </row>
    <row r="7" spans="1:12" x14ac:dyDescent="0.25">
      <c r="A7" t="s">
        <v>16</v>
      </c>
      <c r="B7" s="1">
        <v>7107</v>
      </c>
      <c r="C7" s="2">
        <v>43751</v>
      </c>
      <c r="D7" s="3">
        <v>0</v>
      </c>
      <c r="E7" s="1">
        <v>298</v>
      </c>
      <c r="F7" s="1">
        <f t="shared" si="3"/>
        <v>2369</v>
      </c>
      <c r="G7" s="4">
        <f t="shared" si="0"/>
        <v>1184.5</v>
      </c>
      <c r="H7" s="4">
        <f t="shared" si="4"/>
        <v>592.25</v>
      </c>
      <c r="I7" s="4">
        <f t="shared" si="1"/>
        <v>592.25</v>
      </c>
      <c r="J7" s="1">
        <f t="shared" si="2"/>
        <v>0</v>
      </c>
      <c r="K7" s="1">
        <v>298</v>
      </c>
    </row>
    <row r="8" spans="1:12" x14ac:dyDescent="0.25">
      <c r="A8" t="s">
        <v>17</v>
      </c>
      <c r="B8" s="1">
        <v>3714.28</v>
      </c>
      <c r="C8" s="2"/>
      <c r="D8" s="3">
        <v>0.1749</v>
      </c>
      <c r="E8" s="1">
        <v>210</v>
      </c>
      <c r="F8" s="1">
        <f t="shared" si="3"/>
        <v>1238.0933333333335</v>
      </c>
      <c r="G8" s="4">
        <f t="shared" si="0"/>
        <v>619.04666666666674</v>
      </c>
      <c r="H8" s="4">
        <f t="shared" si="4"/>
        <v>309.52333333333337</v>
      </c>
      <c r="I8" s="4">
        <f t="shared" si="1"/>
        <v>309.52333333333337</v>
      </c>
      <c r="J8" s="1">
        <f>(B8*D8)/12</f>
        <v>54.135630999999997</v>
      </c>
      <c r="K8" s="1">
        <v>138</v>
      </c>
      <c r="L8" s="4"/>
    </row>
    <row r="9" spans="1:12" x14ac:dyDescent="0.25">
      <c r="A9" t="s">
        <v>18</v>
      </c>
      <c r="B9" s="1">
        <v>3819.28</v>
      </c>
      <c r="D9" s="3">
        <v>0.1749</v>
      </c>
      <c r="E9" s="1">
        <v>115</v>
      </c>
      <c r="F9" s="1">
        <f t="shared" si="3"/>
        <v>1273.0933333333335</v>
      </c>
      <c r="G9" s="4">
        <f t="shared" si="0"/>
        <v>636.54666666666674</v>
      </c>
      <c r="H9" s="4">
        <f t="shared" si="4"/>
        <v>318.27333333333337</v>
      </c>
      <c r="I9" s="4">
        <f t="shared" si="1"/>
        <v>318.27333333333337</v>
      </c>
      <c r="J9" s="1">
        <f t="shared" si="2"/>
        <v>55.666006000000003</v>
      </c>
      <c r="K9" s="1">
        <v>140</v>
      </c>
    </row>
    <row r="10" spans="1:12" x14ac:dyDescent="0.25">
      <c r="A10" t="s">
        <v>19</v>
      </c>
      <c r="B10" s="1">
        <v>15093.49</v>
      </c>
      <c r="C10" t="s">
        <v>43</v>
      </c>
      <c r="E10" s="1">
        <v>153</v>
      </c>
      <c r="F10" s="1">
        <f t="shared" si="3"/>
        <v>5031.163333333333</v>
      </c>
      <c r="G10" s="4">
        <f t="shared" si="0"/>
        <v>2515.5816666666665</v>
      </c>
      <c r="H10" s="4">
        <f t="shared" si="4"/>
        <v>1257.7908333333332</v>
      </c>
      <c r="I10" s="4">
        <f t="shared" si="1"/>
        <v>1257.7908333333332</v>
      </c>
      <c r="J10" s="1">
        <f t="shared" si="2"/>
        <v>0</v>
      </c>
    </row>
    <row r="11" spans="1:12" x14ac:dyDescent="0.25">
      <c r="A11" t="s">
        <v>20</v>
      </c>
      <c r="B11" s="1">
        <v>0</v>
      </c>
      <c r="C11" s="2"/>
      <c r="F11" s="1">
        <f t="shared" si="3"/>
        <v>0</v>
      </c>
      <c r="G11" s="4">
        <f t="shared" si="0"/>
        <v>0</v>
      </c>
      <c r="H11" s="4">
        <f t="shared" si="4"/>
        <v>0</v>
      </c>
      <c r="I11" s="4">
        <f t="shared" si="1"/>
        <v>0</v>
      </c>
      <c r="J11" s="1">
        <f t="shared" si="2"/>
        <v>0</v>
      </c>
    </row>
    <row r="12" spans="1:12" x14ac:dyDescent="0.25">
      <c r="A12" t="s">
        <v>38</v>
      </c>
      <c r="B12" s="1">
        <v>1.75</v>
      </c>
      <c r="C12" s="2"/>
      <c r="F12" s="1">
        <f t="shared" si="3"/>
        <v>0.58333333333333337</v>
      </c>
      <c r="G12" s="4">
        <f t="shared" si="0"/>
        <v>0.29166666666666669</v>
      </c>
      <c r="H12" s="4">
        <f t="shared" si="4"/>
        <v>0.14583333333333334</v>
      </c>
      <c r="I12" s="4">
        <f t="shared" si="1"/>
        <v>0.14583333333333334</v>
      </c>
      <c r="J12" s="1">
        <f t="shared" si="2"/>
        <v>0</v>
      </c>
    </row>
    <row r="13" spans="1:12" x14ac:dyDescent="0.25">
      <c r="A13" t="s">
        <v>21</v>
      </c>
      <c r="B13" s="1">
        <v>0</v>
      </c>
      <c r="C13" s="2"/>
      <c r="E13" s="1">
        <v>380</v>
      </c>
      <c r="F13" s="1">
        <f t="shared" si="3"/>
        <v>0</v>
      </c>
      <c r="G13" s="4">
        <f t="shared" si="0"/>
        <v>0</v>
      </c>
      <c r="H13" s="4">
        <f t="shared" si="4"/>
        <v>0</v>
      </c>
      <c r="I13" s="4">
        <f t="shared" si="1"/>
        <v>0</v>
      </c>
      <c r="J13" s="1">
        <f t="shared" si="2"/>
        <v>0</v>
      </c>
    </row>
    <row r="14" spans="1:12" x14ac:dyDescent="0.25">
      <c r="A14" t="s">
        <v>22</v>
      </c>
      <c r="B14" s="1">
        <v>1642.23</v>
      </c>
      <c r="C14" s="2"/>
      <c r="D14" s="3">
        <v>9.9900000000000003E-2</v>
      </c>
      <c r="F14" s="1">
        <f t="shared" si="3"/>
        <v>547.41</v>
      </c>
      <c r="G14" s="4">
        <f t="shared" si="0"/>
        <v>273.70499999999998</v>
      </c>
      <c r="H14" s="4">
        <f>G14/2</f>
        <v>136.85249999999999</v>
      </c>
      <c r="I14" s="4">
        <f t="shared" si="1"/>
        <v>136.85249999999999</v>
      </c>
      <c r="J14" s="1">
        <f t="shared" si="2"/>
        <v>13.67156475</v>
      </c>
    </row>
    <row r="15" spans="1:12" x14ac:dyDescent="0.25">
      <c r="A15" t="s">
        <v>10</v>
      </c>
      <c r="B15" s="1">
        <v>38875.71</v>
      </c>
      <c r="F15" s="1">
        <f t="shared" si="3"/>
        <v>12958.57</v>
      </c>
      <c r="G15" s="4">
        <f t="shared" si="0"/>
        <v>6479.2849999999999</v>
      </c>
      <c r="H15" s="4">
        <f t="shared" si="4"/>
        <v>3239.6424999999999</v>
      </c>
      <c r="I15" s="4">
        <f t="shared" si="1"/>
        <v>3239.6424999999999</v>
      </c>
    </row>
    <row r="16" spans="1:12" x14ac:dyDescent="0.25">
      <c r="A16" t="s">
        <v>35</v>
      </c>
      <c r="B16" s="1">
        <v>0</v>
      </c>
      <c r="F16" s="1">
        <f t="shared" si="3"/>
        <v>0</v>
      </c>
      <c r="G16" s="4">
        <f t="shared" si="0"/>
        <v>0</v>
      </c>
      <c r="H16" s="4">
        <f t="shared" si="4"/>
        <v>0</v>
      </c>
      <c r="I16" s="4">
        <f t="shared" si="1"/>
        <v>0</v>
      </c>
    </row>
    <row r="17" spans="1:11" x14ac:dyDescent="0.25">
      <c r="A17" t="s">
        <v>39</v>
      </c>
      <c r="B17" s="1">
        <v>35056.15</v>
      </c>
      <c r="F17" s="1">
        <f t="shared" si="3"/>
        <v>11685.383333333333</v>
      </c>
      <c r="G17" s="4">
        <f t="shared" si="0"/>
        <v>5842.6916666666666</v>
      </c>
      <c r="H17" s="4">
        <f t="shared" si="4"/>
        <v>2921.3458333333333</v>
      </c>
      <c r="I17" s="4">
        <f t="shared" si="1"/>
        <v>2921.3458333333333</v>
      </c>
    </row>
    <row r="19" spans="1:11" x14ac:dyDescent="0.25">
      <c r="B19" s="1">
        <f>SUM(B2:B18)</f>
        <v>115400.98999999999</v>
      </c>
      <c r="D19" s="3">
        <f>AVERAGE(D2:D18)</f>
        <v>0.13099999999999998</v>
      </c>
      <c r="E19" s="1">
        <f>SUM(E2:E18)</f>
        <v>1797</v>
      </c>
      <c r="F19" s="1">
        <f>SUM(F2:F18)</f>
        <v>38466.996666666666</v>
      </c>
      <c r="G19" s="1">
        <f>SUM(G2:G18)</f>
        <v>19233.498333333333</v>
      </c>
      <c r="H19" s="1"/>
      <c r="I19" s="1">
        <f>SUM(I2:I18)</f>
        <v>9616.7491666666665</v>
      </c>
      <c r="J19" s="1">
        <f>SUM(J2:J18)</f>
        <v>192.38412199999999</v>
      </c>
      <c r="K19" s="1">
        <f>SUM(K2:K18)</f>
        <v>894</v>
      </c>
    </row>
    <row r="20" spans="1:11" x14ac:dyDescent="0.25">
      <c r="J20" s="1">
        <f>(B19*D19)/12</f>
        <v>1259.7941408333329</v>
      </c>
    </row>
    <row r="22" spans="1:11" x14ac:dyDescent="0.25">
      <c r="A22" s="8" t="s">
        <v>36</v>
      </c>
      <c r="C22" s="4">
        <f>D22-B22</f>
        <v>3374.19</v>
      </c>
      <c r="D22" s="15">
        <v>3374.19</v>
      </c>
      <c r="F22" s="6">
        <v>43419</v>
      </c>
    </row>
    <row r="23" spans="1:11" x14ac:dyDescent="0.25">
      <c r="A23" s="8" t="s">
        <v>37</v>
      </c>
      <c r="B23" s="1">
        <v>0</v>
      </c>
      <c r="C23" s="1"/>
      <c r="D23" s="15">
        <v>550</v>
      </c>
      <c r="F23" s="6">
        <v>43926</v>
      </c>
    </row>
    <row r="24" spans="1:11" x14ac:dyDescent="0.25">
      <c r="A24" s="8" t="s">
        <v>23</v>
      </c>
      <c r="B24" s="15">
        <v>540.94000000000005</v>
      </c>
      <c r="C24" s="1"/>
      <c r="E24" s="12">
        <f>SUM(B24:B25)</f>
        <v>1388.56</v>
      </c>
      <c r="F24" s="7">
        <f>DATEDIF(F22,F23,"m")</f>
        <v>16</v>
      </c>
    </row>
    <row r="25" spans="1:11" x14ac:dyDescent="0.25">
      <c r="A25" s="8" t="s">
        <v>24</v>
      </c>
      <c r="B25" s="15">
        <v>847.62</v>
      </c>
      <c r="C25" s="1"/>
      <c r="F25" s="1">
        <v>1438.37</v>
      </c>
    </row>
    <row r="26" spans="1:11" x14ac:dyDescent="0.25">
      <c r="A26" s="8" t="s">
        <v>39</v>
      </c>
      <c r="B26" s="1">
        <v>0</v>
      </c>
      <c r="C26" s="1"/>
      <c r="D26" s="1">
        <v>1207.1300000000001</v>
      </c>
      <c r="F26" s="1">
        <f>F25/F24</f>
        <v>89.898124999999993</v>
      </c>
    </row>
    <row r="27" spans="1:11" x14ac:dyDescent="0.25">
      <c r="A27" s="8" t="s">
        <v>11</v>
      </c>
      <c r="B27" s="1">
        <v>0</v>
      </c>
      <c r="C27" s="1"/>
    </row>
    <row r="28" spans="1:11" x14ac:dyDescent="0.25">
      <c r="A28" s="8" t="s">
        <v>12</v>
      </c>
      <c r="B28" s="15">
        <v>2596.11</v>
      </c>
      <c r="C28" s="1"/>
    </row>
    <row r="29" spans="1:11" x14ac:dyDescent="0.25">
      <c r="A29" s="8" t="s">
        <v>13</v>
      </c>
      <c r="B29" s="1">
        <v>0</v>
      </c>
      <c r="C29" s="1"/>
      <c r="I29" t="s">
        <v>11</v>
      </c>
      <c r="J29" s="1">
        <v>0</v>
      </c>
    </row>
    <row r="30" spans="1:11" x14ac:dyDescent="0.25">
      <c r="A30" s="8" t="s">
        <v>14</v>
      </c>
      <c r="B30" s="15">
        <v>100</v>
      </c>
      <c r="C30" s="1"/>
      <c r="I30" t="s">
        <v>12</v>
      </c>
      <c r="J30" s="13">
        <v>2596.11</v>
      </c>
    </row>
    <row r="31" spans="1:11" x14ac:dyDescent="0.25">
      <c r="A31" s="8" t="s">
        <v>15</v>
      </c>
      <c r="B31" s="15">
        <v>217</v>
      </c>
      <c r="C31" s="1"/>
      <c r="G31" s="1">
        <v>32042.87</v>
      </c>
      <c r="I31" t="s">
        <v>13</v>
      </c>
      <c r="J31" s="1">
        <v>0</v>
      </c>
    </row>
    <row r="32" spans="1:11" x14ac:dyDescent="0.25">
      <c r="A32" s="8" t="s">
        <v>16</v>
      </c>
      <c r="B32" s="15">
        <v>281</v>
      </c>
      <c r="C32" s="1"/>
      <c r="I32" t="s">
        <v>14</v>
      </c>
      <c r="K32" s="1">
        <v>1275.21</v>
      </c>
    </row>
    <row r="33" spans="1:12" x14ac:dyDescent="0.25">
      <c r="A33" s="8" t="s">
        <v>17</v>
      </c>
      <c r="B33" s="15">
        <v>3714.28</v>
      </c>
      <c r="C33" s="1"/>
      <c r="G33" s="13">
        <v>2653.26</v>
      </c>
      <c r="I33" t="s">
        <v>15</v>
      </c>
      <c r="K33" s="1">
        <v>6219.78</v>
      </c>
    </row>
    <row r="34" spans="1:12" x14ac:dyDescent="0.25">
      <c r="A34" s="8" t="s">
        <v>18</v>
      </c>
      <c r="B34" s="15">
        <v>3819.28</v>
      </c>
      <c r="C34" s="1"/>
      <c r="G34" s="1">
        <v>3787.95</v>
      </c>
      <c r="I34" t="s">
        <v>16</v>
      </c>
      <c r="K34" s="1">
        <v>7107</v>
      </c>
    </row>
    <row r="35" spans="1:12" x14ac:dyDescent="0.25">
      <c r="A35" s="8" t="s">
        <v>19</v>
      </c>
      <c r="B35" s="15">
        <v>250</v>
      </c>
      <c r="C35" s="1"/>
      <c r="G35" s="1">
        <v>3903.64</v>
      </c>
      <c r="I35" t="s">
        <v>17</v>
      </c>
      <c r="J35" s="1">
        <v>3714.28</v>
      </c>
    </row>
    <row r="36" spans="1:12" x14ac:dyDescent="0.25">
      <c r="A36" s="8" t="s">
        <v>20</v>
      </c>
      <c r="B36" s="1">
        <v>0</v>
      </c>
      <c r="C36" s="1"/>
      <c r="I36" t="s">
        <v>18</v>
      </c>
      <c r="J36" s="1">
        <v>3819.28</v>
      </c>
    </row>
    <row r="37" spans="1:12" x14ac:dyDescent="0.25">
      <c r="A37" s="8" t="s">
        <v>38</v>
      </c>
      <c r="B37" s="15">
        <v>1.75</v>
      </c>
      <c r="C37" s="1"/>
      <c r="G37" s="14">
        <f>SUM(G33:G36)</f>
        <v>10344.85</v>
      </c>
      <c r="I37" t="s">
        <v>19</v>
      </c>
      <c r="K37" s="1">
        <v>15593.49</v>
      </c>
    </row>
    <row r="38" spans="1:12" x14ac:dyDescent="0.25">
      <c r="A38" s="8" t="s">
        <v>21</v>
      </c>
      <c r="B38" s="1">
        <v>0</v>
      </c>
      <c r="C38" s="1"/>
      <c r="I38" t="s">
        <v>20</v>
      </c>
      <c r="J38" s="1">
        <v>0</v>
      </c>
    </row>
    <row r="39" spans="1:12" s="3" customFormat="1" x14ac:dyDescent="0.25">
      <c r="A39" s="8" t="s">
        <v>22</v>
      </c>
      <c r="B39" s="15">
        <v>148</v>
      </c>
      <c r="C39" s="1"/>
      <c r="E39" s="1"/>
      <c r="F39" s="1"/>
      <c r="G39" s="4">
        <f>G31-G37</f>
        <v>21698.019999999997</v>
      </c>
      <c r="H39"/>
      <c r="I39" t="s">
        <v>38</v>
      </c>
      <c r="J39" s="1">
        <v>0</v>
      </c>
      <c r="K39" s="1"/>
      <c r="L39"/>
    </row>
    <row r="40" spans="1:12" s="3" customFormat="1" x14ac:dyDescent="0.25">
      <c r="A40" s="8" t="s">
        <v>10</v>
      </c>
      <c r="B40" s="15">
        <v>12500</v>
      </c>
      <c r="C40" s="1"/>
      <c r="E40" s="1"/>
      <c r="F40" s="1"/>
      <c r="G40"/>
      <c r="H40"/>
      <c r="I40" t="s">
        <v>21</v>
      </c>
      <c r="J40" s="1">
        <v>0</v>
      </c>
      <c r="K40" s="1"/>
      <c r="L40"/>
    </row>
    <row r="41" spans="1:12" s="3" customFormat="1" x14ac:dyDescent="0.25">
      <c r="A41" s="8" t="s">
        <v>35</v>
      </c>
      <c r="B41" s="1">
        <v>0</v>
      </c>
      <c r="C41" s="1"/>
      <c r="E41" s="1"/>
      <c r="F41" s="1"/>
      <c r="G41"/>
      <c r="H41"/>
      <c r="I41" t="s">
        <v>22</v>
      </c>
      <c r="K41" s="1">
        <v>1642.23</v>
      </c>
      <c r="L41"/>
    </row>
    <row r="42" spans="1:12" x14ac:dyDescent="0.25">
      <c r="A42" s="8" t="s">
        <v>33</v>
      </c>
      <c r="B42" s="15">
        <v>227</v>
      </c>
      <c r="C42" s="1"/>
      <c r="I42" t="s">
        <v>10</v>
      </c>
      <c r="J42" s="1">
        <v>10000</v>
      </c>
      <c r="K42" s="1">
        <v>36358.93</v>
      </c>
    </row>
    <row r="43" spans="1:12" s="3" customFormat="1" x14ac:dyDescent="0.25">
      <c r="A43"/>
      <c r="B43" s="1"/>
      <c r="C43" s="1"/>
      <c r="E43" s="1"/>
      <c r="F43" s="1"/>
      <c r="G43"/>
      <c r="H43"/>
      <c r="I43" t="s">
        <v>35</v>
      </c>
      <c r="J43" s="1">
        <v>0</v>
      </c>
      <c r="K43" s="1"/>
      <c r="L43"/>
    </row>
    <row r="44" spans="1:12" x14ac:dyDescent="0.25">
      <c r="A44" s="8" t="s">
        <v>41</v>
      </c>
      <c r="B44" s="1">
        <f>SUM(B22:B42)</f>
        <v>25242.980000000003</v>
      </c>
      <c r="C44" s="1">
        <f>SUM(C22:C42)</f>
        <v>3374.19</v>
      </c>
      <c r="J44" s="1">
        <f>SUM(J29:J43)</f>
        <v>20129.669999999998</v>
      </c>
    </row>
    <row r="46" spans="1:12" x14ac:dyDescent="0.25">
      <c r="A46" s="8" t="s">
        <v>40</v>
      </c>
      <c r="B46" s="9">
        <v>3889.12</v>
      </c>
      <c r="C46" s="9">
        <v>3889.12</v>
      </c>
      <c r="I46" t="s">
        <v>39</v>
      </c>
      <c r="J46" s="1">
        <v>35056.15</v>
      </c>
    </row>
    <row r="48" spans="1:12" x14ac:dyDescent="0.25">
      <c r="A48" t="s">
        <v>42</v>
      </c>
      <c r="B48" s="1">
        <f>B46-B44</f>
        <v>-21353.860000000004</v>
      </c>
      <c r="C48" s="1">
        <f>C46-C44</f>
        <v>514.92999999999984</v>
      </c>
      <c r="J48" s="1">
        <f>J46-J44</f>
        <v>14926.480000000003</v>
      </c>
    </row>
  </sheetData>
  <autoFilter ref="A1:K15" xr:uid="{1F705934-551F-4A30-809C-BD2B1658412C}">
    <sortState xmlns:xlrd2="http://schemas.microsoft.com/office/spreadsheetml/2017/richdata2" ref="A2:K15">
      <sortCondition descending="1" ref="D1:D15"/>
    </sortState>
  </autoFilter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7194-8784-4E41-880F-EE899EFEA771}">
  <dimension ref="A1:L51"/>
  <sheetViews>
    <sheetView topLeftCell="A16" workbookViewId="0">
      <selection activeCell="B6" sqref="B6"/>
    </sheetView>
  </sheetViews>
  <sheetFormatPr defaultRowHeight="15" x14ac:dyDescent="0.25"/>
  <cols>
    <col min="1" max="1" width="7.5703125" bestFit="1" customWidth="1"/>
    <col min="2" max="2" width="11.5703125" style="1" bestFit="1" customWidth="1"/>
    <col min="3" max="3" width="10.5703125" bestFit="1" customWidth="1"/>
    <col min="4" max="4" width="10.57031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3.140625" bestFit="1" customWidth="1"/>
    <col min="9" max="9" width="10.5703125" bestFit="1" customWidth="1"/>
    <col min="10" max="10" width="12.140625" style="1" bestFit="1" customWidth="1"/>
    <col min="11" max="11" width="14" style="1" bestFit="1" customWidth="1"/>
    <col min="12" max="12" width="7" bestFit="1" customWidth="1"/>
    <col min="16" max="16" width="11.5703125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11</v>
      </c>
      <c r="B2" s="1">
        <v>0</v>
      </c>
      <c r="E2" s="1">
        <v>52</v>
      </c>
      <c r="F2" s="1">
        <f>B2/3</f>
        <v>0</v>
      </c>
      <c r="G2" s="4">
        <f t="shared" ref="G2:G17" si="0">B2/6</f>
        <v>0</v>
      </c>
      <c r="H2" s="4">
        <f>G2/2</f>
        <v>0</v>
      </c>
      <c r="I2" s="4">
        <f t="shared" ref="I2:I17" si="1">B2/12</f>
        <v>0</v>
      </c>
      <c r="J2" s="1">
        <f t="shared" ref="J2:J14" si="2">(B2*D2)/12</f>
        <v>0</v>
      </c>
      <c r="L2" s="4"/>
    </row>
    <row r="3" spans="1:12" x14ac:dyDescent="0.25">
      <c r="A3" t="s">
        <v>12</v>
      </c>
      <c r="B3" s="13">
        <v>2653.26</v>
      </c>
      <c r="C3" s="2"/>
      <c r="D3" s="3">
        <v>0.1749</v>
      </c>
      <c r="E3" s="1">
        <v>182</v>
      </c>
      <c r="F3" s="1">
        <f t="shared" ref="F3:F17" si="3">B3/3</f>
        <v>884.42000000000007</v>
      </c>
      <c r="G3" s="4">
        <f t="shared" si="0"/>
        <v>442.21000000000004</v>
      </c>
      <c r="H3" s="4">
        <f t="shared" ref="H3:H17" si="4">G3/2</f>
        <v>221.10500000000002</v>
      </c>
      <c r="I3" s="4">
        <f t="shared" si="1"/>
        <v>221.10500000000002</v>
      </c>
      <c r="J3" s="1">
        <f t="shared" si="2"/>
        <v>38.671264499999999</v>
      </c>
      <c r="K3" s="1">
        <v>97</v>
      </c>
    </row>
    <row r="4" spans="1:12" x14ac:dyDescent="0.25">
      <c r="A4" t="s">
        <v>13</v>
      </c>
      <c r="B4" s="1">
        <v>0</v>
      </c>
      <c r="C4" s="2"/>
      <c r="E4" s="1">
        <v>107</v>
      </c>
      <c r="F4" s="1">
        <f t="shared" si="3"/>
        <v>0</v>
      </c>
      <c r="G4" s="4">
        <f t="shared" si="0"/>
        <v>0</v>
      </c>
      <c r="H4" s="4">
        <f t="shared" si="4"/>
        <v>0</v>
      </c>
      <c r="I4" s="4">
        <f t="shared" si="1"/>
        <v>0</v>
      </c>
      <c r="J4" s="1">
        <f t="shared" si="2"/>
        <v>0</v>
      </c>
    </row>
    <row r="5" spans="1:12" x14ac:dyDescent="0.25">
      <c r="A5" t="s">
        <v>14</v>
      </c>
      <c r="B5" s="1">
        <v>1349.57</v>
      </c>
      <c r="C5" s="2"/>
      <c r="D5" s="3">
        <v>0.29239999999999999</v>
      </c>
      <c r="E5" s="1">
        <v>136</v>
      </c>
      <c r="F5" s="1">
        <f t="shared" si="3"/>
        <v>449.85666666666663</v>
      </c>
      <c r="G5" s="4">
        <f t="shared" si="0"/>
        <v>224.92833333333331</v>
      </c>
      <c r="H5" s="4">
        <f t="shared" si="4"/>
        <v>112.46416666666666</v>
      </c>
      <c r="I5" s="4">
        <f t="shared" si="1"/>
        <v>112.46416666666666</v>
      </c>
      <c r="J5" s="1">
        <f t="shared" si="2"/>
        <v>32.884522333333329</v>
      </c>
    </row>
    <row r="6" spans="1:12" x14ac:dyDescent="0.25">
      <c r="A6" t="s">
        <v>15</v>
      </c>
      <c r="B6" s="1">
        <v>2653.26</v>
      </c>
      <c r="C6" s="2">
        <v>43800</v>
      </c>
      <c r="D6" s="3">
        <v>0</v>
      </c>
      <c r="E6" s="1">
        <v>164</v>
      </c>
      <c r="F6" s="1">
        <f t="shared" si="3"/>
        <v>884.42000000000007</v>
      </c>
      <c r="G6" s="4">
        <f t="shared" si="0"/>
        <v>442.21000000000004</v>
      </c>
      <c r="H6" s="4">
        <f t="shared" si="4"/>
        <v>221.10500000000002</v>
      </c>
      <c r="I6" s="4">
        <f t="shared" si="1"/>
        <v>221.10500000000002</v>
      </c>
      <c r="J6" s="1">
        <f t="shared" si="2"/>
        <v>0</v>
      </c>
      <c r="K6" s="1">
        <v>221</v>
      </c>
    </row>
    <row r="7" spans="1:12" x14ac:dyDescent="0.25">
      <c r="A7" t="s">
        <v>16</v>
      </c>
      <c r="B7" s="1">
        <v>7396</v>
      </c>
      <c r="C7" s="2">
        <v>43751</v>
      </c>
      <c r="D7" s="3">
        <v>0</v>
      </c>
      <c r="E7" s="1">
        <v>298</v>
      </c>
      <c r="F7" s="1">
        <f t="shared" si="3"/>
        <v>2465.3333333333335</v>
      </c>
      <c r="G7" s="4">
        <f t="shared" si="0"/>
        <v>1232.6666666666667</v>
      </c>
      <c r="H7" s="4">
        <f t="shared" si="4"/>
        <v>616.33333333333337</v>
      </c>
      <c r="I7" s="4">
        <f t="shared" si="1"/>
        <v>616.33333333333337</v>
      </c>
      <c r="J7" s="1">
        <f t="shared" si="2"/>
        <v>0</v>
      </c>
      <c r="K7" s="1">
        <v>298</v>
      </c>
    </row>
    <row r="8" spans="1:12" x14ac:dyDescent="0.25">
      <c r="A8" t="s">
        <v>17</v>
      </c>
      <c r="B8" s="1">
        <v>3787.95</v>
      </c>
      <c r="C8" s="2"/>
      <c r="D8" s="3">
        <v>0.1749</v>
      </c>
      <c r="E8" s="1">
        <v>210</v>
      </c>
      <c r="F8" s="1">
        <f t="shared" si="3"/>
        <v>1262.6499999999999</v>
      </c>
      <c r="G8" s="4">
        <f t="shared" si="0"/>
        <v>631.32499999999993</v>
      </c>
      <c r="H8" s="4">
        <f t="shared" si="4"/>
        <v>315.66249999999997</v>
      </c>
      <c r="I8" s="4">
        <f t="shared" si="1"/>
        <v>315.66249999999997</v>
      </c>
      <c r="J8" s="1">
        <f t="shared" si="2"/>
        <v>55.209371249999997</v>
      </c>
      <c r="K8" s="1">
        <v>138</v>
      </c>
      <c r="L8" s="4"/>
    </row>
    <row r="9" spans="1:12" x14ac:dyDescent="0.25">
      <c r="A9" t="s">
        <v>18</v>
      </c>
      <c r="B9" s="1">
        <v>3903.64</v>
      </c>
      <c r="D9" s="3">
        <v>0.1749</v>
      </c>
      <c r="E9" s="1">
        <v>115</v>
      </c>
      <c r="F9" s="1">
        <f t="shared" si="3"/>
        <v>1301.2133333333334</v>
      </c>
      <c r="G9" s="4">
        <f t="shared" si="0"/>
        <v>650.60666666666668</v>
      </c>
      <c r="H9" s="4">
        <f t="shared" si="4"/>
        <v>325.30333333333334</v>
      </c>
      <c r="I9" s="4">
        <f t="shared" si="1"/>
        <v>325.30333333333334</v>
      </c>
      <c r="J9" s="1">
        <f t="shared" si="2"/>
        <v>56.895553</v>
      </c>
      <c r="K9" s="1">
        <v>140</v>
      </c>
    </row>
    <row r="10" spans="1:12" x14ac:dyDescent="0.25">
      <c r="A10" t="s">
        <v>19</v>
      </c>
      <c r="B10" s="1">
        <v>15593.49</v>
      </c>
      <c r="E10" s="1">
        <v>153</v>
      </c>
      <c r="F10" s="1">
        <f>B10/3</f>
        <v>5197.83</v>
      </c>
      <c r="G10" s="4">
        <f>B10/6</f>
        <v>2598.915</v>
      </c>
      <c r="H10" s="4">
        <f t="shared" si="4"/>
        <v>1299.4575</v>
      </c>
      <c r="I10" s="4">
        <f>B10/12</f>
        <v>1299.4575</v>
      </c>
      <c r="J10" s="1">
        <f>(B10*D10)/12</f>
        <v>0</v>
      </c>
    </row>
    <row r="11" spans="1:12" x14ac:dyDescent="0.25">
      <c r="A11" t="s">
        <v>20</v>
      </c>
      <c r="B11" s="1">
        <v>0</v>
      </c>
      <c r="C11" s="2"/>
      <c r="F11" s="1">
        <f t="shared" si="3"/>
        <v>0</v>
      </c>
      <c r="G11" s="4">
        <f t="shared" si="0"/>
        <v>0</v>
      </c>
      <c r="H11" s="4">
        <f t="shared" si="4"/>
        <v>0</v>
      </c>
      <c r="I11" s="4">
        <f t="shared" si="1"/>
        <v>0</v>
      </c>
      <c r="J11" s="1">
        <f t="shared" si="2"/>
        <v>0</v>
      </c>
    </row>
    <row r="12" spans="1:12" x14ac:dyDescent="0.25">
      <c r="A12" t="s">
        <v>38</v>
      </c>
      <c r="B12" s="1">
        <v>0</v>
      </c>
      <c r="C12" s="2"/>
      <c r="F12" s="1">
        <f t="shared" si="3"/>
        <v>0</v>
      </c>
      <c r="G12" s="4">
        <f t="shared" si="0"/>
        <v>0</v>
      </c>
      <c r="H12" s="4">
        <f t="shared" si="4"/>
        <v>0</v>
      </c>
      <c r="I12" s="4">
        <f t="shared" si="1"/>
        <v>0</v>
      </c>
      <c r="J12" s="1">
        <f t="shared" si="2"/>
        <v>0</v>
      </c>
    </row>
    <row r="13" spans="1:12" x14ac:dyDescent="0.25">
      <c r="A13" t="s">
        <v>21</v>
      </c>
      <c r="B13" s="1">
        <v>0</v>
      </c>
      <c r="C13" s="2"/>
      <c r="E13" s="1">
        <v>380</v>
      </c>
      <c r="F13" s="1">
        <f t="shared" si="3"/>
        <v>0</v>
      </c>
      <c r="G13" s="4">
        <f t="shared" si="0"/>
        <v>0</v>
      </c>
      <c r="H13" s="4">
        <f t="shared" si="4"/>
        <v>0</v>
      </c>
      <c r="I13" s="4">
        <f t="shared" si="1"/>
        <v>0</v>
      </c>
      <c r="J13" s="1">
        <f t="shared" si="2"/>
        <v>0</v>
      </c>
    </row>
    <row r="14" spans="1:12" x14ac:dyDescent="0.25">
      <c r="A14" t="s">
        <v>22</v>
      </c>
      <c r="B14" s="1">
        <v>1642.23</v>
      </c>
      <c r="C14" s="2"/>
      <c r="D14" s="3">
        <v>9.9900000000000003E-2</v>
      </c>
      <c r="F14" s="1">
        <f t="shared" si="3"/>
        <v>547.41</v>
      </c>
      <c r="G14" s="4">
        <f t="shared" si="0"/>
        <v>273.70499999999998</v>
      </c>
      <c r="H14" s="4">
        <f>G14/2</f>
        <v>136.85249999999999</v>
      </c>
      <c r="I14" s="4">
        <f t="shared" si="1"/>
        <v>136.85249999999999</v>
      </c>
      <c r="J14" s="1">
        <f t="shared" si="2"/>
        <v>13.67156475</v>
      </c>
    </row>
    <row r="15" spans="1:12" x14ac:dyDescent="0.25">
      <c r="A15" t="s">
        <v>10</v>
      </c>
      <c r="B15" s="1">
        <v>36358.93</v>
      </c>
      <c r="F15" s="1">
        <f>B15/3</f>
        <v>12119.643333333333</v>
      </c>
      <c r="G15" s="4">
        <f>B15/6</f>
        <v>6059.8216666666667</v>
      </c>
      <c r="H15" s="4">
        <f t="shared" si="4"/>
        <v>3029.9108333333334</v>
      </c>
      <c r="I15" s="4">
        <f>B15/12</f>
        <v>3029.9108333333334</v>
      </c>
    </row>
    <row r="16" spans="1:12" x14ac:dyDescent="0.25">
      <c r="A16" t="s">
        <v>35</v>
      </c>
      <c r="B16" s="1">
        <v>0</v>
      </c>
      <c r="F16" s="1">
        <f t="shared" si="3"/>
        <v>0</v>
      </c>
      <c r="G16" s="4">
        <f t="shared" si="0"/>
        <v>0</v>
      </c>
      <c r="H16" s="4">
        <f t="shared" si="4"/>
        <v>0</v>
      </c>
      <c r="I16" s="4">
        <f t="shared" si="1"/>
        <v>0</v>
      </c>
    </row>
    <row r="17" spans="1:12" x14ac:dyDescent="0.25">
      <c r="F17" s="1">
        <f t="shared" si="3"/>
        <v>0</v>
      </c>
      <c r="G17" s="4">
        <f t="shared" si="0"/>
        <v>0</v>
      </c>
      <c r="H17" s="4">
        <f t="shared" si="4"/>
        <v>0</v>
      </c>
      <c r="I17" s="4">
        <f t="shared" si="1"/>
        <v>0</v>
      </c>
    </row>
    <row r="19" spans="1:12" x14ac:dyDescent="0.25">
      <c r="B19" s="1">
        <f>SUM(B2:B18)</f>
        <v>75338.33</v>
      </c>
      <c r="D19" s="3">
        <f>AVERAGE(D2:D18)</f>
        <v>0.13099999999999998</v>
      </c>
      <c r="E19" s="1">
        <f>SUM(E2:E18)</f>
        <v>1797</v>
      </c>
      <c r="F19" s="1">
        <f>SUM(F2:F18)</f>
        <v>25112.776666666665</v>
      </c>
      <c r="G19" s="1">
        <f>SUM(G2:G18)</f>
        <v>12556.388333333332</v>
      </c>
      <c r="H19" s="1"/>
      <c r="I19" s="1">
        <f>SUM(I2:I18)</f>
        <v>6278.1941666666662</v>
      </c>
      <c r="J19" s="1">
        <f>SUM(J2:J18)</f>
        <v>197.33227583333331</v>
      </c>
      <c r="K19" s="1">
        <f>SUM(K2:K18)</f>
        <v>894</v>
      </c>
    </row>
    <row r="20" spans="1:12" x14ac:dyDescent="0.25">
      <c r="B20" s="1">
        <v>35000</v>
      </c>
      <c r="J20" s="1">
        <f>(B19*D19)/12</f>
        <v>822.44343583333318</v>
      </c>
    </row>
    <row r="21" spans="1:12" x14ac:dyDescent="0.25">
      <c r="B21" s="1">
        <f>B19-B20</f>
        <v>40338.33</v>
      </c>
    </row>
    <row r="23" spans="1:12" x14ac:dyDescent="0.25">
      <c r="L23">
        <v>44.06</v>
      </c>
    </row>
    <row r="24" spans="1:12" x14ac:dyDescent="0.25">
      <c r="B24" s="1">
        <f>415.81-208.39</f>
        <v>207.42000000000002</v>
      </c>
      <c r="L24">
        <v>114.3</v>
      </c>
    </row>
    <row r="25" spans="1:12" x14ac:dyDescent="0.25">
      <c r="L25">
        <v>52.93</v>
      </c>
    </row>
    <row r="26" spans="1:12" x14ac:dyDescent="0.25">
      <c r="B26" s="1">
        <f>500-272.67</f>
        <v>227.32999999999998</v>
      </c>
      <c r="L26">
        <v>108.95</v>
      </c>
    </row>
    <row r="27" spans="1:12" x14ac:dyDescent="0.25">
      <c r="L27">
        <f>SUBTOTAL(9,L23:L26)</f>
        <v>320.24</v>
      </c>
    </row>
    <row r="28" spans="1:12" x14ac:dyDescent="0.25">
      <c r="B28" s="1">
        <f>180*2</f>
        <v>360</v>
      </c>
    </row>
    <row r="29" spans="1:12" x14ac:dyDescent="0.25">
      <c r="K29" s="13"/>
    </row>
    <row r="30" spans="1:12" x14ac:dyDescent="0.25">
      <c r="A30" t="s">
        <v>36</v>
      </c>
      <c r="C30" s="4">
        <f>D30-B30</f>
        <v>3374.19</v>
      </c>
      <c r="D30" s="1">
        <v>3374.19</v>
      </c>
      <c r="F30" s="6">
        <v>43419</v>
      </c>
    </row>
    <row r="31" spans="1:12" x14ac:dyDescent="0.25">
      <c r="A31" t="s">
        <v>37</v>
      </c>
      <c r="C31" s="1">
        <v>550</v>
      </c>
      <c r="D31" s="1">
        <v>550</v>
      </c>
      <c r="F31" s="6">
        <v>43926</v>
      </c>
    </row>
    <row r="32" spans="1:12" x14ac:dyDescent="0.25">
      <c r="A32" t="s">
        <v>23</v>
      </c>
      <c r="B32" s="1">
        <v>540.94000000000005</v>
      </c>
      <c r="C32" s="1"/>
      <c r="D32" s="12">
        <f>SUM(B32:B33)</f>
        <v>1388.56</v>
      </c>
      <c r="F32" s="7">
        <f>DATEDIF(F30,F31,"m")</f>
        <v>16</v>
      </c>
    </row>
    <row r="33" spans="1:12" x14ac:dyDescent="0.25">
      <c r="A33" t="s">
        <v>24</v>
      </c>
      <c r="B33" s="1">
        <v>847.62</v>
      </c>
      <c r="C33" s="1"/>
      <c r="F33" s="1">
        <v>1438.37</v>
      </c>
    </row>
    <row r="34" spans="1:12" x14ac:dyDescent="0.25">
      <c r="A34" t="s">
        <v>11</v>
      </c>
      <c r="B34" s="1">
        <v>0</v>
      </c>
      <c r="C34" s="1"/>
      <c r="F34" s="1">
        <f>F33/F32</f>
        <v>89.898124999999993</v>
      </c>
    </row>
    <row r="35" spans="1:12" x14ac:dyDescent="0.25">
      <c r="A35" t="s">
        <v>12</v>
      </c>
      <c r="B35" s="1">
        <v>95</v>
      </c>
      <c r="C35" s="1"/>
    </row>
    <row r="36" spans="1:12" x14ac:dyDescent="0.25">
      <c r="A36" t="s">
        <v>13</v>
      </c>
      <c r="B36" s="1">
        <v>0</v>
      </c>
      <c r="C36" s="1"/>
    </row>
    <row r="37" spans="1:12" x14ac:dyDescent="0.25">
      <c r="A37" t="s">
        <v>14</v>
      </c>
      <c r="B37" s="1">
        <v>100</v>
      </c>
      <c r="C37" s="1"/>
    </row>
    <row r="38" spans="1:12" x14ac:dyDescent="0.25">
      <c r="A38" t="s">
        <v>15</v>
      </c>
      <c r="B38" s="1">
        <v>217</v>
      </c>
      <c r="C38" s="1"/>
    </row>
    <row r="39" spans="1:12" x14ac:dyDescent="0.25">
      <c r="A39" t="s">
        <v>16</v>
      </c>
      <c r="B39" s="1">
        <v>289</v>
      </c>
      <c r="C39" s="1"/>
    </row>
    <row r="40" spans="1:12" x14ac:dyDescent="0.25">
      <c r="A40" t="s">
        <v>17</v>
      </c>
      <c r="B40" s="1">
        <v>136</v>
      </c>
      <c r="C40" s="1"/>
    </row>
    <row r="41" spans="1:12" x14ac:dyDescent="0.25">
      <c r="A41" t="s">
        <v>18</v>
      </c>
      <c r="B41" s="1">
        <v>140</v>
      </c>
      <c r="C41" s="1"/>
    </row>
    <row r="42" spans="1:12" x14ac:dyDescent="0.25">
      <c r="A42" t="s">
        <v>19</v>
      </c>
      <c r="B42" s="1">
        <v>250</v>
      </c>
      <c r="C42" s="1"/>
      <c r="K42" s="13"/>
    </row>
    <row r="43" spans="1:12" x14ac:dyDescent="0.25">
      <c r="A43" t="s">
        <v>20</v>
      </c>
      <c r="B43" s="1">
        <v>0</v>
      </c>
      <c r="C43" s="1"/>
    </row>
    <row r="44" spans="1:12" x14ac:dyDescent="0.25">
      <c r="A44" t="s">
        <v>38</v>
      </c>
      <c r="B44" s="1">
        <v>0</v>
      </c>
      <c r="C44" s="1"/>
    </row>
    <row r="45" spans="1:12" x14ac:dyDescent="0.25">
      <c r="A45" t="s">
        <v>21</v>
      </c>
      <c r="B45" s="1">
        <v>1.04</v>
      </c>
      <c r="C45" s="1"/>
    </row>
    <row r="46" spans="1:12" s="3" customFormat="1" x14ac:dyDescent="0.25">
      <c r="A46" t="s">
        <v>22</v>
      </c>
      <c r="B46" s="1">
        <v>148</v>
      </c>
      <c r="C46" s="1"/>
      <c r="E46" s="1"/>
      <c r="F46" s="1"/>
      <c r="G46"/>
      <c r="H46"/>
      <c r="I46"/>
      <c r="J46" s="1"/>
      <c r="K46" s="1"/>
      <c r="L46"/>
    </row>
    <row r="47" spans="1:12" s="3" customFormat="1" x14ac:dyDescent="0.25">
      <c r="A47" t="s">
        <v>10</v>
      </c>
      <c r="B47" s="1"/>
      <c r="C47" s="1"/>
      <c r="E47" s="1"/>
      <c r="F47" s="1"/>
      <c r="G47"/>
      <c r="H47"/>
      <c r="I47"/>
      <c r="J47" s="1"/>
      <c r="K47" s="1"/>
      <c r="L47"/>
    </row>
    <row r="48" spans="1:12" s="3" customFormat="1" x14ac:dyDescent="0.25">
      <c r="A48" t="s">
        <v>35</v>
      </c>
      <c r="B48" s="1">
        <v>0</v>
      </c>
      <c r="C48" s="1"/>
      <c r="E48" s="1"/>
      <c r="F48" s="1"/>
      <c r="G48"/>
      <c r="H48"/>
      <c r="I48"/>
      <c r="J48" s="1"/>
      <c r="K48" s="1"/>
      <c r="L48"/>
    </row>
    <row r="49" spans="1:12" x14ac:dyDescent="0.25">
      <c r="A49" t="s">
        <v>33</v>
      </c>
      <c r="B49" s="1">
        <v>227</v>
      </c>
      <c r="C49" s="1"/>
    </row>
    <row r="50" spans="1:12" s="3" customFormat="1" x14ac:dyDescent="0.25">
      <c r="A50"/>
      <c r="B50" s="1"/>
      <c r="C50" s="1"/>
      <c r="E50" s="1"/>
      <c r="F50" s="1"/>
      <c r="G50"/>
      <c r="H50"/>
      <c r="I50"/>
      <c r="J50" s="1"/>
      <c r="K50" s="1"/>
      <c r="L50"/>
    </row>
    <row r="51" spans="1:12" x14ac:dyDescent="0.25">
      <c r="B51" s="1">
        <f>SUM(B30:B49)</f>
        <v>2991.6</v>
      </c>
      <c r="C51" s="1">
        <f>SUM(C30:C49)</f>
        <v>3924.19</v>
      </c>
    </row>
  </sheetData>
  <autoFilter ref="A1:K15" xr:uid="{1F705934-551F-4A30-809C-BD2B1658412C}">
    <sortState xmlns:xlrd2="http://schemas.microsoft.com/office/spreadsheetml/2017/richdata2" ref="A2:K15">
      <sortCondition descending="1" ref="D1:D15"/>
    </sortState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B477-7421-4745-BD97-AF01AC21F06B}">
  <dimension ref="A1:L48"/>
  <sheetViews>
    <sheetView topLeftCell="A16" workbookViewId="0">
      <selection activeCell="A30" sqref="A30:B30"/>
    </sheetView>
  </sheetViews>
  <sheetFormatPr defaultRowHeight="15" x14ac:dyDescent="0.25"/>
  <cols>
    <col min="1" max="1" width="7.5703125" bestFit="1" customWidth="1"/>
    <col min="2" max="2" width="11.5703125" style="1" bestFit="1" customWidth="1"/>
    <col min="3" max="3" width="10.5703125" bestFit="1" customWidth="1"/>
    <col min="4" max="4" width="10.5703125" style="3" bestFit="1" customWidth="1"/>
    <col min="5" max="5" width="10.5703125" style="1" bestFit="1" customWidth="1"/>
    <col min="6" max="6" width="11.5703125" style="1" bestFit="1" customWidth="1"/>
    <col min="7" max="7" width="10.5703125" bestFit="1" customWidth="1"/>
    <col min="8" max="8" width="13.140625" bestFit="1" customWidth="1"/>
    <col min="9" max="9" width="10.5703125" bestFit="1" customWidth="1"/>
    <col min="10" max="10" width="12.140625" style="1" bestFit="1" customWidth="1"/>
    <col min="11" max="11" width="14" style="1" bestFit="1" customWidth="1"/>
    <col min="12" max="12" width="7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11</v>
      </c>
      <c r="B2" s="1">
        <v>0</v>
      </c>
      <c r="E2" s="1">
        <v>52</v>
      </c>
      <c r="F2" s="1">
        <f>B2/3</f>
        <v>0</v>
      </c>
      <c r="G2" s="4">
        <f t="shared" ref="G2:G16" si="0">B2/6</f>
        <v>0</v>
      </c>
      <c r="H2" s="4">
        <f>G2/2</f>
        <v>0</v>
      </c>
      <c r="I2" s="4">
        <f t="shared" ref="I2:I16" si="1">B2/12</f>
        <v>0</v>
      </c>
      <c r="J2" s="1">
        <f t="shared" ref="J2:J13" si="2">(B2*D2)/12</f>
        <v>0</v>
      </c>
      <c r="L2" s="4"/>
    </row>
    <row r="3" spans="1:12" x14ac:dyDescent="0.25">
      <c r="A3" t="s">
        <v>12</v>
      </c>
      <c r="B3" s="13">
        <v>2710.1</v>
      </c>
      <c r="C3" s="2"/>
      <c r="D3" s="3">
        <v>0.1749</v>
      </c>
      <c r="E3" s="1">
        <v>182</v>
      </c>
      <c r="F3" s="1">
        <f t="shared" ref="F3:F16" si="3">B3/3</f>
        <v>903.36666666666667</v>
      </c>
      <c r="G3" s="4">
        <f t="shared" si="0"/>
        <v>451.68333333333334</v>
      </c>
      <c r="H3" s="4">
        <f t="shared" ref="H3:H16" si="4">G3/2</f>
        <v>225.84166666666667</v>
      </c>
      <c r="I3" s="4">
        <f t="shared" si="1"/>
        <v>225.84166666666667</v>
      </c>
      <c r="J3" s="1">
        <f t="shared" si="2"/>
        <v>39.4997075</v>
      </c>
      <c r="K3" s="1">
        <v>97</v>
      </c>
    </row>
    <row r="4" spans="1:12" x14ac:dyDescent="0.25">
      <c r="A4" t="s">
        <v>13</v>
      </c>
      <c r="B4" s="1">
        <v>0</v>
      </c>
      <c r="C4" s="2"/>
      <c r="E4" s="1">
        <v>107</v>
      </c>
      <c r="F4" s="1">
        <f t="shared" si="3"/>
        <v>0</v>
      </c>
      <c r="G4" s="4">
        <f t="shared" si="0"/>
        <v>0</v>
      </c>
      <c r="H4" s="4">
        <f t="shared" si="4"/>
        <v>0</v>
      </c>
      <c r="I4" s="4">
        <f t="shared" si="1"/>
        <v>0</v>
      </c>
      <c r="J4" s="1">
        <f t="shared" si="2"/>
        <v>0</v>
      </c>
    </row>
    <row r="5" spans="1:12" x14ac:dyDescent="0.25">
      <c r="A5" t="s">
        <v>14</v>
      </c>
      <c r="B5" s="1">
        <v>1601.93</v>
      </c>
      <c r="C5" s="2"/>
      <c r="D5" s="3">
        <v>0.29239999999999999</v>
      </c>
      <c r="E5" s="1">
        <v>136</v>
      </c>
      <c r="F5" s="1">
        <f t="shared" si="3"/>
        <v>533.97666666666669</v>
      </c>
      <c r="G5" s="4">
        <f t="shared" si="0"/>
        <v>266.98833333333334</v>
      </c>
      <c r="H5" s="4">
        <f t="shared" si="4"/>
        <v>133.49416666666667</v>
      </c>
      <c r="I5" s="4">
        <f t="shared" si="1"/>
        <v>133.49416666666667</v>
      </c>
      <c r="J5" s="1">
        <f t="shared" si="2"/>
        <v>39.033694333333337</v>
      </c>
    </row>
    <row r="6" spans="1:12" x14ac:dyDescent="0.25">
      <c r="A6" t="s">
        <v>15</v>
      </c>
      <c r="B6" s="1">
        <v>6558.28</v>
      </c>
      <c r="C6" s="2">
        <v>43800</v>
      </c>
      <c r="D6" s="3">
        <v>0</v>
      </c>
      <c r="E6" s="1">
        <v>164</v>
      </c>
      <c r="F6" s="1">
        <f t="shared" si="3"/>
        <v>2186.0933333333332</v>
      </c>
      <c r="G6" s="4">
        <f t="shared" si="0"/>
        <v>1093.0466666666666</v>
      </c>
      <c r="H6" s="4">
        <f t="shared" si="4"/>
        <v>546.52333333333331</v>
      </c>
      <c r="I6" s="4">
        <f t="shared" si="1"/>
        <v>546.52333333333331</v>
      </c>
      <c r="J6" s="1">
        <f t="shared" si="2"/>
        <v>0</v>
      </c>
      <c r="K6" s="1">
        <v>221</v>
      </c>
    </row>
    <row r="7" spans="1:12" x14ac:dyDescent="0.25">
      <c r="A7" t="s">
        <v>16</v>
      </c>
      <c r="B7" s="1">
        <v>7694</v>
      </c>
      <c r="C7" s="2">
        <v>43751</v>
      </c>
      <c r="D7" s="3">
        <v>0</v>
      </c>
      <c r="E7" s="1">
        <v>298</v>
      </c>
      <c r="F7" s="1">
        <f t="shared" si="3"/>
        <v>2564.6666666666665</v>
      </c>
      <c r="G7" s="4">
        <f t="shared" si="0"/>
        <v>1282.3333333333333</v>
      </c>
      <c r="H7" s="4">
        <f t="shared" si="4"/>
        <v>641.16666666666663</v>
      </c>
      <c r="I7" s="4">
        <f t="shared" si="1"/>
        <v>641.16666666666663</v>
      </c>
      <c r="J7" s="1">
        <f t="shared" si="2"/>
        <v>0</v>
      </c>
      <c r="K7" s="1">
        <v>298</v>
      </c>
    </row>
    <row r="8" spans="1:12" x14ac:dyDescent="0.25">
      <c r="A8" t="s">
        <v>17</v>
      </c>
      <c r="B8" s="1">
        <v>6558.28</v>
      </c>
      <c r="C8" s="2"/>
      <c r="D8" s="3">
        <v>0.1749</v>
      </c>
      <c r="E8" s="1">
        <v>210</v>
      </c>
      <c r="F8" s="1">
        <f t="shared" si="3"/>
        <v>2186.0933333333332</v>
      </c>
      <c r="G8" s="4">
        <f t="shared" si="0"/>
        <v>1093.0466666666666</v>
      </c>
      <c r="H8" s="4">
        <f t="shared" si="4"/>
        <v>546.52333333333331</v>
      </c>
      <c r="I8" s="4">
        <f t="shared" si="1"/>
        <v>546.52333333333331</v>
      </c>
      <c r="J8" s="1">
        <f t="shared" si="2"/>
        <v>95.586930999999993</v>
      </c>
      <c r="K8" s="1">
        <v>138</v>
      </c>
      <c r="L8" s="4"/>
    </row>
    <row r="9" spans="1:12" x14ac:dyDescent="0.25">
      <c r="A9" t="s">
        <v>18</v>
      </c>
      <c r="B9" s="1">
        <v>3890.31</v>
      </c>
      <c r="D9" s="3">
        <v>0.1749</v>
      </c>
      <c r="E9" s="1">
        <v>115</v>
      </c>
      <c r="F9" s="1">
        <f t="shared" si="3"/>
        <v>1296.77</v>
      </c>
      <c r="G9" s="4">
        <f t="shared" si="0"/>
        <v>648.38499999999999</v>
      </c>
      <c r="H9" s="4">
        <f t="shared" si="4"/>
        <v>324.1925</v>
      </c>
      <c r="I9" s="4">
        <f t="shared" si="1"/>
        <v>324.1925</v>
      </c>
      <c r="J9" s="1">
        <f t="shared" si="2"/>
        <v>56.701268249999998</v>
      </c>
      <c r="K9" s="1">
        <v>140</v>
      </c>
    </row>
    <row r="10" spans="1:12" x14ac:dyDescent="0.25">
      <c r="A10" t="s">
        <v>19</v>
      </c>
      <c r="E10" s="1">
        <v>153</v>
      </c>
      <c r="F10" s="1">
        <f t="shared" si="3"/>
        <v>0</v>
      </c>
      <c r="G10" s="4">
        <f t="shared" si="0"/>
        <v>0</v>
      </c>
      <c r="H10" s="4">
        <f t="shared" si="4"/>
        <v>0</v>
      </c>
      <c r="I10" s="4">
        <f t="shared" si="1"/>
        <v>0</v>
      </c>
      <c r="J10" s="1">
        <f t="shared" si="2"/>
        <v>0</v>
      </c>
    </row>
    <row r="11" spans="1:12" x14ac:dyDescent="0.25">
      <c r="A11" t="s">
        <v>20</v>
      </c>
      <c r="B11" s="1">
        <v>0</v>
      </c>
      <c r="C11" s="2"/>
      <c r="F11" s="1">
        <f t="shared" si="3"/>
        <v>0</v>
      </c>
      <c r="G11" s="4">
        <f t="shared" si="0"/>
        <v>0</v>
      </c>
      <c r="H11" s="4">
        <f t="shared" si="4"/>
        <v>0</v>
      </c>
      <c r="I11" s="4">
        <f t="shared" si="1"/>
        <v>0</v>
      </c>
      <c r="J11" s="1">
        <f t="shared" si="2"/>
        <v>0</v>
      </c>
    </row>
    <row r="12" spans="1:12" x14ac:dyDescent="0.25">
      <c r="A12" t="s">
        <v>21</v>
      </c>
      <c r="B12" s="1">
        <v>0</v>
      </c>
      <c r="C12" s="2"/>
      <c r="E12" s="1">
        <v>380</v>
      </c>
      <c r="F12" s="1">
        <f t="shared" si="3"/>
        <v>0</v>
      </c>
      <c r="G12" s="4">
        <f t="shared" si="0"/>
        <v>0</v>
      </c>
      <c r="H12" s="4">
        <f t="shared" si="4"/>
        <v>0</v>
      </c>
      <c r="I12" s="4">
        <f t="shared" si="1"/>
        <v>0</v>
      </c>
      <c r="J12" s="1">
        <f t="shared" si="2"/>
        <v>0</v>
      </c>
    </row>
    <row r="13" spans="1:12" x14ac:dyDescent="0.25">
      <c r="A13" t="s">
        <v>22</v>
      </c>
      <c r="B13" s="1">
        <v>1776.83</v>
      </c>
      <c r="C13" s="2"/>
      <c r="D13" s="3">
        <v>9.9900000000000003E-2</v>
      </c>
      <c r="F13" s="1">
        <f t="shared" si="3"/>
        <v>592.27666666666664</v>
      </c>
      <c r="G13" s="4">
        <f t="shared" si="0"/>
        <v>296.13833333333332</v>
      </c>
      <c r="H13" s="4">
        <f>G13/2</f>
        <v>148.06916666666666</v>
      </c>
      <c r="I13" s="4">
        <f t="shared" si="1"/>
        <v>148.06916666666666</v>
      </c>
      <c r="J13" s="1">
        <f t="shared" si="2"/>
        <v>14.79210975</v>
      </c>
    </row>
    <row r="14" spans="1:12" x14ac:dyDescent="0.25">
      <c r="A14" t="s">
        <v>10</v>
      </c>
      <c r="F14" s="1">
        <f t="shared" si="3"/>
        <v>0</v>
      </c>
      <c r="G14" s="4">
        <f t="shared" si="0"/>
        <v>0</v>
      </c>
      <c r="H14" s="4">
        <f t="shared" si="4"/>
        <v>0</v>
      </c>
      <c r="I14" s="4">
        <f t="shared" si="1"/>
        <v>0</v>
      </c>
    </row>
    <row r="15" spans="1:12" x14ac:dyDescent="0.25">
      <c r="A15" t="s">
        <v>35</v>
      </c>
      <c r="B15" s="1">
        <v>0</v>
      </c>
      <c r="F15" s="1">
        <f t="shared" si="3"/>
        <v>0</v>
      </c>
      <c r="G15" s="4">
        <f t="shared" si="0"/>
        <v>0</v>
      </c>
      <c r="H15" s="4">
        <f t="shared" si="4"/>
        <v>0</v>
      </c>
      <c r="I15" s="4">
        <f t="shared" si="1"/>
        <v>0</v>
      </c>
    </row>
    <row r="16" spans="1:12" x14ac:dyDescent="0.25">
      <c r="F16" s="1">
        <f t="shared" si="3"/>
        <v>0</v>
      </c>
      <c r="G16" s="4">
        <f t="shared" si="0"/>
        <v>0</v>
      </c>
      <c r="H16" s="4">
        <f t="shared" si="4"/>
        <v>0</v>
      </c>
      <c r="I16" s="4">
        <f t="shared" si="1"/>
        <v>0</v>
      </c>
    </row>
    <row r="18" spans="1:12" x14ac:dyDescent="0.25">
      <c r="B18" s="1">
        <f>SUM(B2:B17)</f>
        <v>30789.729999999996</v>
      </c>
      <c r="D18" s="3">
        <f>AVERAGE(D2:D17)</f>
        <v>0.13099999999999998</v>
      </c>
      <c r="E18" s="1">
        <f>SUM(E2:E17)</f>
        <v>1797</v>
      </c>
      <c r="F18" s="1">
        <f>SUM(F2:F17)</f>
        <v>10263.243333333334</v>
      </c>
      <c r="G18" s="1">
        <f>SUM(G2:G17)</f>
        <v>5131.6216666666669</v>
      </c>
      <c r="H18" s="1"/>
      <c r="I18" s="1">
        <f>SUM(I2:I17)</f>
        <v>2565.8108333333334</v>
      </c>
      <c r="J18" s="1">
        <f>SUM(J2:J17)</f>
        <v>245.61371083333333</v>
      </c>
      <c r="K18" s="1">
        <f>SUM(K2:K17)</f>
        <v>894</v>
      </c>
    </row>
    <row r="19" spans="1:12" x14ac:dyDescent="0.25">
      <c r="J19" s="1">
        <f>(B18*D18)/12</f>
        <v>336.12121916666655</v>
      </c>
    </row>
    <row r="22" spans="1:12" x14ac:dyDescent="0.25">
      <c r="L22">
        <v>44.06</v>
      </c>
    </row>
    <row r="23" spans="1:12" x14ac:dyDescent="0.25">
      <c r="B23" s="1">
        <f>415.81-208.39</f>
        <v>207.42000000000002</v>
      </c>
      <c r="L23">
        <v>114.3</v>
      </c>
    </row>
    <row r="24" spans="1:12" x14ac:dyDescent="0.25">
      <c r="L24">
        <v>52.93</v>
      </c>
    </row>
    <row r="25" spans="1:12" x14ac:dyDescent="0.25">
      <c r="B25" s="1">
        <f>500-272.67</f>
        <v>227.32999999999998</v>
      </c>
      <c r="L25">
        <v>108.95</v>
      </c>
    </row>
    <row r="26" spans="1:12" x14ac:dyDescent="0.25">
      <c r="L26">
        <f>SUBTOTAL(9,L22:L25)</f>
        <v>320.24</v>
      </c>
    </row>
    <row r="27" spans="1:12" x14ac:dyDescent="0.25">
      <c r="B27" s="1">
        <f>180*2</f>
        <v>360</v>
      </c>
    </row>
    <row r="29" spans="1:12" x14ac:dyDescent="0.25">
      <c r="A29" t="s">
        <v>36</v>
      </c>
      <c r="C29" s="1">
        <v>3374.19</v>
      </c>
      <c r="D29" s="1">
        <f>C29-B29</f>
        <v>3374.19</v>
      </c>
      <c r="F29" s="6">
        <v>43419</v>
      </c>
    </row>
    <row r="30" spans="1:12" x14ac:dyDescent="0.25">
      <c r="A30" t="s">
        <v>23</v>
      </c>
      <c r="B30" s="1">
        <v>540.94000000000005</v>
      </c>
      <c r="F30" s="6">
        <v>43926</v>
      </c>
    </row>
    <row r="31" spans="1:12" x14ac:dyDescent="0.25">
      <c r="A31" t="s">
        <v>24</v>
      </c>
      <c r="B31" s="1">
        <v>847.62</v>
      </c>
      <c r="D31" s="12">
        <f>SUM(B30:B31)</f>
        <v>1388.56</v>
      </c>
      <c r="F31" s="7">
        <f>DATEDIF(F29,F30,"m")</f>
        <v>16</v>
      </c>
    </row>
    <row r="32" spans="1:12" x14ac:dyDescent="0.25">
      <c r="A32" t="s">
        <v>11</v>
      </c>
      <c r="B32" s="1">
        <v>0</v>
      </c>
      <c r="F32" s="1">
        <v>1438.37</v>
      </c>
    </row>
    <row r="33" spans="1:12" x14ac:dyDescent="0.25">
      <c r="A33" t="s">
        <v>12</v>
      </c>
      <c r="B33" s="1">
        <v>97</v>
      </c>
      <c r="F33" s="1">
        <f>F32/F31</f>
        <v>89.898124999999993</v>
      </c>
    </row>
    <row r="34" spans="1:12" x14ac:dyDescent="0.25">
      <c r="A34" t="s">
        <v>13</v>
      </c>
      <c r="B34" s="1">
        <v>0</v>
      </c>
    </row>
    <row r="35" spans="1:12" x14ac:dyDescent="0.25">
      <c r="A35" t="s">
        <v>14</v>
      </c>
      <c r="B35" s="1">
        <v>278</v>
      </c>
    </row>
    <row r="36" spans="1:12" x14ac:dyDescent="0.25">
      <c r="A36" t="s">
        <v>15</v>
      </c>
      <c r="B36" s="1">
        <v>221</v>
      </c>
    </row>
    <row r="37" spans="1:12" x14ac:dyDescent="0.25">
      <c r="A37" t="s">
        <v>16</v>
      </c>
      <c r="B37" s="1">
        <v>298</v>
      </c>
    </row>
    <row r="38" spans="1:12" x14ac:dyDescent="0.25">
      <c r="A38" t="s">
        <v>17</v>
      </c>
      <c r="B38" s="1">
        <v>138</v>
      </c>
    </row>
    <row r="39" spans="1:12" x14ac:dyDescent="0.25">
      <c r="A39" t="s">
        <v>18</v>
      </c>
      <c r="B39" s="1">
        <v>140</v>
      </c>
    </row>
    <row r="40" spans="1:12" x14ac:dyDescent="0.25">
      <c r="A40" t="s">
        <v>19</v>
      </c>
      <c r="C40" s="1"/>
    </row>
    <row r="41" spans="1:12" x14ac:dyDescent="0.25">
      <c r="A41" t="s">
        <v>20</v>
      </c>
      <c r="B41" s="1">
        <v>0</v>
      </c>
    </row>
    <row r="42" spans="1:12" x14ac:dyDescent="0.25">
      <c r="A42" t="s">
        <v>21</v>
      </c>
      <c r="B42" s="1">
        <v>300</v>
      </c>
    </row>
    <row r="43" spans="1:12" x14ac:dyDescent="0.25">
      <c r="A43" t="s">
        <v>22</v>
      </c>
      <c r="B43" s="1">
        <v>148</v>
      </c>
    </row>
    <row r="44" spans="1:12" s="3" customFormat="1" x14ac:dyDescent="0.25">
      <c r="A44" t="s">
        <v>10</v>
      </c>
      <c r="B44" s="1"/>
      <c r="C44"/>
      <c r="E44" s="1"/>
      <c r="F44" s="1"/>
      <c r="G44"/>
      <c r="H44"/>
      <c r="I44"/>
      <c r="J44" s="1"/>
      <c r="K44" s="1"/>
      <c r="L44"/>
    </row>
    <row r="45" spans="1:12" s="3" customFormat="1" x14ac:dyDescent="0.25">
      <c r="A45" t="s">
        <v>35</v>
      </c>
      <c r="B45" s="1">
        <v>0</v>
      </c>
      <c r="C45"/>
      <c r="E45" s="1"/>
      <c r="F45" s="1"/>
      <c r="G45"/>
      <c r="H45"/>
      <c r="I45"/>
      <c r="J45" s="1"/>
      <c r="K45" s="1"/>
      <c r="L45"/>
    </row>
    <row r="46" spans="1:12" s="3" customFormat="1" x14ac:dyDescent="0.25">
      <c r="A46" t="s">
        <v>33</v>
      </c>
      <c r="B46" s="1">
        <v>227</v>
      </c>
      <c r="C46"/>
      <c r="E46" s="1"/>
      <c r="F46" s="1"/>
      <c r="G46"/>
      <c r="H46"/>
      <c r="I46"/>
      <c r="J46" s="1"/>
      <c r="K46" s="1"/>
      <c r="L46"/>
    </row>
    <row r="48" spans="1:12" s="3" customFormat="1" x14ac:dyDescent="0.25">
      <c r="A48"/>
      <c r="B48" s="1">
        <f>SUM(B29:B46)</f>
        <v>3235.56</v>
      </c>
      <c r="C48" s="1">
        <f>SUM(C30:C46)</f>
        <v>0</v>
      </c>
      <c r="E48" s="1"/>
      <c r="F48" s="1"/>
      <c r="G48"/>
      <c r="H48"/>
      <c r="I48"/>
      <c r="J48" s="1"/>
      <c r="K48" s="1"/>
      <c r="L48"/>
    </row>
  </sheetData>
  <autoFilter ref="A1:K14" xr:uid="{1F705934-551F-4A30-809C-BD2B1658412C}">
    <sortState xmlns:xlrd2="http://schemas.microsoft.com/office/spreadsheetml/2017/richdata2" ref="A2:K14">
      <sortCondition descending="1" ref="D1:D14"/>
    </sortState>
  </autoFilter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5BCB-80EA-4A06-8E15-4C03C8252F30}">
  <dimension ref="A1:L48"/>
  <sheetViews>
    <sheetView workbookViewId="0">
      <selection activeCell="D30" sqref="D30"/>
    </sheetView>
  </sheetViews>
  <sheetFormatPr defaultRowHeight="15" x14ac:dyDescent="0.25"/>
  <cols>
    <col min="2" max="2" width="11.5703125" style="1" bestFit="1" customWidth="1"/>
    <col min="3" max="3" width="11.5703125" bestFit="1" customWidth="1"/>
    <col min="4" max="4" width="11.1406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0.5703125" customWidth="1"/>
    <col min="9" max="9" width="10.5703125" bestFit="1" customWidth="1"/>
    <col min="10" max="10" width="12.140625" style="1" bestFit="1" customWidth="1"/>
    <col min="11" max="11" width="10.5703125" style="1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20</v>
      </c>
      <c r="B2" s="1">
        <v>0</v>
      </c>
      <c r="D2" s="3">
        <v>0.2999</v>
      </c>
      <c r="E2" s="1">
        <v>52</v>
      </c>
      <c r="F2" s="1">
        <f t="shared" ref="F2:F16" si="0">B2/3</f>
        <v>0</v>
      </c>
      <c r="G2" s="4">
        <f t="shared" ref="G2:G16" si="1">B2/6</f>
        <v>0</v>
      </c>
      <c r="H2" s="4">
        <f t="shared" ref="H2:H16" si="2">G2/2</f>
        <v>0</v>
      </c>
      <c r="I2" s="4">
        <f t="shared" ref="I2:I16" si="3">B2/12</f>
        <v>0</v>
      </c>
      <c r="J2" s="1">
        <f t="shared" ref="J2:J12" si="4">(B2*D2)/12</f>
        <v>0</v>
      </c>
      <c r="L2" s="4"/>
    </row>
    <row r="3" spans="1:12" x14ac:dyDescent="0.25">
      <c r="A3" t="s">
        <v>16</v>
      </c>
      <c r="B3" s="1">
        <v>8000</v>
      </c>
      <c r="C3" s="2">
        <v>43739</v>
      </c>
      <c r="D3" s="3">
        <v>0.27989999999999998</v>
      </c>
      <c r="E3" s="1">
        <v>182</v>
      </c>
      <c r="F3" s="1">
        <f t="shared" si="0"/>
        <v>2666.6666666666665</v>
      </c>
      <c r="G3" s="4">
        <f t="shared" si="1"/>
        <v>1333.3333333333333</v>
      </c>
      <c r="H3" s="4">
        <f t="shared" si="2"/>
        <v>666.66666666666663</v>
      </c>
      <c r="I3" s="4">
        <f t="shared" si="3"/>
        <v>666.66666666666663</v>
      </c>
      <c r="J3" s="1">
        <f t="shared" si="4"/>
        <v>186.6</v>
      </c>
      <c r="K3" s="1">
        <v>180</v>
      </c>
    </row>
    <row r="4" spans="1:12" x14ac:dyDescent="0.25">
      <c r="A4" t="s">
        <v>11</v>
      </c>
      <c r="B4" s="1">
        <v>0</v>
      </c>
      <c r="C4" s="2"/>
      <c r="D4" s="3">
        <v>0.26989999999999997</v>
      </c>
      <c r="E4" s="1">
        <v>107</v>
      </c>
      <c r="F4" s="1">
        <f t="shared" si="0"/>
        <v>0</v>
      </c>
      <c r="G4" s="4">
        <f t="shared" si="1"/>
        <v>0</v>
      </c>
      <c r="H4" s="4">
        <f t="shared" si="2"/>
        <v>0</v>
      </c>
      <c r="I4" s="4">
        <f t="shared" si="3"/>
        <v>0</v>
      </c>
      <c r="J4" s="1">
        <f t="shared" si="4"/>
        <v>0</v>
      </c>
    </row>
    <row r="5" spans="1:12" x14ac:dyDescent="0.25">
      <c r="A5" t="s">
        <v>13</v>
      </c>
      <c r="B5" s="1">
        <v>0</v>
      </c>
      <c r="C5" s="2"/>
      <c r="D5" s="3">
        <v>0.26740000000000003</v>
      </c>
      <c r="E5" s="1">
        <v>136</v>
      </c>
      <c r="F5" s="1">
        <f t="shared" si="0"/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1">
        <f t="shared" si="4"/>
        <v>0</v>
      </c>
    </row>
    <row r="6" spans="1:12" x14ac:dyDescent="0.25">
      <c r="A6" t="s">
        <v>15</v>
      </c>
      <c r="B6" s="1">
        <v>6659.28</v>
      </c>
      <c r="C6" s="2">
        <v>43739</v>
      </c>
      <c r="D6" s="3">
        <v>0.2374</v>
      </c>
      <c r="E6" s="1">
        <v>164</v>
      </c>
      <c r="F6" s="1">
        <f t="shared" si="0"/>
        <v>2219.7599999999998</v>
      </c>
      <c r="G6" s="4">
        <f t="shared" si="1"/>
        <v>1109.8799999999999</v>
      </c>
      <c r="H6" s="4">
        <f t="shared" si="2"/>
        <v>554.93999999999994</v>
      </c>
      <c r="I6" s="4">
        <f t="shared" si="3"/>
        <v>554.93999999999994</v>
      </c>
      <c r="J6" s="1">
        <f t="shared" si="4"/>
        <v>131.74275599999999</v>
      </c>
      <c r="K6" s="1">
        <v>176</v>
      </c>
    </row>
    <row r="7" spans="1:12" x14ac:dyDescent="0.25">
      <c r="A7" t="s">
        <v>10</v>
      </c>
      <c r="B7" s="1">
        <v>34283.660000000003</v>
      </c>
      <c r="C7" s="2"/>
      <c r="D7" s="3">
        <v>0.1724</v>
      </c>
      <c r="F7" s="1">
        <f t="shared" si="0"/>
        <v>11427.886666666667</v>
      </c>
      <c r="G7" s="4">
        <f t="shared" si="1"/>
        <v>5713.9433333333336</v>
      </c>
      <c r="H7" s="4">
        <f t="shared" si="2"/>
        <v>2856.9716666666668</v>
      </c>
      <c r="I7" s="4">
        <f t="shared" si="3"/>
        <v>2856.9716666666668</v>
      </c>
      <c r="J7" s="1">
        <f t="shared" si="4"/>
        <v>492.54191533333341</v>
      </c>
      <c r="K7" s="1">
        <v>1054</v>
      </c>
    </row>
    <row r="8" spans="1:12" x14ac:dyDescent="0.25">
      <c r="A8" t="s">
        <v>12</v>
      </c>
      <c r="B8" s="1">
        <v>2773.24</v>
      </c>
      <c r="C8" s="2"/>
      <c r="D8" s="3">
        <v>0.1699</v>
      </c>
      <c r="E8" s="1">
        <v>210</v>
      </c>
      <c r="F8" s="1">
        <f t="shared" si="0"/>
        <v>924.4133333333333</v>
      </c>
      <c r="G8" s="4">
        <f t="shared" si="1"/>
        <v>462.20666666666665</v>
      </c>
      <c r="H8" s="4">
        <f t="shared" si="2"/>
        <v>231.10333333333332</v>
      </c>
      <c r="I8" s="4">
        <f t="shared" si="3"/>
        <v>231.10333333333332</v>
      </c>
      <c r="J8" s="1">
        <f t="shared" si="4"/>
        <v>39.264456333333328</v>
      </c>
      <c r="K8" s="1">
        <v>210</v>
      </c>
      <c r="L8" s="4"/>
    </row>
    <row r="9" spans="1:12" x14ac:dyDescent="0.25">
      <c r="A9" t="s">
        <v>17</v>
      </c>
      <c r="B9" s="1">
        <v>3922.78</v>
      </c>
      <c r="D9" s="3">
        <v>0.16489999999999999</v>
      </c>
      <c r="E9" s="1">
        <v>115</v>
      </c>
      <c r="F9" s="1">
        <f t="shared" si="0"/>
        <v>1307.5933333333335</v>
      </c>
      <c r="G9" s="4">
        <f t="shared" si="1"/>
        <v>653.79666666666674</v>
      </c>
      <c r="H9" s="4">
        <f t="shared" si="2"/>
        <v>326.89833333333337</v>
      </c>
      <c r="I9" s="4">
        <f t="shared" si="3"/>
        <v>326.89833333333337</v>
      </c>
      <c r="J9" s="1">
        <f t="shared" si="4"/>
        <v>53.90553516666666</v>
      </c>
      <c r="K9" s="1">
        <v>144</v>
      </c>
    </row>
    <row r="10" spans="1:12" x14ac:dyDescent="0.25">
      <c r="A10" t="s">
        <v>18</v>
      </c>
      <c r="B10" s="1">
        <v>3980.45</v>
      </c>
      <c r="D10" s="3">
        <v>0.16489999999999999</v>
      </c>
      <c r="E10" s="1">
        <v>153</v>
      </c>
      <c r="F10" s="1">
        <f t="shared" si="0"/>
        <v>1326.8166666666666</v>
      </c>
      <c r="G10" s="4">
        <f t="shared" si="1"/>
        <v>663.4083333333333</v>
      </c>
      <c r="H10" s="4">
        <f t="shared" si="2"/>
        <v>331.70416666666665</v>
      </c>
      <c r="I10" s="4">
        <f t="shared" si="3"/>
        <v>331.70416666666665</v>
      </c>
      <c r="J10" s="1">
        <f t="shared" si="4"/>
        <v>54.698017083333326</v>
      </c>
      <c r="K10" s="1">
        <v>157</v>
      </c>
    </row>
    <row r="11" spans="1:12" x14ac:dyDescent="0.25">
      <c r="A11" t="s">
        <v>22</v>
      </c>
      <c r="B11" s="1">
        <v>1968.24</v>
      </c>
      <c r="C11" s="2"/>
      <c r="D11" s="3">
        <v>9.9900000000000003E-2</v>
      </c>
      <c r="F11" s="1">
        <f t="shared" si="0"/>
        <v>656.08</v>
      </c>
      <c r="G11" s="4">
        <f t="shared" si="1"/>
        <v>328.04</v>
      </c>
      <c r="H11" s="4">
        <f t="shared" si="2"/>
        <v>164.02</v>
      </c>
      <c r="I11" s="4">
        <f t="shared" si="3"/>
        <v>164.02</v>
      </c>
      <c r="J11" s="1">
        <f t="shared" si="4"/>
        <v>16.385598000000002</v>
      </c>
    </row>
    <row r="12" spans="1:12" x14ac:dyDescent="0.25">
      <c r="A12" t="s">
        <v>19</v>
      </c>
      <c r="B12" s="1">
        <v>16442.43</v>
      </c>
      <c r="C12" s="2"/>
      <c r="D12" s="3">
        <v>8.4900000000000003E-2</v>
      </c>
      <c r="E12" s="1">
        <v>380</v>
      </c>
      <c r="F12" s="1">
        <f t="shared" si="0"/>
        <v>5480.81</v>
      </c>
      <c r="G12" s="4">
        <f t="shared" si="1"/>
        <v>2740.4050000000002</v>
      </c>
      <c r="H12" s="4">
        <f t="shared" si="2"/>
        <v>1370.2025000000001</v>
      </c>
      <c r="I12" s="4">
        <f t="shared" si="3"/>
        <v>1370.2025000000001</v>
      </c>
      <c r="J12" s="1">
        <f t="shared" si="4"/>
        <v>116.33019225</v>
      </c>
      <c r="K12" s="1">
        <v>326</v>
      </c>
    </row>
    <row r="13" spans="1:12" x14ac:dyDescent="0.25">
      <c r="A13" t="s">
        <v>14</v>
      </c>
      <c r="B13" s="1">
        <v>1759.4</v>
      </c>
      <c r="C13" s="2"/>
      <c r="F13" s="1">
        <f t="shared" si="0"/>
        <v>586.4666666666667</v>
      </c>
      <c r="G13" s="4">
        <f t="shared" si="1"/>
        <v>293.23333333333335</v>
      </c>
      <c r="H13" s="4">
        <f t="shared" si="2"/>
        <v>146.61666666666667</v>
      </c>
      <c r="I13" s="4">
        <f t="shared" si="3"/>
        <v>146.61666666666667</v>
      </c>
    </row>
    <row r="14" spans="1:12" x14ac:dyDescent="0.25">
      <c r="A14" t="s">
        <v>21</v>
      </c>
      <c r="B14" s="1">
        <v>0</v>
      </c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</row>
    <row r="15" spans="1:12" x14ac:dyDescent="0.25">
      <c r="A15" t="s">
        <v>34</v>
      </c>
      <c r="B15" s="1">
        <v>0</v>
      </c>
      <c r="F15" s="1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</row>
    <row r="16" spans="1:12" x14ac:dyDescent="0.25">
      <c r="A16" t="s">
        <v>35</v>
      </c>
      <c r="B16" s="1">
        <v>0</v>
      </c>
      <c r="F16" s="1">
        <f t="shared" si="0"/>
        <v>0</v>
      </c>
      <c r="G16" s="4">
        <f t="shared" si="1"/>
        <v>0</v>
      </c>
      <c r="H16" s="4">
        <f t="shared" si="2"/>
        <v>0</v>
      </c>
      <c r="I16" s="4">
        <f t="shared" si="3"/>
        <v>0</v>
      </c>
    </row>
    <row r="18" spans="1:12" x14ac:dyDescent="0.25">
      <c r="B18" s="1">
        <f>SUM(B2:B17)</f>
        <v>79789.479999999981</v>
      </c>
      <c r="D18" s="3">
        <f>AVERAGE(D2:D17)</f>
        <v>0.20103636363636362</v>
      </c>
      <c r="E18" s="1">
        <f>SUM(E2:E17)</f>
        <v>1499</v>
      </c>
      <c r="F18" s="1">
        <f>SUM(F2:F17)</f>
        <v>26596.493333333336</v>
      </c>
      <c r="G18" s="1">
        <f>SUM(G2:G17)</f>
        <v>13298.246666666668</v>
      </c>
      <c r="H18" s="1"/>
      <c r="I18" s="1">
        <f>SUM(I2:I17)</f>
        <v>6649.1233333333339</v>
      </c>
      <c r="J18" s="1">
        <f>SUM(J2:J17)</f>
        <v>1091.4684701666667</v>
      </c>
      <c r="K18" s="1">
        <f>SUM(K2:K17)</f>
        <v>2247</v>
      </c>
    </row>
    <row r="19" spans="1:12" x14ac:dyDescent="0.25">
      <c r="J19" s="1">
        <f>(B18*D18)/12</f>
        <v>1336.7155763030298</v>
      </c>
    </row>
    <row r="22" spans="1:12" x14ac:dyDescent="0.25">
      <c r="L22">
        <v>44.06</v>
      </c>
    </row>
    <row r="23" spans="1:12" x14ac:dyDescent="0.25">
      <c r="B23" s="1">
        <f>415.81-208.39</f>
        <v>207.42000000000002</v>
      </c>
      <c r="L23">
        <v>114.3</v>
      </c>
    </row>
    <row r="24" spans="1:12" x14ac:dyDescent="0.25">
      <c r="L24">
        <v>52.93</v>
      </c>
    </row>
    <row r="25" spans="1:12" x14ac:dyDescent="0.25">
      <c r="B25" s="1">
        <f>500-272.67</f>
        <v>227.32999999999998</v>
      </c>
      <c r="L25">
        <v>108.95</v>
      </c>
    </row>
    <row r="26" spans="1:12" x14ac:dyDescent="0.25">
      <c r="L26">
        <f>SUBTOTAL(9,L22:L25)</f>
        <v>320.24</v>
      </c>
    </row>
    <row r="27" spans="1:12" x14ac:dyDescent="0.25">
      <c r="B27" s="1">
        <f>180*2</f>
        <v>360</v>
      </c>
    </row>
    <row r="29" spans="1:12" x14ac:dyDescent="0.25">
      <c r="A29" t="s">
        <v>36</v>
      </c>
      <c r="C29" s="1">
        <v>3374.19</v>
      </c>
      <c r="D29" s="1">
        <f>C29/2</f>
        <v>1687.095</v>
      </c>
      <c r="F29" s="6">
        <v>43419</v>
      </c>
    </row>
    <row r="30" spans="1:12" x14ac:dyDescent="0.25">
      <c r="A30" t="s">
        <v>23</v>
      </c>
      <c r="C30" s="1">
        <v>540.94000000000005</v>
      </c>
      <c r="F30" s="6">
        <v>43926</v>
      </c>
    </row>
    <row r="31" spans="1:12" x14ac:dyDescent="0.25">
      <c r="A31" t="s">
        <v>24</v>
      </c>
      <c r="C31" s="1">
        <v>847.62</v>
      </c>
      <c r="D31" s="12">
        <f>SUM(C30:C31)</f>
        <v>1388.56</v>
      </c>
      <c r="F31" s="7">
        <f>DATEDIF(F29,F30,"m")</f>
        <v>16</v>
      </c>
    </row>
    <row r="32" spans="1:12" x14ac:dyDescent="0.25">
      <c r="A32" t="s">
        <v>11</v>
      </c>
      <c r="B32" s="1">
        <v>0</v>
      </c>
      <c r="F32" s="1">
        <v>1438.37</v>
      </c>
    </row>
    <row r="33" spans="1:12" x14ac:dyDescent="0.25">
      <c r="A33" t="s">
        <v>12</v>
      </c>
      <c r="B33" s="1">
        <v>100</v>
      </c>
      <c r="F33" s="1">
        <f>F32/F31</f>
        <v>89.898124999999993</v>
      </c>
    </row>
    <row r="34" spans="1:12" x14ac:dyDescent="0.25">
      <c r="A34" t="s">
        <v>13</v>
      </c>
    </row>
    <row r="35" spans="1:12" x14ac:dyDescent="0.25">
      <c r="A35" t="s">
        <v>14</v>
      </c>
      <c r="B35" s="1">
        <v>125</v>
      </c>
    </row>
    <row r="36" spans="1:12" x14ac:dyDescent="0.25">
      <c r="A36" t="s">
        <v>15</v>
      </c>
      <c r="B36" s="1">
        <v>0</v>
      </c>
    </row>
    <row r="37" spans="1:12" x14ac:dyDescent="0.25">
      <c r="A37" t="s">
        <v>16</v>
      </c>
      <c r="B37" s="1">
        <v>306</v>
      </c>
    </row>
    <row r="38" spans="1:12" x14ac:dyDescent="0.25">
      <c r="A38" t="s">
        <v>17</v>
      </c>
      <c r="B38" s="1">
        <v>141</v>
      </c>
    </row>
    <row r="39" spans="1:12" x14ac:dyDescent="0.25">
      <c r="A39" t="s">
        <v>18</v>
      </c>
      <c r="B39" s="1">
        <v>143</v>
      </c>
    </row>
    <row r="40" spans="1:12" x14ac:dyDescent="0.25">
      <c r="A40" t="s">
        <v>19</v>
      </c>
      <c r="B40" s="1">
        <v>513</v>
      </c>
      <c r="C40" s="1"/>
    </row>
    <row r="41" spans="1:12" x14ac:dyDescent="0.25">
      <c r="A41" t="s">
        <v>20</v>
      </c>
      <c r="B41" s="1">
        <v>0</v>
      </c>
    </row>
    <row r="42" spans="1:12" x14ac:dyDescent="0.25">
      <c r="A42" t="s">
        <v>21</v>
      </c>
      <c r="B42" s="1">
        <v>0</v>
      </c>
    </row>
    <row r="43" spans="1:12" x14ac:dyDescent="0.25">
      <c r="A43" t="s">
        <v>22</v>
      </c>
      <c r="B43" s="1">
        <v>31.2</v>
      </c>
    </row>
    <row r="44" spans="1:12" s="3" customFormat="1" x14ac:dyDescent="0.25">
      <c r="A44" t="s">
        <v>10</v>
      </c>
      <c r="B44" s="1">
        <v>0</v>
      </c>
      <c r="C44"/>
      <c r="E44" s="1"/>
      <c r="F44" s="1"/>
      <c r="G44"/>
      <c r="H44"/>
      <c r="I44"/>
      <c r="J44" s="1"/>
      <c r="K44" s="1"/>
      <c r="L44"/>
    </row>
    <row r="45" spans="1:12" s="3" customFormat="1" x14ac:dyDescent="0.25">
      <c r="A45" t="s">
        <v>35</v>
      </c>
      <c r="B45" s="1">
        <v>0</v>
      </c>
      <c r="C45"/>
      <c r="E45" s="1"/>
      <c r="F45" s="1"/>
      <c r="G45"/>
      <c r="H45"/>
      <c r="I45"/>
      <c r="J45" s="1"/>
      <c r="K45" s="1"/>
      <c r="L45"/>
    </row>
    <row r="46" spans="1:12" s="3" customFormat="1" x14ac:dyDescent="0.25">
      <c r="A46" t="s">
        <v>33</v>
      </c>
      <c r="B46" s="1">
        <v>227</v>
      </c>
      <c r="C46"/>
      <c r="E46" s="1"/>
      <c r="F46" s="1"/>
      <c r="G46"/>
      <c r="H46"/>
      <c r="I46"/>
      <c r="J46" s="1"/>
      <c r="K46" s="1"/>
      <c r="L46"/>
    </row>
    <row r="48" spans="1:12" s="3" customFormat="1" x14ac:dyDescent="0.25">
      <c r="A48"/>
      <c r="B48" s="1">
        <f>SUM(B29:B46)</f>
        <v>1586.2</v>
      </c>
      <c r="C48" s="1">
        <f>SUM(C30:C46)</f>
        <v>1388.56</v>
      </c>
      <c r="E48" s="1"/>
      <c r="F48" s="1"/>
      <c r="G48"/>
      <c r="H48"/>
      <c r="I48"/>
      <c r="J48" s="1"/>
      <c r="K48" s="1"/>
      <c r="L48"/>
    </row>
  </sheetData>
  <autoFilter ref="A1:K14" xr:uid="{1F705934-551F-4A30-809C-BD2B1658412C}">
    <sortState xmlns:xlrd2="http://schemas.microsoft.com/office/spreadsheetml/2017/richdata2" ref="A2:K14">
      <sortCondition descending="1" ref="D1:D14"/>
    </sortState>
  </autoFilter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0A37-6FE0-41A0-971E-EC537E44CEB1}">
  <dimension ref="A1:L48"/>
  <sheetViews>
    <sheetView workbookViewId="0">
      <selection activeCell="B40" sqref="B40"/>
    </sheetView>
  </sheetViews>
  <sheetFormatPr defaultRowHeight="15" x14ac:dyDescent="0.25"/>
  <cols>
    <col min="2" max="2" width="11.5703125" style="1" bestFit="1" customWidth="1"/>
    <col min="3" max="3" width="11.5703125" bestFit="1" customWidth="1"/>
    <col min="4" max="4" width="10.57031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0.5703125" customWidth="1"/>
    <col min="9" max="9" width="10.5703125" bestFit="1" customWidth="1"/>
    <col min="10" max="10" width="12.140625" style="1" bestFit="1" customWidth="1"/>
    <col min="11" max="11" width="10.5703125" style="1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20</v>
      </c>
      <c r="B2" s="1">
        <v>0</v>
      </c>
      <c r="D2" s="3">
        <v>0.2999</v>
      </c>
      <c r="E2" s="1">
        <v>52</v>
      </c>
      <c r="F2" s="1">
        <f t="shared" ref="F2:F16" si="0">B2/3</f>
        <v>0</v>
      </c>
      <c r="G2" s="4">
        <f t="shared" ref="G2:G16" si="1">B2/6</f>
        <v>0</v>
      </c>
      <c r="H2" s="4">
        <f t="shared" ref="H2:H16" si="2">G2/2</f>
        <v>0</v>
      </c>
      <c r="I2" s="4">
        <f t="shared" ref="I2:I16" si="3">B2/12</f>
        <v>0</v>
      </c>
      <c r="J2" s="1">
        <f t="shared" ref="J2:J12" si="4">(B2*D2)/12</f>
        <v>0</v>
      </c>
      <c r="L2" s="4"/>
    </row>
    <row r="3" spans="1:12" x14ac:dyDescent="0.25">
      <c r="A3" t="s">
        <v>16</v>
      </c>
      <c r="B3" s="1">
        <v>8000</v>
      </c>
      <c r="C3" s="2">
        <v>43739</v>
      </c>
      <c r="D3" s="3">
        <v>0.27989999999999998</v>
      </c>
      <c r="E3" s="1">
        <v>182</v>
      </c>
      <c r="F3" s="1">
        <f t="shared" si="0"/>
        <v>2666.6666666666665</v>
      </c>
      <c r="G3" s="4">
        <f t="shared" si="1"/>
        <v>1333.3333333333333</v>
      </c>
      <c r="H3" s="4">
        <f t="shared" si="2"/>
        <v>666.66666666666663</v>
      </c>
      <c r="I3" s="4">
        <f t="shared" si="3"/>
        <v>666.66666666666663</v>
      </c>
      <c r="J3" s="1">
        <f t="shared" si="4"/>
        <v>186.6</v>
      </c>
      <c r="K3" s="1">
        <v>180</v>
      </c>
    </row>
    <row r="4" spans="1:12" x14ac:dyDescent="0.25">
      <c r="A4" t="s">
        <v>11</v>
      </c>
      <c r="B4" s="1">
        <v>0</v>
      </c>
      <c r="C4" s="2"/>
      <c r="D4" s="3">
        <v>0.26989999999999997</v>
      </c>
      <c r="E4" s="1">
        <v>107</v>
      </c>
      <c r="F4" s="1">
        <f t="shared" si="0"/>
        <v>0</v>
      </c>
      <c r="G4" s="4">
        <f t="shared" si="1"/>
        <v>0</v>
      </c>
      <c r="H4" s="4">
        <f t="shared" si="2"/>
        <v>0</v>
      </c>
      <c r="I4" s="4">
        <f t="shared" si="3"/>
        <v>0</v>
      </c>
      <c r="J4" s="1">
        <f t="shared" si="4"/>
        <v>0</v>
      </c>
    </row>
    <row r="5" spans="1:12" x14ac:dyDescent="0.25">
      <c r="A5" t="s">
        <v>13</v>
      </c>
      <c r="B5" s="1">
        <v>0</v>
      </c>
      <c r="C5" s="2"/>
      <c r="D5" s="3">
        <v>0.26740000000000003</v>
      </c>
      <c r="E5" s="1">
        <v>136</v>
      </c>
      <c r="F5" s="1">
        <f t="shared" si="0"/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1">
        <f t="shared" si="4"/>
        <v>0</v>
      </c>
    </row>
    <row r="6" spans="1:12" x14ac:dyDescent="0.25">
      <c r="A6" t="s">
        <v>15</v>
      </c>
      <c r="B6" s="1">
        <v>3787.91</v>
      </c>
      <c r="C6" s="2">
        <v>43739</v>
      </c>
      <c r="D6" s="3">
        <v>0.2374</v>
      </c>
      <c r="E6" s="1">
        <v>164</v>
      </c>
      <c r="F6" s="1">
        <f t="shared" si="0"/>
        <v>1262.6366666666665</v>
      </c>
      <c r="G6" s="4">
        <f t="shared" si="1"/>
        <v>631.31833333333327</v>
      </c>
      <c r="H6" s="4">
        <f t="shared" si="2"/>
        <v>315.65916666666664</v>
      </c>
      <c r="I6" s="4">
        <f t="shared" si="3"/>
        <v>315.65916666666664</v>
      </c>
      <c r="J6" s="1">
        <f t="shared" si="4"/>
        <v>74.937486166666659</v>
      </c>
      <c r="K6" s="1">
        <v>176</v>
      </c>
    </row>
    <row r="7" spans="1:12" x14ac:dyDescent="0.25">
      <c r="A7" t="s">
        <v>10</v>
      </c>
      <c r="B7" s="1">
        <v>25699.48</v>
      </c>
      <c r="C7" s="2"/>
      <c r="D7" s="3">
        <v>0.1724</v>
      </c>
      <c r="F7" s="1">
        <f t="shared" si="0"/>
        <v>8566.4933333333338</v>
      </c>
      <c r="G7" s="4">
        <f t="shared" si="1"/>
        <v>4283.2466666666669</v>
      </c>
      <c r="H7" s="4">
        <f t="shared" si="2"/>
        <v>2141.6233333333334</v>
      </c>
      <c r="I7" s="4">
        <f t="shared" si="3"/>
        <v>2141.6233333333334</v>
      </c>
      <c r="J7" s="1">
        <f t="shared" si="4"/>
        <v>369.21586266666668</v>
      </c>
      <c r="K7" s="1">
        <v>1054</v>
      </c>
    </row>
    <row r="8" spans="1:12" x14ac:dyDescent="0.25">
      <c r="A8" t="s">
        <v>12</v>
      </c>
      <c r="B8" s="1">
        <v>5454.96</v>
      </c>
      <c r="C8" s="2"/>
      <c r="D8" s="3">
        <v>0.1699</v>
      </c>
      <c r="E8" s="1">
        <v>210</v>
      </c>
      <c r="F8" s="1">
        <f t="shared" si="0"/>
        <v>1818.32</v>
      </c>
      <c r="G8" s="4">
        <f t="shared" si="1"/>
        <v>909.16</v>
      </c>
      <c r="H8" s="4">
        <f t="shared" si="2"/>
        <v>454.58</v>
      </c>
      <c r="I8" s="4">
        <f t="shared" si="3"/>
        <v>454.58</v>
      </c>
      <c r="J8" s="1">
        <f t="shared" si="4"/>
        <v>77.233142000000001</v>
      </c>
      <c r="K8" s="1">
        <v>210</v>
      </c>
      <c r="L8" s="4"/>
    </row>
    <row r="9" spans="1:12" x14ac:dyDescent="0.25">
      <c r="A9" t="s">
        <v>17</v>
      </c>
      <c r="B9" s="1">
        <v>3904.88</v>
      </c>
      <c r="D9" s="3">
        <v>0.16489999999999999</v>
      </c>
      <c r="E9" s="1">
        <v>115</v>
      </c>
      <c r="F9" s="1">
        <f t="shared" si="0"/>
        <v>1301.6266666666668</v>
      </c>
      <c r="G9" s="4">
        <f t="shared" si="1"/>
        <v>650.81333333333339</v>
      </c>
      <c r="H9" s="4">
        <f t="shared" si="2"/>
        <v>325.40666666666669</v>
      </c>
      <c r="I9" s="4">
        <f t="shared" si="3"/>
        <v>325.40666666666669</v>
      </c>
      <c r="J9" s="1">
        <f t="shared" si="4"/>
        <v>53.659559333333334</v>
      </c>
      <c r="K9" s="1">
        <v>144</v>
      </c>
    </row>
    <row r="10" spans="1:12" x14ac:dyDescent="0.25">
      <c r="A10" t="s">
        <v>18</v>
      </c>
      <c r="B10" s="1">
        <v>4066.24</v>
      </c>
      <c r="D10" s="3">
        <v>0.16489999999999999</v>
      </c>
      <c r="E10" s="1">
        <v>153</v>
      </c>
      <c r="F10" s="1">
        <f t="shared" si="0"/>
        <v>1355.4133333333332</v>
      </c>
      <c r="G10" s="4">
        <f t="shared" si="1"/>
        <v>677.70666666666659</v>
      </c>
      <c r="H10" s="4">
        <f t="shared" si="2"/>
        <v>338.8533333333333</v>
      </c>
      <c r="I10" s="4">
        <f t="shared" si="3"/>
        <v>338.8533333333333</v>
      </c>
      <c r="J10" s="1">
        <f t="shared" si="4"/>
        <v>55.876914666666664</v>
      </c>
      <c r="K10" s="1">
        <v>157</v>
      </c>
    </row>
    <row r="11" spans="1:12" x14ac:dyDescent="0.25">
      <c r="A11" t="s">
        <v>22</v>
      </c>
      <c r="B11" s="1">
        <v>1968.24</v>
      </c>
      <c r="C11" s="2"/>
      <c r="D11" s="3">
        <v>9.9900000000000003E-2</v>
      </c>
      <c r="F11" s="1">
        <f t="shared" si="0"/>
        <v>656.08</v>
      </c>
      <c r="G11" s="4">
        <f t="shared" si="1"/>
        <v>328.04</v>
      </c>
      <c r="H11" s="4">
        <f t="shared" si="2"/>
        <v>164.02</v>
      </c>
      <c r="I11" s="4">
        <f t="shared" si="3"/>
        <v>164.02</v>
      </c>
      <c r="J11" s="1">
        <f t="shared" si="4"/>
        <v>16.385598000000002</v>
      </c>
    </row>
    <row r="12" spans="1:12" x14ac:dyDescent="0.25">
      <c r="A12" t="s">
        <v>19</v>
      </c>
      <c r="B12" s="1">
        <v>12723.44</v>
      </c>
      <c r="C12" s="2"/>
      <c r="D12" s="3">
        <v>8.4900000000000003E-2</v>
      </c>
      <c r="E12" s="1">
        <v>380</v>
      </c>
      <c r="F12" s="1">
        <f t="shared" si="0"/>
        <v>4241.1466666666665</v>
      </c>
      <c r="G12" s="4">
        <f t="shared" si="1"/>
        <v>2120.5733333333333</v>
      </c>
      <c r="H12" s="4">
        <f t="shared" si="2"/>
        <v>1060.2866666666666</v>
      </c>
      <c r="I12" s="4">
        <f t="shared" si="3"/>
        <v>1060.2866666666666</v>
      </c>
      <c r="J12" s="1">
        <f t="shared" si="4"/>
        <v>90.018338000000014</v>
      </c>
      <c r="K12" s="1">
        <v>326</v>
      </c>
    </row>
    <row r="13" spans="1:12" x14ac:dyDescent="0.25">
      <c r="A13" t="s">
        <v>14</v>
      </c>
      <c r="B13" s="1">
        <v>1759.4</v>
      </c>
      <c r="C13" s="2"/>
      <c r="F13" s="1">
        <f t="shared" si="0"/>
        <v>586.4666666666667</v>
      </c>
      <c r="G13" s="4">
        <f t="shared" si="1"/>
        <v>293.23333333333335</v>
      </c>
      <c r="H13" s="4">
        <f t="shared" si="2"/>
        <v>146.61666666666667</v>
      </c>
      <c r="I13" s="4">
        <f t="shared" si="3"/>
        <v>146.61666666666667</v>
      </c>
    </row>
    <row r="14" spans="1:12" x14ac:dyDescent="0.25">
      <c r="A14" t="s">
        <v>21</v>
      </c>
      <c r="B14" s="1">
        <v>0</v>
      </c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</row>
    <row r="15" spans="1:12" x14ac:dyDescent="0.25">
      <c r="A15" t="s">
        <v>34</v>
      </c>
      <c r="B15" s="1">
        <v>0</v>
      </c>
      <c r="F15" s="1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</row>
    <row r="16" spans="1:12" x14ac:dyDescent="0.25">
      <c r="A16" t="s">
        <v>35</v>
      </c>
      <c r="B16" s="1">
        <v>0</v>
      </c>
      <c r="F16" s="1">
        <f t="shared" si="0"/>
        <v>0</v>
      </c>
      <c r="G16" s="4">
        <f t="shared" si="1"/>
        <v>0</v>
      </c>
      <c r="H16" s="4">
        <f t="shared" si="2"/>
        <v>0</v>
      </c>
      <c r="I16" s="4">
        <f t="shared" si="3"/>
        <v>0</v>
      </c>
    </row>
    <row r="18" spans="1:12" x14ac:dyDescent="0.25">
      <c r="B18" s="1">
        <f>SUM(B2:B17)</f>
        <v>67364.549999999988</v>
      </c>
      <c r="D18" s="3">
        <f>AVERAGE(D2:D17)</f>
        <v>0.20103636363636362</v>
      </c>
      <c r="E18" s="1">
        <f>SUM(E2:E17)</f>
        <v>1499</v>
      </c>
      <c r="F18" s="1">
        <f>SUM(F2:F17)</f>
        <v>22454.850000000002</v>
      </c>
      <c r="G18" s="1">
        <f>SUM(G2:G17)</f>
        <v>11227.425000000001</v>
      </c>
      <c r="H18" s="1"/>
      <c r="I18" s="1">
        <f>SUM(I2:I17)</f>
        <v>5613.7125000000005</v>
      </c>
      <c r="J18" s="1">
        <f>SUM(J2:J17)</f>
        <v>923.92690083333332</v>
      </c>
      <c r="K18" s="1">
        <f>SUM(K2:K17)</f>
        <v>2247</v>
      </c>
    </row>
    <row r="19" spans="1:12" x14ac:dyDescent="0.25">
      <c r="J19" s="1">
        <f>(B18*D18)/12</f>
        <v>1128.5603474999998</v>
      </c>
    </row>
    <row r="22" spans="1:12" x14ac:dyDescent="0.25">
      <c r="L22">
        <v>44.06</v>
      </c>
    </row>
    <row r="23" spans="1:12" x14ac:dyDescent="0.25">
      <c r="B23" s="1">
        <f>415.81-208.39</f>
        <v>207.42000000000002</v>
      </c>
      <c r="L23">
        <v>114.3</v>
      </c>
    </row>
    <row r="24" spans="1:12" x14ac:dyDescent="0.25">
      <c r="L24">
        <v>52.93</v>
      </c>
    </row>
    <row r="25" spans="1:12" x14ac:dyDescent="0.25">
      <c r="B25" s="1">
        <f>500-272.67</f>
        <v>227.32999999999998</v>
      </c>
      <c r="L25">
        <v>108.95</v>
      </c>
    </row>
    <row r="26" spans="1:12" x14ac:dyDescent="0.25">
      <c r="L26">
        <f>SUBTOTAL(9,L22:L25)</f>
        <v>320.24</v>
      </c>
    </row>
    <row r="27" spans="1:12" x14ac:dyDescent="0.25">
      <c r="B27" s="1">
        <f>180*2</f>
        <v>360</v>
      </c>
    </row>
    <row r="29" spans="1:12" x14ac:dyDescent="0.25">
      <c r="A29" t="s">
        <v>36</v>
      </c>
      <c r="C29" s="1">
        <v>3390</v>
      </c>
      <c r="F29" s="6">
        <v>43419</v>
      </c>
    </row>
    <row r="30" spans="1:12" x14ac:dyDescent="0.25">
      <c r="A30" t="s">
        <v>23</v>
      </c>
      <c r="B30" s="1">
        <v>540.94000000000005</v>
      </c>
      <c r="F30" s="6">
        <v>43926</v>
      </c>
    </row>
    <row r="31" spans="1:12" x14ac:dyDescent="0.25">
      <c r="A31" t="s">
        <v>24</v>
      </c>
      <c r="B31" s="1">
        <v>847.62</v>
      </c>
      <c r="D31" s="12">
        <f>SUM(B30:B31)</f>
        <v>1388.56</v>
      </c>
      <c r="F31" s="7">
        <f>DATEDIF(F29,F30,"m")</f>
        <v>16</v>
      </c>
    </row>
    <row r="32" spans="1:12" x14ac:dyDescent="0.25">
      <c r="A32" t="s">
        <v>11</v>
      </c>
      <c r="F32" s="1">
        <v>1438.37</v>
      </c>
    </row>
    <row r="33" spans="1:12" x14ac:dyDescent="0.25">
      <c r="A33" t="s">
        <v>12</v>
      </c>
      <c r="B33" s="1">
        <v>196</v>
      </c>
      <c r="F33" s="1">
        <f>F32/F31</f>
        <v>89.898124999999993</v>
      </c>
    </row>
    <row r="34" spans="1:12" x14ac:dyDescent="0.25">
      <c r="A34" t="s">
        <v>13</v>
      </c>
    </row>
    <row r="35" spans="1:12" x14ac:dyDescent="0.25">
      <c r="A35" t="s">
        <v>14</v>
      </c>
      <c r="B35" s="1">
        <v>100</v>
      </c>
    </row>
    <row r="36" spans="1:12" x14ac:dyDescent="0.25">
      <c r="A36" t="s">
        <v>15</v>
      </c>
      <c r="B36" s="1">
        <v>0</v>
      </c>
    </row>
    <row r="37" spans="1:12" x14ac:dyDescent="0.25">
      <c r="A37" t="s">
        <v>16</v>
      </c>
      <c r="B37" s="1">
        <v>0</v>
      </c>
    </row>
    <row r="38" spans="1:12" x14ac:dyDescent="0.25">
      <c r="A38" t="s">
        <v>17</v>
      </c>
      <c r="B38" s="1">
        <v>140</v>
      </c>
    </row>
    <row r="39" spans="1:12" x14ac:dyDescent="0.25">
      <c r="A39" t="s">
        <v>18</v>
      </c>
      <c r="B39" s="1">
        <v>146</v>
      </c>
    </row>
    <row r="40" spans="1:12" x14ac:dyDescent="0.25">
      <c r="A40" t="s">
        <v>19</v>
      </c>
      <c r="B40" s="1">
        <v>150</v>
      </c>
    </row>
    <row r="41" spans="1:12" x14ac:dyDescent="0.25">
      <c r="A41" t="s">
        <v>20</v>
      </c>
      <c r="B41" s="1">
        <v>50</v>
      </c>
    </row>
    <row r="42" spans="1:12" x14ac:dyDescent="0.25">
      <c r="A42" t="s">
        <v>21</v>
      </c>
      <c r="B42" s="1">
        <v>0</v>
      </c>
    </row>
    <row r="43" spans="1:12" x14ac:dyDescent="0.25">
      <c r="A43" t="s">
        <v>22</v>
      </c>
      <c r="B43" s="1">
        <v>31.2</v>
      </c>
    </row>
    <row r="44" spans="1:12" s="3" customFormat="1" x14ac:dyDescent="0.25">
      <c r="A44" t="s">
        <v>10</v>
      </c>
      <c r="B44" s="1">
        <v>0</v>
      </c>
      <c r="C44"/>
      <c r="E44" s="1"/>
      <c r="F44" s="1"/>
      <c r="G44"/>
      <c r="H44"/>
      <c r="I44"/>
      <c r="J44" s="1"/>
      <c r="K44" s="1"/>
      <c r="L44"/>
    </row>
    <row r="45" spans="1:12" s="3" customFormat="1" x14ac:dyDescent="0.25">
      <c r="A45" t="s">
        <v>35</v>
      </c>
      <c r="B45" s="1">
        <v>0</v>
      </c>
      <c r="C45"/>
      <c r="E45" s="1"/>
      <c r="F45" s="1"/>
      <c r="G45"/>
      <c r="H45"/>
      <c r="I45"/>
      <c r="J45" s="1"/>
      <c r="K45" s="1"/>
      <c r="L45"/>
    </row>
    <row r="46" spans="1:12" s="3" customFormat="1" x14ac:dyDescent="0.25">
      <c r="A46" t="s">
        <v>33</v>
      </c>
      <c r="B46" s="1">
        <v>230</v>
      </c>
      <c r="C46"/>
      <c r="E46" s="1"/>
      <c r="F46" s="1"/>
      <c r="G46"/>
      <c r="H46"/>
      <c r="I46"/>
      <c r="J46" s="1"/>
      <c r="K46" s="1"/>
      <c r="L46"/>
    </row>
    <row r="48" spans="1:12" s="3" customFormat="1" x14ac:dyDescent="0.25">
      <c r="A48"/>
      <c r="B48" s="1">
        <f>SUM(B29:B46)</f>
        <v>2431.7599999999998</v>
      </c>
      <c r="C48" s="1"/>
      <c r="E48" s="1"/>
      <c r="F48" s="1"/>
      <c r="G48"/>
      <c r="H48"/>
      <c r="I48"/>
      <c r="J48" s="1"/>
      <c r="K48" s="1"/>
      <c r="L48"/>
    </row>
  </sheetData>
  <autoFilter ref="A1:K14" xr:uid="{1F705934-551F-4A30-809C-BD2B1658412C}">
    <sortState xmlns:xlrd2="http://schemas.microsoft.com/office/spreadsheetml/2017/richdata2" ref="A2:K14">
      <sortCondition descending="1" ref="D1:D1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D7FB-3B6D-4FF3-9706-FCD227D32C6C}">
  <dimension ref="A1:H21"/>
  <sheetViews>
    <sheetView workbookViewId="0">
      <selection activeCell="E3" sqref="E3"/>
    </sheetView>
  </sheetViews>
  <sheetFormatPr defaultRowHeight="15" x14ac:dyDescent="0.25"/>
  <cols>
    <col min="1" max="1" width="10.7109375" bestFit="1" customWidth="1"/>
    <col min="2" max="2" width="11.5703125" style="1" bestFit="1" customWidth="1"/>
    <col min="3" max="3" width="12.5703125" bestFit="1" customWidth="1"/>
    <col min="4" max="4" width="12.28515625" style="1" bestFit="1" customWidth="1"/>
    <col min="5" max="5" width="12.28515625" bestFit="1" customWidth="1"/>
    <col min="6" max="8" width="10.5703125" bestFit="1" customWidth="1"/>
  </cols>
  <sheetData>
    <row r="1" spans="1:8" x14ac:dyDescent="0.25">
      <c r="A1" t="s">
        <v>48</v>
      </c>
      <c r="B1" s="1" t="s">
        <v>51</v>
      </c>
      <c r="C1" s="2" t="s">
        <v>49</v>
      </c>
      <c r="D1" s="1" t="s">
        <v>50</v>
      </c>
      <c r="E1" s="2"/>
      <c r="F1" s="2"/>
      <c r="G1" s="2"/>
      <c r="H1" s="2"/>
    </row>
    <row r="2" spans="1:8" x14ac:dyDescent="0.25">
      <c r="A2" s="2">
        <v>43669</v>
      </c>
      <c r="B2" s="1">
        <v>28897</v>
      </c>
      <c r="C2" s="1">
        <v>8262.73</v>
      </c>
      <c r="E2" s="4">
        <f>SUM(C2:D2)</f>
        <v>8262.73</v>
      </c>
    </row>
    <row r="3" spans="1:8" x14ac:dyDescent="0.25">
      <c r="A3" s="2">
        <v>43639</v>
      </c>
      <c r="C3" s="1">
        <v>5491.89</v>
      </c>
      <c r="E3" s="4">
        <f t="shared" ref="E3:E10" si="0">SUM(C3:D3)</f>
        <v>5491.89</v>
      </c>
    </row>
    <row r="4" spans="1:8" x14ac:dyDescent="0.25">
      <c r="A4" s="2">
        <v>43608</v>
      </c>
      <c r="C4" s="1">
        <v>7133.66</v>
      </c>
      <c r="E4" s="4">
        <f t="shared" si="0"/>
        <v>7133.66</v>
      </c>
    </row>
    <row r="5" spans="1:8" x14ac:dyDescent="0.25">
      <c r="A5" s="2">
        <v>43578</v>
      </c>
      <c r="C5" s="1">
        <v>6228.01</v>
      </c>
      <c r="E5" s="4">
        <f t="shared" si="0"/>
        <v>6228.01</v>
      </c>
    </row>
    <row r="6" spans="1:8" x14ac:dyDescent="0.25">
      <c r="A6" s="2">
        <v>43547</v>
      </c>
      <c r="C6" s="1">
        <v>6177.54</v>
      </c>
      <c r="E6" s="4">
        <f t="shared" si="0"/>
        <v>6177.54</v>
      </c>
    </row>
    <row r="7" spans="1:8" x14ac:dyDescent="0.25">
      <c r="A7" s="2">
        <v>43519</v>
      </c>
      <c r="C7" s="1">
        <v>7192.13</v>
      </c>
      <c r="E7" s="4">
        <f t="shared" si="0"/>
        <v>7192.13</v>
      </c>
    </row>
    <row r="8" spans="1:8" x14ac:dyDescent="0.25">
      <c r="A8" s="2">
        <v>43488</v>
      </c>
      <c r="C8" s="1">
        <v>6518.33</v>
      </c>
      <c r="D8" s="1">
        <v>-9587.23</v>
      </c>
      <c r="E8" s="4">
        <f t="shared" si="0"/>
        <v>-3068.8999999999996</v>
      </c>
    </row>
    <row r="9" spans="1:8" x14ac:dyDescent="0.25">
      <c r="A9" s="2">
        <v>43457</v>
      </c>
      <c r="C9" s="1">
        <v>6426.49</v>
      </c>
      <c r="D9" s="1">
        <v>-8912.35</v>
      </c>
      <c r="E9" s="4">
        <f t="shared" si="0"/>
        <v>-2485.8600000000006</v>
      </c>
    </row>
    <row r="10" spans="1:8" x14ac:dyDescent="0.25">
      <c r="A10" s="2">
        <v>43427</v>
      </c>
      <c r="C10" s="1">
        <v>9124.9599999999991</v>
      </c>
      <c r="D10" s="1">
        <v>-6500</v>
      </c>
      <c r="E10" s="4">
        <f t="shared" si="0"/>
        <v>2624.9599999999991</v>
      </c>
    </row>
    <row r="11" spans="1:8" x14ac:dyDescent="0.25">
      <c r="A11" s="2">
        <v>43396</v>
      </c>
      <c r="C11" s="1">
        <v>6403.08</v>
      </c>
      <c r="D11" s="1">
        <v>-5809.12</v>
      </c>
      <c r="E11" s="4">
        <f>SUM(C11:D11)</f>
        <v>593.96</v>
      </c>
    </row>
    <row r="12" spans="1:8" x14ac:dyDescent="0.25">
      <c r="A12" s="2">
        <v>43366</v>
      </c>
      <c r="C12" s="1">
        <v>6803.23</v>
      </c>
      <c r="D12" s="1">
        <v>-6079.45</v>
      </c>
      <c r="E12" s="4">
        <f>SUM(C12:D12)</f>
        <v>723.77999999999975</v>
      </c>
    </row>
    <row r="13" spans="1:8" x14ac:dyDescent="0.25">
      <c r="A13" s="2">
        <v>43335</v>
      </c>
      <c r="C13" s="1">
        <v>5818.92</v>
      </c>
      <c r="D13" s="1">
        <v>-5521.31</v>
      </c>
      <c r="E13" s="4">
        <f t="shared" ref="E13:E19" si="1">SUM(C13:D13)</f>
        <v>297.60999999999967</v>
      </c>
    </row>
    <row r="14" spans="1:8" x14ac:dyDescent="0.25">
      <c r="A14" s="2">
        <v>43304</v>
      </c>
      <c r="C14" s="1">
        <v>4961.8</v>
      </c>
      <c r="D14" s="1">
        <v>-5017.24</v>
      </c>
      <c r="E14" s="4">
        <f t="shared" si="1"/>
        <v>-55.4399999999996</v>
      </c>
    </row>
    <row r="15" spans="1:8" x14ac:dyDescent="0.25">
      <c r="A15" s="2">
        <v>43274</v>
      </c>
      <c r="C15" s="1">
        <v>5191.43</v>
      </c>
      <c r="D15" s="1">
        <v>-7500</v>
      </c>
      <c r="E15" s="4">
        <f t="shared" si="1"/>
        <v>-2308.5699999999997</v>
      </c>
    </row>
    <row r="16" spans="1:8" x14ac:dyDescent="0.25">
      <c r="A16" s="2">
        <v>43243</v>
      </c>
      <c r="C16" s="1">
        <v>4806.04</v>
      </c>
      <c r="D16" s="1">
        <v>-3000</v>
      </c>
      <c r="E16" s="4">
        <f t="shared" si="1"/>
        <v>1806.04</v>
      </c>
    </row>
    <row r="17" spans="1:5" x14ac:dyDescent="0.25">
      <c r="A17" s="2">
        <v>43213</v>
      </c>
      <c r="C17" s="1">
        <v>7088.94</v>
      </c>
      <c r="D17" s="1">
        <v>-2700</v>
      </c>
      <c r="E17" s="4">
        <f t="shared" si="1"/>
        <v>4388.9399999999996</v>
      </c>
    </row>
    <row r="18" spans="1:5" x14ac:dyDescent="0.25">
      <c r="A18" s="2">
        <v>43182</v>
      </c>
      <c r="C18" s="1">
        <v>9307</v>
      </c>
      <c r="D18" s="1">
        <v>-2000</v>
      </c>
      <c r="E18" s="4">
        <f t="shared" si="1"/>
        <v>7307</v>
      </c>
    </row>
    <row r="19" spans="1:5" x14ac:dyDescent="0.25">
      <c r="A19" s="2">
        <v>43154</v>
      </c>
      <c r="C19" s="1">
        <v>4417.88</v>
      </c>
      <c r="D19" s="1">
        <v>-18500</v>
      </c>
      <c r="E19" s="4">
        <f t="shared" si="1"/>
        <v>-14082.119999999999</v>
      </c>
    </row>
    <row r="21" spans="1:5" x14ac:dyDescent="0.25">
      <c r="C21" s="4">
        <f>SUM(C2:C20)</f>
        <v>117354.05999999998</v>
      </c>
      <c r="D21" s="4">
        <f>SUM(D2:D20)</f>
        <v>-81126.7</v>
      </c>
      <c r="E21" s="4">
        <f>SUM(E2:E20)</f>
        <v>36227.360000000001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1DB5-4EA0-4149-A93C-C2897C0F56A5}">
  <dimension ref="A1:L45"/>
  <sheetViews>
    <sheetView workbookViewId="0">
      <selection activeCell="B4" sqref="B4"/>
    </sheetView>
  </sheetViews>
  <sheetFormatPr defaultRowHeight="15" x14ac:dyDescent="0.25"/>
  <cols>
    <col min="2" max="2" width="11.5703125" style="1" bestFit="1" customWidth="1"/>
    <col min="3" max="3" width="10.7109375" bestFit="1" customWidth="1"/>
    <col min="4" max="4" width="10.57031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0.5703125" customWidth="1"/>
    <col min="9" max="9" width="10.5703125" bestFit="1" customWidth="1"/>
    <col min="10" max="10" width="12.140625" style="1" bestFit="1" customWidth="1"/>
    <col min="11" max="11" width="10.5703125" style="1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20</v>
      </c>
      <c r="B2" s="1">
        <v>1314.62</v>
      </c>
      <c r="D2" s="3">
        <v>0.2999</v>
      </c>
      <c r="E2" s="1">
        <v>52</v>
      </c>
      <c r="F2" s="1">
        <f t="shared" ref="F2:F14" si="0">B2/3</f>
        <v>438.20666666666665</v>
      </c>
      <c r="G2" s="4">
        <f t="shared" ref="G2:G14" si="1">B2/6</f>
        <v>219.10333333333332</v>
      </c>
      <c r="H2" s="4">
        <f t="shared" ref="H2:H14" si="2">G2/2</f>
        <v>109.55166666666666</v>
      </c>
      <c r="I2" s="4">
        <f t="shared" ref="I2:I14" si="3">B2/12</f>
        <v>109.55166666666666</v>
      </c>
      <c r="J2" s="1">
        <f t="shared" ref="J2:J12" si="4">(B2*D2)/12</f>
        <v>32.854544833333328</v>
      </c>
      <c r="L2" s="4"/>
    </row>
    <row r="3" spans="1:12" x14ac:dyDescent="0.25">
      <c r="A3" t="s">
        <v>16</v>
      </c>
      <c r="B3" s="1">
        <v>0</v>
      </c>
      <c r="C3" s="2"/>
      <c r="D3" s="3">
        <v>0.27989999999999998</v>
      </c>
      <c r="E3" s="1">
        <v>182</v>
      </c>
      <c r="F3" s="1">
        <f t="shared" si="0"/>
        <v>0</v>
      </c>
      <c r="G3" s="4">
        <f t="shared" si="1"/>
        <v>0</v>
      </c>
      <c r="H3" s="4">
        <f t="shared" si="2"/>
        <v>0</v>
      </c>
      <c r="I3" s="4">
        <f t="shared" si="3"/>
        <v>0</v>
      </c>
      <c r="J3" s="1">
        <f t="shared" si="4"/>
        <v>0</v>
      </c>
      <c r="K3" s="1">
        <v>180</v>
      </c>
    </row>
    <row r="4" spans="1:12" x14ac:dyDescent="0.25">
      <c r="A4" t="s">
        <v>11</v>
      </c>
      <c r="B4" s="1">
        <v>3307.76</v>
      </c>
      <c r="C4" s="2"/>
      <c r="D4" s="3">
        <v>0.26989999999999997</v>
      </c>
      <c r="E4" s="1">
        <v>107</v>
      </c>
      <c r="F4" s="1">
        <f t="shared" si="0"/>
        <v>1102.5866666666668</v>
      </c>
      <c r="G4" s="4">
        <f t="shared" si="1"/>
        <v>551.29333333333341</v>
      </c>
      <c r="H4" s="4">
        <f t="shared" si="2"/>
        <v>275.6466666666667</v>
      </c>
      <c r="I4" s="4">
        <f t="shared" si="3"/>
        <v>275.6466666666667</v>
      </c>
      <c r="J4" s="1">
        <f t="shared" si="4"/>
        <v>74.397035333333335</v>
      </c>
    </row>
    <row r="5" spans="1:12" x14ac:dyDescent="0.25">
      <c r="A5" t="s">
        <v>13</v>
      </c>
      <c r="B5" s="1">
        <v>3220.11</v>
      </c>
      <c r="C5" s="2"/>
      <c r="D5" s="3">
        <v>0.26740000000000003</v>
      </c>
      <c r="E5" s="1">
        <v>136</v>
      </c>
      <c r="F5" s="1">
        <f t="shared" si="0"/>
        <v>1073.3700000000001</v>
      </c>
      <c r="G5" s="4">
        <f t="shared" si="1"/>
        <v>536.68500000000006</v>
      </c>
      <c r="H5" s="4">
        <f t="shared" si="2"/>
        <v>268.34250000000003</v>
      </c>
      <c r="I5" s="4">
        <f t="shared" si="3"/>
        <v>268.34250000000003</v>
      </c>
      <c r="J5" s="1">
        <f t="shared" si="4"/>
        <v>71.754784500000014</v>
      </c>
    </row>
    <row r="6" spans="1:12" x14ac:dyDescent="0.25">
      <c r="A6" t="s">
        <v>15</v>
      </c>
      <c r="B6" s="1">
        <v>4370.54</v>
      </c>
      <c r="D6" s="3">
        <v>0.2374</v>
      </c>
      <c r="E6" s="1">
        <v>164</v>
      </c>
      <c r="F6" s="1">
        <f t="shared" si="0"/>
        <v>1456.8466666666666</v>
      </c>
      <c r="G6" s="4">
        <f t="shared" si="1"/>
        <v>728.42333333333329</v>
      </c>
      <c r="H6" s="4">
        <f t="shared" si="2"/>
        <v>364.21166666666664</v>
      </c>
      <c r="I6" s="4">
        <f t="shared" si="3"/>
        <v>364.21166666666664</v>
      </c>
      <c r="J6" s="1">
        <f t="shared" si="4"/>
        <v>86.463849666666661</v>
      </c>
      <c r="K6" s="1">
        <v>176</v>
      </c>
    </row>
    <row r="7" spans="1:12" x14ac:dyDescent="0.25">
      <c r="A7" t="s">
        <v>10</v>
      </c>
      <c r="B7" s="1">
        <v>25699.48</v>
      </c>
      <c r="C7" s="2"/>
      <c r="D7" s="3">
        <v>0.1724</v>
      </c>
      <c r="F7" s="1">
        <f t="shared" si="0"/>
        <v>8566.4933333333338</v>
      </c>
      <c r="G7" s="4">
        <f t="shared" si="1"/>
        <v>4283.2466666666669</v>
      </c>
      <c r="H7" s="4">
        <f t="shared" si="2"/>
        <v>2141.6233333333334</v>
      </c>
      <c r="I7" s="4">
        <f t="shared" si="3"/>
        <v>2141.6233333333334</v>
      </c>
      <c r="J7" s="1">
        <f t="shared" si="4"/>
        <v>369.21586266666668</v>
      </c>
      <c r="K7" s="1">
        <v>1054</v>
      </c>
    </row>
    <row r="8" spans="1:12" x14ac:dyDescent="0.25">
      <c r="A8" t="s">
        <v>12</v>
      </c>
      <c r="B8" s="1">
        <v>5695.44</v>
      </c>
      <c r="C8" s="2"/>
      <c r="D8" s="3">
        <v>0.1699</v>
      </c>
      <c r="E8" s="1">
        <v>210</v>
      </c>
      <c r="F8" s="1">
        <f t="shared" si="0"/>
        <v>1898.4799999999998</v>
      </c>
      <c r="G8" s="4">
        <f t="shared" si="1"/>
        <v>949.2399999999999</v>
      </c>
      <c r="H8" s="4">
        <f t="shared" si="2"/>
        <v>474.61999999999995</v>
      </c>
      <c r="I8" s="4">
        <f t="shared" si="3"/>
        <v>474.61999999999995</v>
      </c>
      <c r="J8" s="1">
        <f t="shared" si="4"/>
        <v>80.637937999999991</v>
      </c>
      <c r="K8" s="1">
        <v>210</v>
      </c>
      <c r="L8" s="4"/>
    </row>
    <row r="9" spans="1:12" x14ac:dyDescent="0.25">
      <c r="A9" t="s">
        <v>17</v>
      </c>
      <c r="B9" s="1">
        <v>3893.27</v>
      </c>
      <c r="D9" s="3">
        <v>0.16489999999999999</v>
      </c>
      <c r="E9" s="1">
        <v>115</v>
      </c>
      <c r="F9" s="1">
        <f t="shared" si="0"/>
        <v>1297.7566666666667</v>
      </c>
      <c r="G9" s="4">
        <f t="shared" si="1"/>
        <v>648.87833333333333</v>
      </c>
      <c r="H9" s="4">
        <f t="shared" si="2"/>
        <v>324.43916666666667</v>
      </c>
      <c r="I9" s="4">
        <f t="shared" si="3"/>
        <v>324.43916666666667</v>
      </c>
      <c r="J9" s="1">
        <f t="shared" si="4"/>
        <v>53.500018583333336</v>
      </c>
      <c r="K9" s="1">
        <v>144</v>
      </c>
    </row>
    <row r="10" spans="1:12" x14ac:dyDescent="0.25">
      <c r="A10" t="s">
        <v>18</v>
      </c>
      <c r="B10" s="1">
        <v>4246.18</v>
      </c>
      <c r="D10" s="3">
        <v>0.16489999999999999</v>
      </c>
      <c r="E10" s="1">
        <v>153</v>
      </c>
      <c r="F10" s="1">
        <f t="shared" si="0"/>
        <v>1415.3933333333334</v>
      </c>
      <c r="G10" s="4">
        <f t="shared" si="1"/>
        <v>707.69666666666672</v>
      </c>
      <c r="H10" s="4">
        <f t="shared" si="2"/>
        <v>353.84833333333336</v>
      </c>
      <c r="I10" s="4">
        <f t="shared" si="3"/>
        <v>353.84833333333336</v>
      </c>
      <c r="J10" s="1">
        <f t="shared" si="4"/>
        <v>58.349590166666665</v>
      </c>
      <c r="K10" s="1">
        <v>157</v>
      </c>
    </row>
    <row r="11" spans="1:12" x14ac:dyDescent="0.25">
      <c r="A11" t="s">
        <v>22</v>
      </c>
      <c r="B11" s="1">
        <v>1968.24</v>
      </c>
      <c r="C11" s="2"/>
      <c r="D11" s="3">
        <v>9.9900000000000003E-2</v>
      </c>
      <c r="F11" s="1">
        <f t="shared" si="0"/>
        <v>656.08</v>
      </c>
      <c r="G11" s="4">
        <f t="shared" si="1"/>
        <v>328.04</v>
      </c>
      <c r="H11" s="4">
        <f t="shared" si="2"/>
        <v>164.02</v>
      </c>
      <c r="I11" s="4">
        <f t="shared" si="3"/>
        <v>164.02</v>
      </c>
      <c r="J11" s="1">
        <f t="shared" si="4"/>
        <v>16.385598000000002</v>
      </c>
    </row>
    <row r="12" spans="1:12" x14ac:dyDescent="0.25">
      <c r="A12" t="s">
        <v>19</v>
      </c>
      <c r="B12" s="1">
        <v>12723.44</v>
      </c>
      <c r="C12" s="2">
        <v>43666</v>
      </c>
      <c r="D12" s="3">
        <v>8.4900000000000003E-2</v>
      </c>
      <c r="E12" s="1">
        <v>380</v>
      </c>
      <c r="F12" s="1">
        <f t="shared" si="0"/>
        <v>4241.1466666666665</v>
      </c>
      <c r="G12" s="4">
        <f t="shared" si="1"/>
        <v>2120.5733333333333</v>
      </c>
      <c r="H12" s="4">
        <f t="shared" si="2"/>
        <v>1060.2866666666666</v>
      </c>
      <c r="I12" s="4">
        <f t="shared" si="3"/>
        <v>1060.2866666666666</v>
      </c>
      <c r="J12" s="1">
        <f t="shared" si="4"/>
        <v>90.018338000000014</v>
      </c>
      <c r="K12" s="1">
        <v>326</v>
      </c>
    </row>
    <row r="13" spans="1:12" x14ac:dyDescent="0.25">
      <c r="A13" t="s">
        <v>14</v>
      </c>
      <c r="B13" s="1">
        <v>1483.88</v>
      </c>
      <c r="C13" s="2"/>
      <c r="F13" s="1">
        <f t="shared" si="0"/>
        <v>494.62666666666672</v>
      </c>
      <c r="G13" s="4">
        <f t="shared" si="1"/>
        <v>247.31333333333336</v>
      </c>
      <c r="H13" s="4">
        <f t="shared" si="2"/>
        <v>123.65666666666668</v>
      </c>
      <c r="I13" s="4">
        <f t="shared" si="3"/>
        <v>123.65666666666668</v>
      </c>
    </row>
    <row r="14" spans="1:12" x14ac:dyDescent="0.25">
      <c r="A14" t="s">
        <v>21</v>
      </c>
      <c r="B14" s="1">
        <v>0</v>
      </c>
      <c r="F14" s="1">
        <f t="shared" si="0"/>
        <v>0</v>
      </c>
      <c r="G14" s="4">
        <f t="shared" si="1"/>
        <v>0</v>
      </c>
      <c r="H14" s="4">
        <f t="shared" si="2"/>
        <v>0</v>
      </c>
      <c r="I14" s="4">
        <f t="shared" si="3"/>
        <v>0</v>
      </c>
    </row>
    <row r="16" spans="1:12" x14ac:dyDescent="0.25">
      <c r="B16" s="1">
        <f>SUM(B2:B15)</f>
        <v>67922.959999999992</v>
      </c>
      <c r="D16" s="3">
        <f>AVERAGE(D2:D15)</f>
        <v>0.20103636363636362</v>
      </c>
      <c r="E16" s="1">
        <f>SUM(E2:E15)</f>
        <v>1499</v>
      </c>
      <c r="F16" s="1">
        <f>SUM(F2:F15)</f>
        <v>22640.986666666668</v>
      </c>
      <c r="G16" s="1">
        <f>SUM(G2:G15)</f>
        <v>11320.493333333334</v>
      </c>
      <c r="H16" s="1"/>
      <c r="I16" s="1">
        <f>SUM(I2:I15)</f>
        <v>5660.2466666666669</v>
      </c>
      <c r="J16" s="1">
        <f>SUM(J2:J15)</f>
        <v>933.57755974999998</v>
      </c>
      <c r="K16" s="1">
        <f>SUM(K2:K15)</f>
        <v>2247</v>
      </c>
    </row>
    <row r="17" spans="1:12" x14ac:dyDescent="0.25">
      <c r="J17" s="1">
        <f>(B16*D16)/12</f>
        <v>1137.915407151515</v>
      </c>
    </row>
    <row r="20" spans="1:12" x14ac:dyDescent="0.25">
      <c r="L20">
        <v>44.06</v>
      </c>
    </row>
    <row r="21" spans="1:12" x14ac:dyDescent="0.25">
      <c r="B21" s="1">
        <f>415.81-208.39</f>
        <v>207.42000000000002</v>
      </c>
      <c r="L21">
        <v>114.3</v>
      </c>
    </row>
    <row r="22" spans="1:12" x14ac:dyDescent="0.25">
      <c r="L22">
        <v>52.93</v>
      </c>
    </row>
    <row r="23" spans="1:12" x14ac:dyDescent="0.25">
      <c r="B23" s="1">
        <f>500-272.67</f>
        <v>227.32999999999998</v>
      </c>
      <c r="L23">
        <v>108.95</v>
      </c>
    </row>
    <row r="24" spans="1:12" x14ac:dyDescent="0.25">
      <c r="L24">
        <f>SUBTOTAL(9,L20:L23)</f>
        <v>320.24</v>
      </c>
    </row>
    <row r="25" spans="1:12" x14ac:dyDescent="0.25">
      <c r="B25" s="1">
        <f>180*2</f>
        <v>360</v>
      </c>
    </row>
    <row r="27" spans="1:12" x14ac:dyDescent="0.25">
      <c r="F27" s="6">
        <v>43419</v>
      </c>
    </row>
    <row r="28" spans="1:12" x14ac:dyDescent="0.25">
      <c r="A28" t="s">
        <v>23</v>
      </c>
      <c r="B28" s="1">
        <v>540.94000000000005</v>
      </c>
      <c r="F28" s="6">
        <v>43926</v>
      </c>
    </row>
    <row r="29" spans="1:12" x14ac:dyDescent="0.25">
      <c r="A29" t="s">
        <v>24</v>
      </c>
      <c r="B29" s="1">
        <v>847.62</v>
      </c>
      <c r="D29" s="12">
        <f>SUM(B28:B29)</f>
        <v>1388.56</v>
      </c>
      <c r="F29" s="7">
        <f>DATEDIF(F27,F28,"m")</f>
        <v>16</v>
      </c>
    </row>
    <row r="30" spans="1:12" x14ac:dyDescent="0.25">
      <c r="A30" t="s">
        <v>11</v>
      </c>
      <c r="B30" s="1">
        <v>135</v>
      </c>
      <c r="F30" s="1">
        <v>1438.37</v>
      </c>
    </row>
    <row r="31" spans="1:12" x14ac:dyDescent="0.25">
      <c r="A31" t="s">
        <v>12</v>
      </c>
      <c r="B31" s="1">
        <v>204</v>
      </c>
      <c r="F31" s="1">
        <f>F30/F29</f>
        <v>89.898124999999993</v>
      </c>
    </row>
    <row r="32" spans="1:12" x14ac:dyDescent="0.25">
      <c r="A32" t="s">
        <v>13</v>
      </c>
      <c r="B32" s="1">
        <v>131</v>
      </c>
    </row>
    <row r="33" spans="1:12" x14ac:dyDescent="0.25">
      <c r="A33" t="s">
        <v>14</v>
      </c>
      <c r="B33" s="1">
        <v>100</v>
      </c>
    </row>
    <row r="34" spans="1:12" x14ac:dyDescent="0.25">
      <c r="A34" t="s">
        <v>15</v>
      </c>
      <c r="B34" s="1">
        <v>171</v>
      </c>
    </row>
    <row r="35" spans="1:12" x14ac:dyDescent="0.25">
      <c r="A35" t="s">
        <v>16</v>
      </c>
      <c r="B35" s="1">
        <v>0</v>
      </c>
    </row>
    <row r="36" spans="1:12" x14ac:dyDescent="0.25">
      <c r="A36" t="s">
        <v>17</v>
      </c>
      <c r="B36" s="1">
        <v>140</v>
      </c>
    </row>
    <row r="37" spans="1:12" x14ac:dyDescent="0.25">
      <c r="A37" t="s">
        <v>18</v>
      </c>
      <c r="B37" s="1">
        <v>152</v>
      </c>
    </row>
    <row r="38" spans="1:12" x14ac:dyDescent="0.25">
      <c r="A38" t="s">
        <v>19</v>
      </c>
      <c r="B38" s="1">
        <v>150</v>
      </c>
    </row>
    <row r="39" spans="1:12" x14ac:dyDescent="0.25">
      <c r="A39" t="s">
        <v>20</v>
      </c>
      <c r="B39" s="1">
        <v>50</v>
      </c>
    </row>
    <row r="40" spans="1:12" x14ac:dyDescent="0.25">
      <c r="A40" t="s">
        <v>21</v>
      </c>
      <c r="B40" s="1">
        <v>554.41999999999996</v>
      </c>
    </row>
    <row r="41" spans="1:12" x14ac:dyDescent="0.25">
      <c r="A41" t="s">
        <v>22</v>
      </c>
      <c r="B41" s="1">
        <v>31.2</v>
      </c>
    </row>
    <row r="42" spans="1:12" s="3" customFormat="1" x14ac:dyDescent="0.25">
      <c r="A42" t="s">
        <v>10</v>
      </c>
      <c r="B42" s="1">
        <v>1000</v>
      </c>
      <c r="C42"/>
      <c r="E42" s="1"/>
      <c r="F42" s="1"/>
      <c r="G42"/>
      <c r="H42"/>
      <c r="I42"/>
      <c r="J42" s="1"/>
      <c r="K42" s="1"/>
      <c r="L42"/>
    </row>
    <row r="43" spans="1:12" s="3" customFormat="1" x14ac:dyDescent="0.25">
      <c r="A43" t="s">
        <v>33</v>
      </c>
      <c r="B43" s="1">
        <v>230</v>
      </c>
      <c r="C43"/>
      <c r="E43" s="1"/>
      <c r="F43" s="1"/>
      <c r="G43"/>
      <c r="H43"/>
      <c r="I43"/>
      <c r="J43" s="1"/>
      <c r="K43" s="1"/>
      <c r="L43"/>
    </row>
    <row r="45" spans="1:12" s="3" customFormat="1" x14ac:dyDescent="0.25">
      <c r="A45"/>
      <c r="B45" s="1">
        <f>SUM(B28:B43)</f>
        <v>4437.18</v>
      </c>
      <c r="C45" s="1"/>
      <c r="E45" s="1"/>
      <c r="F45" s="1"/>
      <c r="G45"/>
      <c r="H45"/>
      <c r="I45"/>
      <c r="J45" s="1"/>
      <c r="K45" s="1"/>
      <c r="L45"/>
    </row>
  </sheetData>
  <autoFilter ref="A1:K14" xr:uid="{1F705934-551F-4A30-809C-BD2B1658412C}">
    <sortState xmlns:xlrd2="http://schemas.microsoft.com/office/spreadsheetml/2017/richdata2" ref="A2:K14">
      <sortCondition descending="1" ref="D1:D14"/>
    </sortState>
  </autoFilter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9051-A58C-4E4F-AEEE-AFECB9F914A3}">
  <dimension ref="A1:L44"/>
  <sheetViews>
    <sheetView topLeftCell="A13" workbookViewId="0">
      <selection activeCell="C44" sqref="C44"/>
    </sheetView>
  </sheetViews>
  <sheetFormatPr defaultRowHeight="15" x14ac:dyDescent="0.25"/>
  <cols>
    <col min="2" max="2" width="11.5703125" style="1" bestFit="1" customWidth="1"/>
    <col min="3" max="3" width="10.7109375" bestFit="1" customWidth="1"/>
    <col min="4" max="4" width="10.5703125" style="3" bestFit="1" customWidth="1"/>
    <col min="5" max="5" width="10.5703125" style="1" bestFit="1" customWidth="1"/>
    <col min="6" max="6" width="11.5703125" style="1" bestFit="1" customWidth="1"/>
    <col min="7" max="7" width="11.5703125" bestFit="1" customWidth="1"/>
    <col min="8" max="8" width="10.5703125" customWidth="1"/>
    <col min="9" max="9" width="10.5703125" bestFit="1" customWidth="1"/>
    <col min="10" max="10" width="12.140625" style="1" bestFit="1" customWidth="1"/>
    <col min="11" max="11" width="10.5703125" style="1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10</v>
      </c>
      <c r="B2" s="1">
        <v>25699.48</v>
      </c>
      <c r="C2" s="2"/>
      <c r="D2" s="3">
        <v>0.1724</v>
      </c>
      <c r="F2" s="1">
        <f t="shared" ref="F2:F14" si="0">B2/3</f>
        <v>8566.4933333333338</v>
      </c>
      <c r="G2" s="4">
        <f t="shared" ref="G2:G14" si="1">B2/6</f>
        <v>4283.2466666666669</v>
      </c>
      <c r="H2" s="4">
        <f t="shared" ref="H2:H14" si="2">G2/2</f>
        <v>2141.6233333333334</v>
      </c>
      <c r="I2" s="4">
        <f t="shared" ref="I2:I14" si="3">B2/12</f>
        <v>2141.6233333333334</v>
      </c>
      <c r="J2" s="1">
        <f>(B2*D2)/12</f>
        <v>369.21586266666668</v>
      </c>
      <c r="K2" s="1">
        <v>1054</v>
      </c>
      <c r="L2" s="4"/>
    </row>
    <row r="3" spans="1:12" x14ac:dyDescent="0.25">
      <c r="A3" t="s">
        <v>11</v>
      </c>
      <c r="B3" s="1">
        <v>3373.21</v>
      </c>
      <c r="C3" s="2">
        <v>43401</v>
      </c>
      <c r="D3" s="3">
        <v>0.26989999999999997</v>
      </c>
      <c r="E3" s="1">
        <v>107</v>
      </c>
      <c r="F3" s="1">
        <f>B3/3</f>
        <v>1124.4033333333334</v>
      </c>
      <c r="G3" s="4">
        <f>B3/6</f>
        <v>562.20166666666671</v>
      </c>
      <c r="H3" s="4">
        <f>G3/2</f>
        <v>281.10083333333336</v>
      </c>
      <c r="I3" s="4">
        <f>B3/12</f>
        <v>281.10083333333336</v>
      </c>
      <c r="J3" s="1">
        <f>(B3*D3)/12</f>
        <v>75.869114916666661</v>
      </c>
    </row>
    <row r="4" spans="1:12" x14ac:dyDescent="0.25">
      <c r="A4" t="s">
        <v>12</v>
      </c>
      <c r="B4" s="1">
        <v>5819.46</v>
      </c>
      <c r="C4" s="2"/>
      <c r="D4" s="3">
        <v>0.1699</v>
      </c>
      <c r="E4" s="1">
        <v>210</v>
      </c>
      <c r="F4" s="1">
        <f t="shared" si="0"/>
        <v>1939.82</v>
      </c>
      <c r="G4" s="4">
        <f t="shared" si="1"/>
        <v>969.91</v>
      </c>
      <c r="H4" s="4">
        <f t="shared" si="2"/>
        <v>484.95499999999998</v>
      </c>
      <c r="I4" s="4">
        <f t="shared" si="3"/>
        <v>484.95499999999998</v>
      </c>
      <c r="J4" s="1">
        <f t="shared" ref="J4:J12" si="4">(B4*D4)/12</f>
        <v>82.393854499999989</v>
      </c>
      <c r="K4" s="1">
        <v>210</v>
      </c>
    </row>
    <row r="5" spans="1:12" x14ac:dyDescent="0.25">
      <c r="A5" t="s">
        <v>13</v>
      </c>
      <c r="B5" s="1">
        <v>3280.32</v>
      </c>
      <c r="C5" s="2"/>
      <c r="D5" s="3">
        <v>0.26740000000000003</v>
      </c>
      <c r="E5" s="1">
        <v>136</v>
      </c>
      <c r="F5" s="1">
        <f t="shared" si="0"/>
        <v>1093.44</v>
      </c>
      <c r="G5" s="4">
        <f t="shared" si="1"/>
        <v>546.72</v>
      </c>
      <c r="H5" s="4">
        <f t="shared" si="2"/>
        <v>273.36</v>
      </c>
      <c r="I5" s="4">
        <f t="shared" si="3"/>
        <v>273.36</v>
      </c>
      <c r="J5" s="1">
        <f t="shared" si="4"/>
        <v>73.096464000000012</v>
      </c>
    </row>
    <row r="6" spans="1:12" x14ac:dyDescent="0.25">
      <c r="A6" t="s">
        <v>14</v>
      </c>
      <c r="B6" s="1">
        <v>1389</v>
      </c>
      <c r="C6" s="2"/>
      <c r="F6" s="1">
        <f t="shared" si="0"/>
        <v>463</v>
      </c>
      <c r="G6" s="4">
        <f t="shared" si="1"/>
        <v>231.5</v>
      </c>
      <c r="H6" s="4">
        <f t="shared" si="2"/>
        <v>115.75</v>
      </c>
      <c r="I6" s="4">
        <f t="shared" si="3"/>
        <v>115.75</v>
      </c>
    </row>
    <row r="7" spans="1:12" x14ac:dyDescent="0.25">
      <c r="A7" t="s">
        <v>15</v>
      </c>
      <c r="B7" s="1">
        <v>4450.53</v>
      </c>
      <c r="D7" s="3">
        <v>0.2374</v>
      </c>
      <c r="E7" s="1">
        <v>164</v>
      </c>
      <c r="F7" s="1">
        <f>B7/3</f>
        <v>1483.51</v>
      </c>
      <c r="G7" s="4">
        <f>B7/6</f>
        <v>741.755</v>
      </c>
      <c r="H7" s="4">
        <f>G7/2</f>
        <v>370.8775</v>
      </c>
      <c r="I7" s="4">
        <f>B7/12</f>
        <v>370.8775</v>
      </c>
      <c r="J7" s="1">
        <f>(B7*D7)/12</f>
        <v>88.046318499999998</v>
      </c>
      <c r="K7" s="1">
        <v>176</v>
      </c>
    </row>
    <row r="8" spans="1:12" x14ac:dyDescent="0.25">
      <c r="A8" t="s">
        <v>16</v>
      </c>
      <c r="B8" s="1">
        <v>0</v>
      </c>
      <c r="C8" s="2"/>
      <c r="D8" s="3">
        <v>0.27989999999999998</v>
      </c>
      <c r="E8" s="1">
        <v>182</v>
      </c>
      <c r="F8" s="1">
        <f>B8/3</f>
        <v>0</v>
      </c>
      <c r="G8" s="4">
        <f>B8/6</f>
        <v>0</v>
      </c>
      <c r="H8" s="4">
        <f>G8/2</f>
        <v>0</v>
      </c>
      <c r="I8" s="4">
        <f>B8/12</f>
        <v>0</v>
      </c>
      <c r="J8" s="1">
        <f>(B8*D8)/12</f>
        <v>0</v>
      </c>
      <c r="K8" s="1">
        <v>180</v>
      </c>
      <c r="L8" s="4"/>
    </row>
    <row r="9" spans="1:12" x14ac:dyDescent="0.25">
      <c r="A9" t="s">
        <v>17</v>
      </c>
      <c r="B9" s="1">
        <v>3880.51</v>
      </c>
      <c r="D9" s="3">
        <v>0.16489999999999999</v>
      </c>
      <c r="E9" s="1">
        <v>115</v>
      </c>
      <c r="F9" s="1">
        <f t="shared" si="0"/>
        <v>1293.5033333333333</v>
      </c>
      <c r="G9" s="4">
        <f t="shared" si="1"/>
        <v>646.75166666666667</v>
      </c>
      <c r="H9" s="4">
        <f t="shared" si="2"/>
        <v>323.37583333333333</v>
      </c>
      <c r="I9" s="4">
        <f t="shared" si="3"/>
        <v>323.37583333333333</v>
      </c>
      <c r="J9" s="1">
        <f t="shared" si="4"/>
        <v>53.324674916666673</v>
      </c>
      <c r="K9" s="1">
        <v>144</v>
      </c>
    </row>
    <row r="10" spans="1:12" x14ac:dyDescent="0.25">
      <c r="A10" t="s">
        <v>18</v>
      </c>
      <c r="B10" s="1">
        <v>4338.46</v>
      </c>
      <c r="D10" s="3">
        <v>0.16489999999999999</v>
      </c>
      <c r="E10" s="1">
        <v>153</v>
      </c>
      <c r="F10" s="1">
        <f>B10/3</f>
        <v>1446.1533333333334</v>
      </c>
      <c r="G10" s="4">
        <f>B10/6</f>
        <v>723.07666666666671</v>
      </c>
      <c r="H10" s="4">
        <f>G10/2</f>
        <v>361.53833333333336</v>
      </c>
      <c r="I10" s="4">
        <f>B10/12</f>
        <v>361.53833333333336</v>
      </c>
      <c r="J10" s="1">
        <f>(B10*D10)/12</f>
        <v>59.617671166666668</v>
      </c>
      <c r="K10" s="1">
        <v>157</v>
      </c>
    </row>
    <row r="11" spans="1:12" x14ac:dyDescent="0.25">
      <c r="A11" t="s">
        <v>19</v>
      </c>
      <c r="B11" s="1">
        <v>12723.44</v>
      </c>
      <c r="C11" s="2">
        <v>43666</v>
      </c>
      <c r="D11" s="3">
        <v>8.4900000000000003E-2</v>
      </c>
      <c r="E11" s="1">
        <v>380</v>
      </c>
      <c r="F11" s="1">
        <f t="shared" si="0"/>
        <v>4241.1466666666665</v>
      </c>
      <c r="G11" s="4">
        <f t="shared" si="1"/>
        <v>2120.5733333333333</v>
      </c>
      <c r="H11" s="4">
        <f t="shared" si="2"/>
        <v>1060.2866666666666</v>
      </c>
      <c r="I11" s="4">
        <f t="shared" si="3"/>
        <v>1060.2866666666666</v>
      </c>
      <c r="J11" s="1">
        <f t="shared" si="4"/>
        <v>90.018338000000014</v>
      </c>
      <c r="K11" s="1">
        <v>326</v>
      </c>
    </row>
    <row r="12" spans="1:12" x14ac:dyDescent="0.25">
      <c r="A12" t="s">
        <v>20</v>
      </c>
      <c r="B12" s="1">
        <v>1342.46</v>
      </c>
      <c r="D12" s="3">
        <v>0.2999</v>
      </c>
      <c r="E12" s="1">
        <v>52</v>
      </c>
      <c r="F12" s="1">
        <f t="shared" si="0"/>
        <v>447.48666666666668</v>
      </c>
      <c r="G12" s="4">
        <f t="shared" si="1"/>
        <v>223.74333333333334</v>
      </c>
      <c r="H12" s="4">
        <f t="shared" si="2"/>
        <v>111.87166666666667</v>
      </c>
      <c r="I12" s="4">
        <f t="shared" si="3"/>
        <v>111.87166666666667</v>
      </c>
      <c r="J12" s="1">
        <f t="shared" si="4"/>
        <v>33.550312833333336</v>
      </c>
    </row>
    <row r="13" spans="1:12" x14ac:dyDescent="0.25">
      <c r="A13" t="s">
        <v>21</v>
      </c>
      <c r="B13" s="1">
        <v>0</v>
      </c>
      <c r="F13" s="1">
        <f t="shared" si="0"/>
        <v>0</v>
      </c>
      <c r="G13" s="4">
        <f t="shared" si="1"/>
        <v>0</v>
      </c>
      <c r="H13" s="4">
        <f t="shared" si="2"/>
        <v>0</v>
      </c>
      <c r="I13" s="4">
        <f t="shared" si="3"/>
        <v>0</v>
      </c>
    </row>
    <row r="14" spans="1:12" x14ac:dyDescent="0.25">
      <c r="A14" t="s">
        <v>22</v>
      </c>
      <c r="B14" s="1">
        <v>1968.24</v>
      </c>
      <c r="C14" s="2"/>
      <c r="D14" s="3">
        <v>9.9900000000000003E-2</v>
      </c>
      <c r="F14" s="1">
        <f t="shared" si="0"/>
        <v>656.08</v>
      </c>
      <c r="G14" s="4">
        <f t="shared" si="1"/>
        <v>328.04</v>
      </c>
      <c r="H14" s="4">
        <f t="shared" si="2"/>
        <v>164.02</v>
      </c>
      <c r="I14" s="4">
        <f t="shared" si="3"/>
        <v>164.02</v>
      </c>
      <c r="J14" s="1">
        <f>(B14*D14)/12</f>
        <v>16.385598000000002</v>
      </c>
    </row>
    <row r="16" spans="1:12" x14ac:dyDescent="0.25">
      <c r="B16" s="1">
        <f>SUM(B2:B15)</f>
        <v>68265.110000000015</v>
      </c>
      <c r="D16" s="3">
        <f>AVERAGE(D2:D15)</f>
        <v>0.20103636363636362</v>
      </c>
      <c r="E16" s="1">
        <f>SUM(E2:E15)</f>
        <v>1499</v>
      </c>
      <c r="F16" s="1">
        <f>SUM(F2:F15)</f>
        <v>22755.03666666667</v>
      </c>
      <c r="G16" s="1">
        <f>SUM(G2:G15)</f>
        <v>11377.518333333335</v>
      </c>
      <c r="H16" s="1"/>
      <c r="I16" s="1">
        <f>SUM(I2:I15)</f>
        <v>5688.7591666666676</v>
      </c>
      <c r="J16" s="1">
        <f>SUM(J2:J15)</f>
        <v>941.51820950000001</v>
      </c>
      <c r="K16" s="1">
        <f>SUM(K2:K15)</f>
        <v>2247</v>
      </c>
    </row>
    <row r="17" spans="1:12" x14ac:dyDescent="0.25">
      <c r="J17" s="1">
        <f>(B16*D16)/12</f>
        <v>1143.6474564696971</v>
      </c>
    </row>
    <row r="20" spans="1:12" x14ac:dyDescent="0.25">
      <c r="L20">
        <v>44.06</v>
      </c>
    </row>
    <row r="21" spans="1:12" x14ac:dyDescent="0.25">
      <c r="B21" s="1">
        <f>415.81-208.39</f>
        <v>207.42000000000002</v>
      </c>
      <c r="L21">
        <v>114.3</v>
      </c>
    </row>
    <row r="22" spans="1:12" x14ac:dyDescent="0.25">
      <c r="L22">
        <v>52.93</v>
      </c>
    </row>
    <row r="23" spans="1:12" x14ac:dyDescent="0.25">
      <c r="B23" s="1">
        <f>500-272.67</f>
        <v>227.32999999999998</v>
      </c>
      <c r="L23">
        <v>108.95</v>
      </c>
    </row>
    <row r="24" spans="1:12" x14ac:dyDescent="0.25">
      <c r="L24">
        <f>SUBTOTAL(9,L20:L23)</f>
        <v>320.24</v>
      </c>
    </row>
    <row r="25" spans="1:12" x14ac:dyDescent="0.25">
      <c r="B25" s="1">
        <f>180*2</f>
        <v>360</v>
      </c>
    </row>
    <row r="27" spans="1:12" x14ac:dyDescent="0.25">
      <c r="F27" s="6">
        <v>43419</v>
      </c>
    </row>
    <row r="28" spans="1:12" x14ac:dyDescent="0.25">
      <c r="A28" t="s">
        <v>23</v>
      </c>
      <c r="B28" s="1">
        <v>540.94000000000005</v>
      </c>
      <c r="F28" s="6">
        <v>43926</v>
      </c>
    </row>
    <row r="29" spans="1:12" x14ac:dyDescent="0.25">
      <c r="A29" t="s">
        <v>24</v>
      </c>
      <c r="B29" s="1">
        <v>847.62</v>
      </c>
      <c r="D29" s="12">
        <f>SUM(B28:B29)</f>
        <v>1388.56</v>
      </c>
      <c r="F29" s="7">
        <f>DATEDIF(F27,F28,"m")</f>
        <v>16</v>
      </c>
    </row>
    <row r="30" spans="1:12" x14ac:dyDescent="0.25">
      <c r="A30" t="s">
        <v>11</v>
      </c>
      <c r="B30" s="1">
        <v>138</v>
      </c>
      <c r="F30" s="1">
        <v>1438.37</v>
      </c>
    </row>
    <row r="31" spans="1:12" x14ac:dyDescent="0.25">
      <c r="A31" t="s">
        <v>12</v>
      </c>
      <c r="B31" s="1">
        <v>208</v>
      </c>
      <c r="F31" s="1">
        <f>F30/F29</f>
        <v>89.898124999999993</v>
      </c>
    </row>
    <row r="32" spans="1:12" x14ac:dyDescent="0.25">
      <c r="A32" t="s">
        <v>13</v>
      </c>
      <c r="B32" s="1">
        <v>134</v>
      </c>
    </row>
    <row r="33" spans="1:3" x14ac:dyDescent="0.25">
      <c r="A33" t="s">
        <v>14</v>
      </c>
    </row>
    <row r="34" spans="1:3" x14ac:dyDescent="0.25">
      <c r="A34" t="s">
        <v>15</v>
      </c>
      <c r="B34" s="1">
        <v>175</v>
      </c>
    </row>
    <row r="35" spans="1:3" x14ac:dyDescent="0.25">
      <c r="A35" t="s">
        <v>16</v>
      </c>
      <c r="B35" s="1">
        <v>0</v>
      </c>
    </row>
    <row r="36" spans="1:3" x14ac:dyDescent="0.25">
      <c r="A36" t="s">
        <v>17</v>
      </c>
      <c r="B36" s="1">
        <v>139</v>
      </c>
    </row>
    <row r="37" spans="1:3" x14ac:dyDescent="0.25">
      <c r="A37" t="s">
        <v>18</v>
      </c>
      <c r="B37" s="1">
        <v>155</v>
      </c>
    </row>
    <row r="38" spans="1:3" x14ac:dyDescent="0.25">
      <c r="A38" t="s">
        <v>19</v>
      </c>
      <c r="B38" s="1">
        <v>150</v>
      </c>
    </row>
    <row r="39" spans="1:3" x14ac:dyDescent="0.25">
      <c r="A39" t="s">
        <v>20</v>
      </c>
      <c r="B39" s="1">
        <v>51</v>
      </c>
    </row>
    <row r="40" spans="1:3" x14ac:dyDescent="0.25">
      <c r="A40" t="s">
        <v>21</v>
      </c>
      <c r="B40" s="1">
        <v>300</v>
      </c>
    </row>
    <row r="41" spans="1:3" x14ac:dyDescent="0.25">
      <c r="A41" t="s">
        <v>22</v>
      </c>
      <c r="B41" s="1">
        <v>31.2</v>
      </c>
    </row>
    <row r="42" spans="1:3" x14ac:dyDescent="0.25">
      <c r="A42" t="s">
        <v>10</v>
      </c>
    </row>
    <row r="44" spans="1:3" x14ac:dyDescent="0.25">
      <c r="B44" s="1">
        <f>SUM(B28:B42)</f>
        <v>2869.7599999999998</v>
      </c>
      <c r="C44" s="1"/>
    </row>
  </sheetData>
  <autoFilter ref="A1:K14" xr:uid="{1F705934-551F-4A30-809C-BD2B1658412C}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D4E4-CEA4-4390-9547-D43E88D2195B}">
  <dimension ref="A1:L41"/>
  <sheetViews>
    <sheetView workbookViewId="0">
      <selection activeCell="I27" sqref="I27"/>
    </sheetView>
  </sheetViews>
  <sheetFormatPr defaultRowHeight="15" x14ac:dyDescent="0.25"/>
  <cols>
    <col min="2" max="2" width="11.5703125" style="1" bestFit="1" customWidth="1"/>
    <col min="3" max="3" width="10.7109375" bestFit="1" customWidth="1"/>
    <col min="4" max="4" width="9.140625" style="3"/>
    <col min="5" max="5" width="10.5703125" style="1" bestFit="1" customWidth="1"/>
    <col min="6" max="6" width="11.5703125" style="1" bestFit="1" customWidth="1"/>
    <col min="7" max="7" width="11.5703125" bestFit="1" customWidth="1"/>
    <col min="8" max="8" width="10.5703125" customWidth="1"/>
    <col min="9" max="9" width="10.5703125" bestFit="1" customWidth="1"/>
    <col min="10" max="10" width="12.140625" style="1" bestFit="1" customWidth="1"/>
    <col min="11" max="11" width="10.5703125" style="1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2" x14ac:dyDescent="0.25">
      <c r="A2" t="s">
        <v>10</v>
      </c>
      <c r="B2" s="1">
        <v>25699.48</v>
      </c>
      <c r="C2" s="2"/>
      <c r="D2" s="3">
        <v>0.1724</v>
      </c>
      <c r="F2" s="1">
        <f t="shared" ref="F2:F12" si="0">B2/3</f>
        <v>8566.4933333333338</v>
      </c>
      <c r="G2" s="4">
        <f t="shared" ref="G2:G12" si="1">B2/6</f>
        <v>4283.2466666666669</v>
      </c>
      <c r="H2" s="4">
        <f t="shared" ref="H2:H12" si="2">G2/2</f>
        <v>2141.6233333333334</v>
      </c>
      <c r="I2" s="4">
        <f t="shared" ref="I2:I12" si="3">B2/12</f>
        <v>2141.6233333333334</v>
      </c>
      <c r="J2" s="1">
        <f>(B2*D2)/12</f>
        <v>369.21586266666668</v>
      </c>
      <c r="K2" s="1">
        <v>1054</v>
      </c>
      <c r="L2" s="4"/>
    </row>
    <row r="3" spans="1:12" x14ac:dyDescent="0.25">
      <c r="A3" t="s">
        <v>16</v>
      </c>
      <c r="B3" s="1">
        <v>4351.3500000000004</v>
      </c>
      <c r="C3" s="2"/>
      <c r="D3" s="3">
        <v>0.27989999999999998</v>
      </c>
      <c r="E3" s="1">
        <v>182</v>
      </c>
      <c r="F3" s="1">
        <f t="shared" si="0"/>
        <v>1450.45</v>
      </c>
      <c r="G3" s="4">
        <f t="shared" si="1"/>
        <v>725.22500000000002</v>
      </c>
      <c r="H3" s="4">
        <f t="shared" si="2"/>
        <v>362.61250000000001</v>
      </c>
      <c r="I3" s="4">
        <f t="shared" si="3"/>
        <v>362.61250000000001</v>
      </c>
      <c r="J3" s="1">
        <f t="shared" ref="J3:J11" si="4">(B3*D3)/12</f>
        <v>101.49523875</v>
      </c>
      <c r="K3" s="1">
        <v>180</v>
      </c>
      <c r="L3" s="4"/>
    </row>
    <row r="4" spans="1:12" x14ac:dyDescent="0.25">
      <c r="A4" t="s">
        <v>12</v>
      </c>
      <c r="B4" s="1">
        <v>5795.05</v>
      </c>
      <c r="C4" s="2"/>
      <c r="D4" s="3">
        <v>0.1699</v>
      </c>
      <c r="E4" s="1">
        <v>210</v>
      </c>
      <c r="F4" s="1">
        <f t="shared" si="0"/>
        <v>1931.6833333333334</v>
      </c>
      <c r="G4" s="4">
        <f t="shared" si="1"/>
        <v>965.8416666666667</v>
      </c>
      <c r="H4" s="4">
        <f t="shared" si="2"/>
        <v>482.92083333333335</v>
      </c>
      <c r="I4" s="4">
        <f t="shared" si="3"/>
        <v>482.92083333333335</v>
      </c>
      <c r="J4" s="1">
        <f t="shared" si="4"/>
        <v>82.04824958333333</v>
      </c>
      <c r="K4" s="1">
        <v>210</v>
      </c>
    </row>
    <row r="5" spans="1:12" x14ac:dyDescent="0.25">
      <c r="A5" t="s">
        <v>15</v>
      </c>
      <c r="B5" s="1">
        <v>4413.6400000000003</v>
      </c>
      <c r="D5" s="3">
        <v>0.2374</v>
      </c>
      <c r="E5" s="1">
        <v>164</v>
      </c>
      <c r="F5" s="1">
        <f t="shared" si="0"/>
        <v>1471.2133333333334</v>
      </c>
      <c r="G5" s="4">
        <f t="shared" si="1"/>
        <v>735.60666666666668</v>
      </c>
      <c r="H5" s="4">
        <f t="shared" si="2"/>
        <v>367.80333333333334</v>
      </c>
      <c r="I5" s="4">
        <f t="shared" si="3"/>
        <v>367.80333333333334</v>
      </c>
      <c r="J5" s="1">
        <f t="shared" si="4"/>
        <v>87.316511333333338</v>
      </c>
      <c r="K5" s="1">
        <v>176</v>
      </c>
    </row>
    <row r="6" spans="1:12" x14ac:dyDescent="0.25">
      <c r="A6" t="s">
        <v>13</v>
      </c>
      <c r="B6" s="1">
        <v>3240.31</v>
      </c>
      <c r="C6" s="2"/>
      <c r="D6" s="3">
        <v>0.26740000000000003</v>
      </c>
      <c r="E6" s="1">
        <v>136</v>
      </c>
      <c r="F6" s="1">
        <f t="shared" si="0"/>
        <v>1080.1033333333332</v>
      </c>
      <c r="G6" s="4">
        <f t="shared" si="1"/>
        <v>540.05166666666662</v>
      </c>
      <c r="H6" s="4">
        <f t="shared" si="2"/>
        <v>270.02583333333331</v>
      </c>
      <c r="I6" s="4">
        <f t="shared" si="3"/>
        <v>270.02583333333331</v>
      </c>
      <c r="J6" s="1">
        <f t="shared" si="4"/>
        <v>72.204907833333337</v>
      </c>
    </row>
    <row r="7" spans="1:12" x14ac:dyDescent="0.25">
      <c r="A7" t="s">
        <v>11</v>
      </c>
      <c r="B7" s="1">
        <v>4081.2</v>
      </c>
      <c r="C7" s="2">
        <v>43401</v>
      </c>
      <c r="D7" s="3">
        <v>0.26989999999999997</v>
      </c>
      <c r="E7" s="1">
        <v>107</v>
      </c>
      <c r="F7" s="1">
        <f t="shared" si="0"/>
        <v>1360.3999999999999</v>
      </c>
      <c r="G7" s="4">
        <f t="shared" si="1"/>
        <v>680.19999999999993</v>
      </c>
      <c r="H7" s="4">
        <f t="shared" si="2"/>
        <v>340.09999999999997</v>
      </c>
      <c r="I7" s="4">
        <f t="shared" si="3"/>
        <v>340.09999999999997</v>
      </c>
      <c r="J7" s="1">
        <f t="shared" si="4"/>
        <v>91.792989999999989</v>
      </c>
    </row>
    <row r="8" spans="1:12" x14ac:dyDescent="0.25">
      <c r="A8" t="s">
        <v>18</v>
      </c>
      <c r="B8" s="1">
        <v>4320.66</v>
      </c>
      <c r="D8" s="3">
        <v>0.16489999999999999</v>
      </c>
      <c r="E8" s="1">
        <v>153</v>
      </c>
      <c r="F8" s="1">
        <f t="shared" si="0"/>
        <v>1440.22</v>
      </c>
      <c r="G8" s="4">
        <f t="shared" si="1"/>
        <v>720.11</v>
      </c>
      <c r="H8" s="4">
        <f t="shared" si="2"/>
        <v>360.05500000000001</v>
      </c>
      <c r="I8" s="4">
        <f t="shared" si="3"/>
        <v>360.05500000000001</v>
      </c>
      <c r="J8" s="1">
        <f t="shared" si="4"/>
        <v>59.373069499999993</v>
      </c>
      <c r="K8" s="1">
        <v>157</v>
      </c>
    </row>
    <row r="9" spans="1:12" x14ac:dyDescent="0.25">
      <c r="A9" t="s">
        <v>17</v>
      </c>
      <c r="B9" s="1">
        <v>3967.55</v>
      </c>
      <c r="D9" s="3">
        <v>0.16489999999999999</v>
      </c>
      <c r="E9" s="1">
        <v>115</v>
      </c>
      <c r="F9" s="1">
        <f t="shared" si="0"/>
        <v>1322.5166666666667</v>
      </c>
      <c r="G9" s="4">
        <f t="shared" si="1"/>
        <v>661.25833333333333</v>
      </c>
      <c r="H9" s="4">
        <f t="shared" si="2"/>
        <v>330.62916666666666</v>
      </c>
      <c r="I9" s="4">
        <f t="shared" si="3"/>
        <v>330.62916666666666</v>
      </c>
      <c r="J9" s="1">
        <f t="shared" si="4"/>
        <v>54.520749583333334</v>
      </c>
      <c r="K9" s="1">
        <v>144</v>
      </c>
    </row>
    <row r="10" spans="1:12" x14ac:dyDescent="0.25">
      <c r="A10" t="s">
        <v>19</v>
      </c>
      <c r="B10" s="1">
        <v>12723.44</v>
      </c>
      <c r="C10" s="2">
        <v>43666</v>
      </c>
      <c r="D10" s="3">
        <v>8.4900000000000003E-2</v>
      </c>
      <c r="E10" s="1">
        <v>380</v>
      </c>
      <c r="F10" s="1">
        <f t="shared" si="0"/>
        <v>4241.1466666666665</v>
      </c>
      <c r="G10" s="4">
        <f t="shared" si="1"/>
        <v>2120.5733333333333</v>
      </c>
      <c r="H10" s="4">
        <f t="shared" si="2"/>
        <v>1060.2866666666666</v>
      </c>
      <c r="I10" s="4">
        <f t="shared" si="3"/>
        <v>1060.2866666666666</v>
      </c>
      <c r="J10" s="1">
        <f t="shared" si="4"/>
        <v>90.018338000000014</v>
      </c>
      <c r="K10" s="1">
        <v>326</v>
      </c>
    </row>
    <row r="11" spans="1:12" x14ac:dyDescent="0.25">
      <c r="A11" t="s">
        <v>20</v>
      </c>
      <c r="B11" s="1">
        <v>1384.83</v>
      </c>
      <c r="D11" s="3">
        <v>0.2999</v>
      </c>
      <c r="E11" s="1">
        <v>52</v>
      </c>
      <c r="F11" s="1">
        <f t="shared" si="0"/>
        <v>461.60999999999996</v>
      </c>
      <c r="G11" s="4">
        <f t="shared" si="1"/>
        <v>230.80499999999998</v>
      </c>
      <c r="H11" s="4">
        <f t="shared" si="2"/>
        <v>115.40249999999999</v>
      </c>
      <c r="I11" s="4">
        <f t="shared" si="3"/>
        <v>115.40249999999999</v>
      </c>
      <c r="J11" s="1">
        <f t="shared" si="4"/>
        <v>34.609209749999998</v>
      </c>
    </row>
    <row r="12" spans="1:12" x14ac:dyDescent="0.25">
      <c r="A12" t="s">
        <v>22</v>
      </c>
      <c r="B12" s="1">
        <v>1968.24</v>
      </c>
      <c r="C12" s="2"/>
      <c r="D12" s="3">
        <v>9.9900000000000003E-2</v>
      </c>
      <c r="F12" s="1">
        <f t="shared" si="0"/>
        <v>656.08</v>
      </c>
      <c r="G12" s="4">
        <f t="shared" si="1"/>
        <v>328.04</v>
      </c>
      <c r="H12" s="4">
        <f t="shared" si="2"/>
        <v>164.02</v>
      </c>
      <c r="I12" s="4">
        <f t="shared" si="3"/>
        <v>164.02</v>
      </c>
      <c r="J12" s="1">
        <f>(B12*D12)/12</f>
        <v>16.385598000000002</v>
      </c>
    </row>
    <row r="14" spans="1:12" x14ac:dyDescent="0.25">
      <c r="B14" s="1">
        <f>SUM(B2:B13)</f>
        <v>71945.750000000015</v>
      </c>
      <c r="D14" s="3">
        <f>AVERAGE(D2:D13)</f>
        <v>0.20103636363636362</v>
      </c>
      <c r="E14" s="1">
        <f>SUM(E2:E13)</f>
        <v>1499</v>
      </c>
      <c r="F14" s="1">
        <f>SUM(F2:F13)</f>
        <v>23981.916666666668</v>
      </c>
      <c r="G14" s="1">
        <f>SUM(G2:G13)</f>
        <v>11990.958333333334</v>
      </c>
      <c r="H14" s="1"/>
      <c r="I14" s="1">
        <f>SUM(I2:I13)</f>
        <v>5995.479166666667</v>
      </c>
      <c r="J14" s="1">
        <f>SUM(J2:J13)</f>
        <v>1058.9807250000001</v>
      </c>
      <c r="K14" s="1">
        <f>SUM(K2:K13)</f>
        <v>2247</v>
      </c>
    </row>
    <row r="15" spans="1:12" x14ac:dyDescent="0.25">
      <c r="J15" s="1">
        <f>(B14*D14)/12</f>
        <v>1205.3093299242425</v>
      </c>
    </row>
    <row r="18" spans="2:12" x14ac:dyDescent="0.25">
      <c r="L18">
        <v>44.06</v>
      </c>
    </row>
    <row r="19" spans="2:12" x14ac:dyDescent="0.25">
      <c r="B19" s="1">
        <f>415.81-208.39</f>
        <v>207.42000000000002</v>
      </c>
      <c r="L19">
        <v>114.3</v>
      </c>
    </row>
    <row r="20" spans="2:12" x14ac:dyDescent="0.25">
      <c r="L20">
        <v>52.93</v>
      </c>
    </row>
    <row r="21" spans="2:12" x14ac:dyDescent="0.25">
      <c r="B21" s="1">
        <f>500-272.67</f>
        <v>227.32999999999998</v>
      </c>
      <c r="L21">
        <v>108.95</v>
      </c>
    </row>
    <row r="22" spans="2:12" x14ac:dyDescent="0.25">
      <c r="L22">
        <f>SUBTOTAL(9,L18:L21)</f>
        <v>320.24</v>
      </c>
    </row>
    <row r="23" spans="2:12" x14ac:dyDescent="0.25">
      <c r="B23" s="1">
        <f>180*2</f>
        <v>360</v>
      </c>
    </row>
    <row r="26" spans="2:12" x14ac:dyDescent="0.25">
      <c r="B26" s="1">
        <v>540.94000000000005</v>
      </c>
      <c r="C26">
        <v>540.94000000000005</v>
      </c>
    </row>
    <row r="27" spans="2:12" x14ac:dyDescent="0.25">
      <c r="B27" s="1">
        <v>120</v>
      </c>
      <c r="C27">
        <v>120</v>
      </c>
    </row>
    <row r="28" spans="2:12" x14ac:dyDescent="0.25">
      <c r="B28" s="1">
        <v>144</v>
      </c>
      <c r="C28">
        <v>144</v>
      </c>
    </row>
    <row r="29" spans="2:12" x14ac:dyDescent="0.25">
      <c r="B29" s="1">
        <v>124</v>
      </c>
      <c r="C29">
        <v>124</v>
      </c>
    </row>
    <row r="30" spans="2:12" x14ac:dyDescent="0.25">
      <c r="B30" s="1">
        <v>109</v>
      </c>
      <c r="C30">
        <v>109</v>
      </c>
    </row>
    <row r="31" spans="2:12" x14ac:dyDescent="0.25">
      <c r="B31" s="1">
        <v>149</v>
      </c>
      <c r="C31">
        <v>149</v>
      </c>
    </row>
    <row r="32" spans="2:12" x14ac:dyDescent="0.25">
      <c r="B32" s="1">
        <v>109</v>
      </c>
      <c r="C32">
        <v>109</v>
      </c>
    </row>
    <row r="33" spans="2:3" x14ac:dyDescent="0.25">
      <c r="B33" s="1">
        <v>88</v>
      </c>
      <c r="C33">
        <v>88</v>
      </c>
    </row>
    <row r="34" spans="2:3" x14ac:dyDescent="0.25">
      <c r="B34" s="1">
        <v>227.99</v>
      </c>
      <c r="C34">
        <v>227.99</v>
      </c>
    </row>
    <row r="35" spans="2:3" x14ac:dyDescent="0.25">
      <c r="B35" s="1">
        <v>230</v>
      </c>
      <c r="C35">
        <v>230</v>
      </c>
    </row>
    <row r="36" spans="2:3" x14ac:dyDescent="0.25">
      <c r="B36" s="1">
        <v>31.2</v>
      </c>
      <c r="C36">
        <v>31.2</v>
      </c>
    </row>
    <row r="37" spans="2:3" x14ac:dyDescent="0.25">
      <c r="B37" s="1">
        <v>300</v>
      </c>
      <c r="C37">
        <v>300</v>
      </c>
    </row>
    <row r="38" spans="2:3" x14ac:dyDescent="0.25">
      <c r="B38" s="1">
        <v>39</v>
      </c>
      <c r="C38">
        <v>39</v>
      </c>
    </row>
    <row r="39" spans="2:3" x14ac:dyDescent="0.25">
      <c r="B39" s="1">
        <v>130</v>
      </c>
      <c r="C39">
        <v>130</v>
      </c>
    </row>
    <row r="41" spans="2:3" x14ac:dyDescent="0.25">
      <c r="B41" s="1">
        <f>SUM(B26:B39)</f>
        <v>2342.13</v>
      </c>
      <c r="C41" s="1">
        <f>SUM(C26:C39)</f>
        <v>2342.13</v>
      </c>
    </row>
  </sheetData>
  <autoFilter ref="A1:K12" xr:uid="{1F705934-551F-4A30-809C-BD2B1658412C}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CDBE-CDA3-4A20-86E1-AB0943824F40}">
  <dimension ref="A1:L41"/>
  <sheetViews>
    <sheetView workbookViewId="0">
      <selection activeCell="A9" sqref="A9"/>
    </sheetView>
  </sheetViews>
  <sheetFormatPr defaultRowHeight="15" x14ac:dyDescent="0.25"/>
  <cols>
    <col min="2" max="2" width="11.5703125" style="1" bestFit="1" customWidth="1"/>
    <col min="3" max="3" width="10.7109375" bestFit="1" customWidth="1"/>
    <col min="4" max="4" width="9.140625" style="3"/>
    <col min="5" max="5" width="10.5703125" style="1" bestFit="1" customWidth="1"/>
    <col min="6" max="6" width="11.5703125" style="1" bestFit="1" customWidth="1"/>
    <col min="7" max="7" width="11.5703125" bestFit="1" customWidth="1"/>
    <col min="8" max="8" width="10.5703125" customWidth="1"/>
    <col min="9" max="9" width="10.5703125" bestFit="1" customWidth="1"/>
    <col min="10" max="10" width="12.140625" style="1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2" x14ac:dyDescent="0.25">
      <c r="A2" t="s">
        <v>10</v>
      </c>
      <c r="B2" s="1">
        <v>25699.48</v>
      </c>
      <c r="C2" s="2"/>
      <c r="D2" s="3">
        <v>0.1724</v>
      </c>
      <c r="F2" s="1">
        <f t="shared" ref="F2:F12" si="0">B2/3</f>
        <v>8566.4933333333338</v>
      </c>
      <c r="G2" s="4">
        <f t="shared" ref="G2:G12" si="1">B2/6</f>
        <v>4283.2466666666669</v>
      </c>
      <c r="H2" s="4">
        <f t="shared" ref="H2:H12" si="2">G2/2</f>
        <v>2141.6233333333334</v>
      </c>
      <c r="I2" s="4">
        <f t="shared" ref="I2:I12" si="3">B2/12</f>
        <v>2141.6233333333334</v>
      </c>
      <c r="J2" s="1">
        <f>(B2*D2)/12</f>
        <v>369.21586266666668</v>
      </c>
      <c r="L2" s="4"/>
    </row>
    <row r="3" spans="1:12" x14ac:dyDescent="0.25">
      <c r="A3" t="s">
        <v>16</v>
      </c>
      <c r="B3" s="1">
        <v>4351.3500000000004</v>
      </c>
      <c r="C3" s="2"/>
      <c r="D3" s="3">
        <v>0.27989999999999998</v>
      </c>
      <c r="E3" s="1">
        <v>182</v>
      </c>
      <c r="F3" s="1">
        <f t="shared" si="0"/>
        <v>1450.45</v>
      </c>
      <c r="G3" s="4">
        <f t="shared" si="1"/>
        <v>725.22500000000002</v>
      </c>
      <c r="H3" s="4">
        <f t="shared" si="2"/>
        <v>362.61250000000001</v>
      </c>
      <c r="I3" s="4">
        <f t="shared" si="3"/>
        <v>362.61250000000001</v>
      </c>
      <c r="J3" s="1">
        <f t="shared" ref="J3:J11" si="4">(B3*D3)/12</f>
        <v>101.49523875</v>
      </c>
      <c r="L3" s="4"/>
    </row>
    <row r="4" spans="1:12" x14ac:dyDescent="0.25">
      <c r="A4" t="s">
        <v>12</v>
      </c>
      <c r="B4" s="1">
        <v>5795.05</v>
      </c>
      <c r="C4" s="2"/>
      <c r="D4" s="3">
        <v>0.1699</v>
      </c>
      <c r="E4" s="1">
        <v>210</v>
      </c>
      <c r="F4" s="1">
        <f t="shared" si="0"/>
        <v>1931.6833333333334</v>
      </c>
      <c r="G4" s="4">
        <f t="shared" si="1"/>
        <v>965.8416666666667</v>
      </c>
      <c r="H4" s="4">
        <f t="shared" si="2"/>
        <v>482.92083333333335</v>
      </c>
      <c r="I4" s="4">
        <f t="shared" si="3"/>
        <v>482.92083333333335</v>
      </c>
      <c r="J4" s="1">
        <f t="shared" si="4"/>
        <v>82.04824958333333</v>
      </c>
    </row>
    <row r="5" spans="1:12" x14ac:dyDescent="0.25">
      <c r="A5" t="s">
        <v>15</v>
      </c>
      <c r="B5" s="1">
        <v>4413.6400000000003</v>
      </c>
      <c r="D5" s="3">
        <v>0.2374</v>
      </c>
      <c r="E5" s="1">
        <v>164</v>
      </c>
      <c r="F5" s="1">
        <f t="shared" si="0"/>
        <v>1471.2133333333334</v>
      </c>
      <c r="G5" s="4">
        <f t="shared" si="1"/>
        <v>735.60666666666668</v>
      </c>
      <c r="H5" s="4">
        <f t="shared" si="2"/>
        <v>367.80333333333334</v>
      </c>
      <c r="I5" s="4">
        <f t="shared" si="3"/>
        <v>367.80333333333334</v>
      </c>
      <c r="J5" s="1">
        <f t="shared" si="4"/>
        <v>87.316511333333338</v>
      </c>
    </row>
    <row r="6" spans="1:12" x14ac:dyDescent="0.25">
      <c r="A6" t="s">
        <v>13</v>
      </c>
      <c r="B6" s="1">
        <v>3240.31</v>
      </c>
      <c r="C6" s="2"/>
      <c r="D6" s="3">
        <v>0.26740000000000003</v>
      </c>
      <c r="E6" s="1">
        <v>136</v>
      </c>
      <c r="F6" s="1">
        <f t="shared" si="0"/>
        <v>1080.1033333333332</v>
      </c>
      <c r="G6" s="4">
        <f t="shared" si="1"/>
        <v>540.05166666666662</v>
      </c>
      <c r="H6" s="4">
        <f t="shared" si="2"/>
        <v>270.02583333333331</v>
      </c>
      <c r="I6" s="4">
        <f t="shared" si="3"/>
        <v>270.02583333333331</v>
      </c>
      <c r="J6" s="1">
        <f t="shared" si="4"/>
        <v>72.204907833333337</v>
      </c>
    </row>
    <row r="7" spans="1:12" x14ac:dyDescent="0.25">
      <c r="A7" t="s">
        <v>11</v>
      </c>
      <c r="B7" s="1">
        <v>4081.2</v>
      </c>
      <c r="C7" s="2">
        <v>43401</v>
      </c>
      <c r="D7" s="3">
        <v>0.26989999999999997</v>
      </c>
      <c r="E7" s="1">
        <v>107</v>
      </c>
      <c r="F7" s="1">
        <f t="shared" si="0"/>
        <v>1360.3999999999999</v>
      </c>
      <c r="G7" s="4">
        <f t="shared" si="1"/>
        <v>680.19999999999993</v>
      </c>
      <c r="H7" s="4">
        <f t="shared" si="2"/>
        <v>340.09999999999997</v>
      </c>
      <c r="I7" s="4">
        <f t="shared" si="3"/>
        <v>340.09999999999997</v>
      </c>
      <c r="J7" s="1">
        <f t="shared" si="4"/>
        <v>91.792989999999989</v>
      </c>
    </row>
    <row r="8" spans="1:12" x14ac:dyDescent="0.25">
      <c r="A8" t="s">
        <v>18</v>
      </c>
      <c r="B8" s="1">
        <v>4320.66</v>
      </c>
      <c r="D8" s="3">
        <v>0.16489999999999999</v>
      </c>
      <c r="E8" s="1">
        <v>153</v>
      </c>
      <c r="F8" s="1">
        <f t="shared" si="0"/>
        <v>1440.22</v>
      </c>
      <c r="G8" s="4">
        <f t="shared" si="1"/>
        <v>720.11</v>
      </c>
      <c r="H8" s="4">
        <f t="shared" si="2"/>
        <v>360.05500000000001</v>
      </c>
      <c r="I8" s="4">
        <f t="shared" si="3"/>
        <v>360.05500000000001</v>
      </c>
      <c r="J8" s="1">
        <f t="shared" si="4"/>
        <v>59.373069499999993</v>
      </c>
    </row>
    <row r="9" spans="1:12" x14ac:dyDescent="0.25">
      <c r="A9" t="s">
        <v>17</v>
      </c>
      <c r="B9" s="1">
        <v>3967.55</v>
      </c>
      <c r="D9" s="3">
        <v>0.16489999999999999</v>
      </c>
      <c r="E9" s="1">
        <v>115</v>
      </c>
      <c r="F9" s="1">
        <f t="shared" si="0"/>
        <v>1322.5166666666667</v>
      </c>
      <c r="G9" s="4">
        <f t="shared" si="1"/>
        <v>661.25833333333333</v>
      </c>
      <c r="H9" s="4">
        <f t="shared" si="2"/>
        <v>330.62916666666666</v>
      </c>
      <c r="I9" s="4">
        <f t="shared" si="3"/>
        <v>330.62916666666666</v>
      </c>
      <c r="J9" s="1">
        <f t="shared" si="4"/>
        <v>54.520749583333334</v>
      </c>
    </row>
    <row r="10" spans="1:12" x14ac:dyDescent="0.25">
      <c r="A10" t="s">
        <v>19</v>
      </c>
      <c r="B10" s="1">
        <v>12723.44</v>
      </c>
      <c r="C10" s="2">
        <v>43666</v>
      </c>
      <c r="D10" s="3">
        <v>8.4900000000000003E-2</v>
      </c>
      <c r="E10" s="1">
        <v>380</v>
      </c>
      <c r="F10" s="1">
        <f t="shared" si="0"/>
        <v>4241.1466666666665</v>
      </c>
      <c r="G10" s="4">
        <f t="shared" si="1"/>
        <v>2120.5733333333333</v>
      </c>
      <c r="H10" s="4">
        <f t="shared" si="2"/>
        <v>1060.2866666666666</v>
      </c>
      <c r="I10" s="4">
        <f t="shared" si="3"/>
        <v>1060.2866666666666</v>
      </c>
      <c r="J10" s="1">
        <f t="shared" si="4"/>
        <v>90.018338000000014</v>
      </c>
    </row>
    <row r="11" spans="1:12" x14ac:dyDescent="0.25">
      <c r="A11" t="s">
        <v>20</v>
      </c>
      <c r="B11" s="1">
        <v>1384.83</v>
      </c>
      <c r="D11" s="3">
        <v>0.2999</v>
      </c>
      <c r="E11" s="1">
        <v>52</v>
      </c>
      <c r="F11" s="1">
        <f t="shared" si="0"/>
        <v>461.60999999999996</v>
      </c>
      <c r="G11" s="4">
        <f t="shared" si="1"/>
        <v>230.80499999999998</v>
      </c>
      <c r="H11" s="4">
        <f t="shared" si="2"/>
        <v>115.40249999999999</v>
      </c>
      <c r="I11" s="4">
        <f t="shared" si="3"/>
        <v>115.40249999999999</v>
      </c>
      <c r="J11" s="1">
        <f t="shared" si="4"/>
        <v>34.609209749999998</v>
      </c>
    </row>
    <row r="12" spans="1:12" x14ac:dyDescent="0.25">
      <c r="A12" t="s">
        <v>22</v>
      </c>
      <c r="B12" s="1">
        <v>1968.24</v>
      </c>
      <c r="C12" s="2"/>
      <c r="D12" s="3">
        <v>9.9900000000000003E-2</v>
      </c>
      <c r="F12" s="1">
        <f t="shared" si="0"/>
        <v>656.08</v>
      </c>
      <c r="G12" s="4">
        <f t="shared" si="1"/>
        <v>328.04</v>
      </c>
      <c r="H12" s="4">
        <f t="shared" si="2"/>
        <v>164.02</v>
      </c>
      <c r="I12" s="4">
        <f t="shared" si="3"/>
        <v>164.02</v>
      </c>
      <c r="J12" s="1">
        <f>(B12*D12)/12</f>
        <v>16.385598000000002</v>
      </c>
    </row>
    <row r="14" spans="1:12" x14ac:dyDescent="0.25">
      <c r="B14" s="1">
        <f>SUM(B2:B13)</f>
        <v>71945.750000000015</v>
      </c>
      <c r="D14" s="3">
        <f>AVERAGE(D2:D13)</f>
        <v>0.20103636363636362</v>
      </c>
      <c r="E14" s="1">
        <f>SUM(E2:E13)</f>
        <v>1499</v>
      </c>
      <c r="F14" s="1">
        <f>SUM(F2:F13)</f>
        <v>23981.916666666668</v>
      </c>
      <c r="G14" s="1">
        <f>SUM(G2:G13)</f>
        <v>11990.958333333334</v>
      </c>
      <c r="H14" s="1"/>
      <c r="I14" s="1">
        <f>SUM(I2:I13)</f>
        <v>5995.479166666667</v>
      </c>
      <c r="J14" s="1">
        <f>SUM(J2:J13)</f>
        <v>1058.9807250000001</v>
      </c>
    </row>
    <row r="15" spans="1:12" x14ac:dyDescent="0.25">
      <c r="J15" s="1">
        <f>(B14*D14)/12</f>
        <v>1205.3093299242425</v>
      </c>
    </row>
    <row r="18" spans="2:12" x14ac:dyDescent="0.25">
      <c r="L18">
        <v>44.06</v>
      </c>
    </row>
    <row r="19" spans="2:12" x14ac:dyDescent="0.25">
      <c r="B19" s="1">
        <f>415.81-208.39</f>
        <v>207.42000000000002</v>
      </c>
      <c r="L19">
        <v>114.3</v>
      </c>
    </row>
    <row r="20" spans="2:12" x14ac:dyDescent="0.25">
      <c r="L20">
        <v>52.93</v>
      </c>
    </row>
    <row r="21" spans="2:12" x14ac:dyDescent="0.25">
      <c r="B21" s="1">
        <f>500-272.67</f>
        <v>227.32999999999998</v>
      </c>
      <c r="L21">
        <v>108.95</v>
      </c>
    </row>
    <row r="22" spans="2:12" x14ac:dyDescent="0.25">
      <c r="L22">
        <f>SUBTOTAL(9,L18:L21)</f>
        <v>320.24</v>
      </c>
    </row>
    <row r="23" spans="2:12" x14ac:dyDescent="0.25">
      <c r="B23" s="1">
        <f>180*2</f>
        <v>360</v>
      </c>
    </row>
    <row r="26" spans="2:12" x14ac:dyDescent="0.25">
      <c r="B26" s="1">
        <v>540.94000000000005</v>
      </c>
      <c r="C26">
        <v>540.94000000000005</v>
      </c>
    </row>
    <row r="27" spans="2:12" x14ac:dyDescent="0.25">
      <c r="B27" s="1">
        <v>120</v>
      </c>
      <c r="C27">
        <v>120</v>
      </c>
    </row>
    <row r="28" spans="2:12" x14ac:dyDescent="0.25">
      <c r="B28" s="1">
        <v>144</v>
      </c>
      <c r="C28">
        <v>144</v>
      </c>
    </row>
    <row r="29" spans="2:12" x14ac:dyDescent="0.25">
      <c r="B29" s="1">
        <v>124</v>
      </c>
      <c r="C29">
        <v>124</v>
      </c>
    </row>
    <row r="30" spans="2:12" x14ac:dyDescent="0.25">
      <c r="B30" s="1">
        <v>109</v>
      </c>
      <c r="C30">
        <v>109</v>
      </c>
    </row>
    <row r="31" spans="2:12" x14ac:dyDescent="0.25">
      <c r="B31" s="1">
        <v>149</v>
      </c>
      <c r="C31">
        <v>149</v>
      </c>
    </row>
    <row r="32" spans="2:12" x14ac:dyDescent="0.25">
      <c r="B32" s="1">
        <v>109</v>
      </c>
      <c r="C32">
        <v>109</v>
      </c>
    </row>
    <row r="33" spans="2:3" x14ac:dyDescent="0.25">
      <c r="B33" s="1">
        <v>88</v>
      </c>
      <c r="C33">
        <v>88</v>
      </c>
    </row>
    <row r="34" spans="2:3" x14ac:dyDescent="0.25">
      <c r="B34" s="1">
        <v>227.99</v>
      </c>
      <c r="C34">
        <v>227.99</v>
      </c>
    </row>
    <row r="35" spans="2:3" x14ac:dyDescent="0.25">
      <c r="B35" s="1">
        <v>230</v>
      </c>
      <c r="C35">
        <v>230</v>
      </c>
    </row>
    <row r="36" spans="2:3" x14ac:dyDescent="0.25">
      <c r="B36" s="1">
        <v>31.2</v>
      </c>
      <c r="C36">
        <v>31.2</v>
      </c>
    </row>
    <row r="37" spans="2:3" x14ac:dyDescent="0.25">
      <c r="B37" s="1">
        <v>300</v>
      </c>
      <c r="C37">
        <v>300</v>
      </c>
    </row>
    <row r="38" spans="2:3" x14ac:dyDescent="0.25">
      <c r="B38" s="1">
        <v>39</v>
      </c>
      <c r="C38">
        <v>39</v>
      </c>
    </row>
    <row r="39" spans="2:3" x14ac:dyDescent="0.25">
      <c r="B39" s="1">
        <v>130</v>
      </c>
      <c r="C39">
        <v>130</v>
      </c>
    </row>
    <row r="41" spans="2:3" x14ac:dyDescent="0.25">
      <c r="B41" s="1">
        <f>SUM(B26:B39)</f>
        <v>2342.13</v>
      </c>
      <c r="C41" s="1">
        <f>SUM(C26:C39)</f>
        <v>2342.13</v>
      </c>
    </row>
  </sheetData>
  <autoFilter ref="A1:J12" xr:uid="{86BDE7AA-E3A8-4F3C-A2B8-999EFFF061C5}">
    <sortState xmlns:xlrd2="http://schemas.microsoft.com/office/spreadsheetml/2017/richdata2" ref="A2:J12">
      <sortCondition descending="1" ref="J1:J12"/>
    </sortState>
  </autoFilter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D916-ACCF-484A-9655-338AC20C1C85}">
  <dimension ref="A1:L41"/>
  <sheetViews>
    <sheetView workbookViewId="0">
      <selection activeCell="D3" sqref="D3"/>
    </sheetView>
  </sheetViews>
  <sheetFormatPr defaultRowHeight="15" x14ac:dyDescent="0.25"/>
  <cols>
    <col min="2" max="2" width="11.5703125" style="1" bestFit="1" customWidth="1"/>
    <col min="3" max="3" width="10.7109375" bestFit="1" customWidth="1"/>
    <col min="4" max="4" width="9.140625" style="3"/>
    <col min="5" max="5" width="9.140625" style="1"/>
    <col min="6" max="6" width="11.5703125" style="1" bestFit="1" customWidth="1"/>
    <col min="7" max="7" width="11.5703125" bestFit="1" customWidth="1"/>
    <col min="8" max="8" width="10.5703125" customWidth="1"/>
    <col min="9" max="9" width="10.5703125" bestFit="1" customWidth="1"/>
    <col min="10" max="10" width="12.140625" style="1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2" x14ac:dyDescent="0.25">
      <c r="A2" t="s">
        <v>10</v>
      </c>
      <c r="B2" s="1">
        <v>25699.48</v>
      </c>
      <c r="C2" s="2"/>
      <c r="D2" s="3">
        <v>0.1724</v>
      </c>
      <c r="F2" s="1">
        <f t="shared" ref="F2:F12" si="0">B2/3</f>
        <v>8566.4933333333338</v>
      </c>
      <c r="G2" s="4">
        <f t="shared" ref="G2:G12" si="1">B2/6</f>
        <v>4283.2466666666669</v>
      </c>
      <c r="H2" s="4">
        <f t="shared" ref="H2:H12" si="2">G2/2</f>
        <v>2141.6233333333334</v>
      </c>
      <c r="I2" s="4">
        <f t="shared" ref="I2:I12" si="3">B2/12</f>
        <v>2141.6233333333334</v>
      </c>
      <c r="J2" s="1">
        <f>(B2*D2)/12</f>
        <v>369.21586266666668</v>
      </c>
      <c r="L2" s="4"/>
    </row>
    <row r="3" spans="1:12" x14ac:dyDescent="0.25">
      <c r="A3" t="s">
        <v>16</v>
      </c>
      <c r="B3" s="1">
        <v>4436.88</v>
      </c>
      <c r="C3" s="2"/>
      <c r="D3" s="3">
        <v>0.27289999999999998</v>
      </c>
      <c r="E3" s="1">
        <v>218</v>
      </c>
      <c r="F3" s="1">
        <f t="shared" si="0"/>
        <v>1478.96</v>
      </c>
      <c r="G3" s="4">
        <f t="shared" si="1"/>
        <v>739.48</v>
      </c>
      <c r="H3" s="4">
        <f t="shared" si="2"/>
        <v>369.74</v>
      </c>
      <c r="I3" s="4">
        <f t="shared" si="3"/>
        <v>369.74</v>
      </c>
      <c r="J3" s="1">
        <f t="shared" ref="J3:J11" si="4">(B3*D3)/12</f>
        <v>100.90204599999998</v>
      </c>
      <c r="L3" s="4"/>
    </row>
    <row r="4" spans="1:12" x14ac:dyDescent="0.25">
      <c r="A4" t="s">
        <v>12</v>
      </c>
      <c r="B4" s="1">
        <v>5956.39</v>
      </c>
      <c r="C4" s="2"/>
      <c r="D4" s="3">
        <v>0.16489999999999999</v>
      </c>
      <c r="E4" s="1">
        <v>217</v>
      </c>
      <c r="F4" s="1">
        <f t="shared" si="0"/>
        <v>1985.4633333333334</v>
      </c>
      <c r="G4" s="4">
        <f t="shared" si="1"/>
        <v>992.73166666666668</v>
      </c>
      <c r="H4" s="4">
        <f t="shared" si="2"/>
        <v>496.36583333333334</v>
      </c>
      <c r="I4" s="4">
        <f t="shared" si="3"/>
        <v>496.36583333333334</v>
      </c>
      <c r="J4" s="1">
        <f t="shared" si="4"/>
        <v>81.850725916666661</v>
      </c>
    </row>
    <row r="5" spans="1:12" x14ac:dyDescent="0.25">
      <c r="A5" t="s">
        <v>15</v>
      </c>
      <c r="B5" s="1">
        <v>4225.24</v>
      </c>
      <c r="D5" s="3">
        <v>0.2324</v>
      </c>
      <c r="E5" s="1">
        <v>170</v>
      </c>
      <c r="F5" s="1">
        <f t="shared" si="0"/>
        <v>1408.4133333333332</v>
      </c>
      <c r="G5" s="4">
        <f t="shared" si="1"/>
        <v>704.20666666666659</v>
      </c>
      <c r="H5" s="4">
        <f t="shared" si="2"/>
        <v>352.1033333333333</v>
      </c>
      <c r="I5" s="4">
        <f t="shared" si="3"/>
        <v>352.1033333333333</v>
      </c>
      <c r="J5" s="1">
        <f t="shared" si="4"/>
        <v>81.828814666666659</v>
      </c>
    </row>
    <row r="6" spans="1:12" x14ac:dyDescent="0.25">
      <c r="A6" t="s">
        <v>13</v>
      </c>
      <c r="B6" s="1">
        <v>3307.72</v>
      </c>
      <c r="C6" s="2"/>
      <c r="D6" s="3">
        <v>0.26240000000000002</v>
      </c>
      <c r="E6" s="1">
        <v>132</v>
      </c>
      <c r="F6" s="1">
        <f t="shared" si="0"/>
        <v>1102.5733333333333</v>
      </c>
      <c r="G6" s="4">
        <f t="shared" si="1"/>
        <v>551.28666666666663</v>
      </c>
      <c r="H6" s="4">
        <f t="shared" si="2"/>
        <v>275.64333333333332</v>
      </c>
      <c r="I6" s="4">
        <f t="shared" si="3"/>
        <v>275.64333333333332</v>
      </c>
      <c r="J6" s="1">
        <f t="shared" si="4"/>
        <v>72.328810666666669</v>
      </c>
    </row>
    <row r="7" spans="1:12" x14ac:dyDescent="0.25">
      <c r="A7" t="s">
        <v>11</v>
      </c>
      <c r="B7" s="1">
        <v>4081.2</v>
      </c>
      <c r="C7" s="2">
        <v>43401</v>
      </c>
      <c r="D7" s="3">
        <v>0.26989999999999997</v>
      </c>
      <c r="E7" s="1">
        <v>107</v>
      </c>
      <c r="F7" s="1">
        <f t="shared" si="0"/>
        <v>1360.3999999999999</v>
      </c>
      <c r="G7" s="4">
        <f t="shared" si="1"/>
        <v>680.19999999999993</v>
      </c>
      <c r="H7" s="4">
        <f t="shared" si="2"/>
        <v>340.09999999999997</v>
      </c>
      <c r="I7" s="4">
        <f t="shared" si="3"/>
        <v>340.09999999999997</v>
      </c>
      <c r="J7" s="1">
        <f t="shared" si="4"/>
        <v>91.792989999999989</v>
      </c>
    </row>
    <row r="8" spans="1:12" x14ac:dyDescent="0.25">
      <c r="A8" t="s">
        <v>18</v>
      </c>
      <c r="B8" s="1">
        <v>4473.3599999999997</v>
      </c>
      <c r="D8" s="3">
        <v>0.16489999999999999</v>
      </c>
      <c r="E8" s="1">
        <v>153</v>
      </c>
      <c r="F8" s="1">
        <f t="shared" si="0"/>
        <v>1491.12</v>
      </c>
      <c r="G8" s="4">
        <f t="shared" si="1"/>
        <v>745.56</v>
      </c>
      <c r="H8" s="4">
        <f t="shared" si="2"/>
        <v>372.78</v>
      </c>
      <c r="I8" s="4">
        <f t="shared" si="3"/>
        <v>372.78</v>
      </c>
      <c r="J8" s="1">
        <f t="shared" si="4"/>
        <v>61.47142199999999</v>
      </c>
    </row>
    <row r="9" spans="1:12" x14ac:dyDescent="0.25">
      <c r="A9" t="s">
        <v>17</v>
      </c>
      <c r="B9" s="1">
        <v>3257.18</v>
      </c>
      <c r="D9" s="3">
        <v>0.16489999999999999</v>
      </c>
      <c r="E9" s="1">
        <v>115</v>
      </c>
      <c r="F9" s="1">
        <f t="shared" si="0"/>
        <v>1085.7266666666667</v>
      </c>
      <c r="G9" s="4">
        <f t="shared" si="1"/>
        <v>542.86333333333334</v>
      </c>
      <c r="H9" s="4">
        <f t="shared" si="2"/>
        <v>271.43166666666667</v>
      </c>
      <c r="I9" s="4">
        <f t="shared" si="3"/>
        <v>271.43166666666667</v>
      </c>
      <c r="J9" s="1">
        <f t="shared" si="4"/>
        <v>44.759081833333333</v>
      </c>
    </row>
    <row r="10" spans="1:12" x14ac:dyDescent="0.25">
      <c r="A10" t="s">
        <v>19</v>
      </c>
      <c r="B10" s="1">
        <v>12723.44</v>
      </c>
      <c r="C10" s="2">
        <v>43666</v>
      </c>
      <c r="D10" s="3">
        <v>8.4900000000000003E-2</v>
      </c>
      <c r="E10" s="1">
        <v>380</v>
      </c>
      <c r="F10" s="1">
        <f t="shared" si="0"/>
        <v>4241.1466666666665</v>
      </c>
      <c r="G10" s="4">
        <f t="shared" si="1"/>
        <v>2120.5733333333333</v>
      </c>
      <c r="H10" s="4">
        <f t="shared" si="2"/>
        <v>1060.2866666666666</v>
      </c>
      <c r="I10" s="4">
        <f t="shared" si="3"/>
        <v>1060.2866666666666</v>
      </c>
      <c r="J10" s="1">
        <f t="shared" si="4"/>
        <v>90.018338000000014</v>
      </c>
    </row>
    <row r="11" spans="1:12" x14ac:dyDescent="0.25">
      <c r="A11" t="s">
        <v>20</v>
      </c>
      <c r="B11" s="1">
        <v>1384.83</v>
      </c>
      <c r="D11" s="3">
        <v>0.2999</v>
      </c>
      <c r="E11" s="1">
        <v>52</v>
      </c>
      <c r="F11" s="1">
        <f t="shared" si="0"/>
        <v>461.60999999999996</v>
      </c>
      <c r="G11" s="4">
        <f t="shared" si="1"/>
        <v>230.80499999999998</v>
      </c>
      <c r="H11" s="4">
        <f t="shared" si="2"/>
        <v>115.40249999999999</v>
      </c>
      <c r="I11" s="4">
        <f t="shared" si="3"/>
        <v>115.40249999999999</v>
      </c>
      <c r="J11" s="1">
        <f t="shared" si="4"/>
        <v>34.609209749999998</v>
      </c>
    </row>
    <row r="12" spans="1:12" x14ac:dyDescent="0.25">
      <c r="A12" t="s">
        <v>22</v>
      </c>
      <c r="B12" s="1">
        <v>1968.24</v>
      </c>
      <c r="C12" s="2"/>
      <c r="D12" s="3">
        <v>9.9900000000000003E-2</v>
      </c>
      <c r="F12" s="1">
        <f t="shared" si="0"/>
        <v>656.08</v>
      </c>
      <c r="G12" s="4">
        <f t="shared" si="1"/>
        <v>328.04</v>
      </c>
      <c r="H12" s="4">
        <f t="shared" si="2"/>
        <v>164.02</v>
      </c>
      <c r="I12" s="4">
        <f t="shared" si="3"/>
        <v>164.02</v>
      </c>
      <c r="J12" s="1">
        <f>(B12*D12)/12</f>
        <v>16.385598000000002</v>
      </c>
    </row>
    <row r="14" spans="1:12" x14ac:dyDescent="0.25">
      <c r="B14" s="1">
        <f>SUM(B2:B13)</f>
        <v>71513.960000000006</v>
      </c>
      <c r="D14" s="3">
        <f>AVERAGE(D2:D13)</f>
        <v>0.19903636363636365</v>
      </c>
      <c r="F14" s="1">
        <f>SUM(F2:F13)</f>
        <v>23837.986666666671</v>
      </c>
      <c r="G14" s="1">
        <f>SUM(G2:G13)</f>
        <v>11918.993333333336</v>
      </c>
      <c r="H14" s="1"/>
      <c r="I14" s="1">
        <f>SUM(I2:I13)</f>
        <v>5959.4966666666678</v>
      </c>
      <c r="J14" s="1">
        <f>SUM(J2:J13)</f>
        <v>1045.1628995000001</v>
      </c>
    </row>
    <row r="15" spans="1:12" x14ac:dyDescent="0.25">
      <c r="J15" s="1">
        <f>(B14*D14)/12</f>
        <v>1186.1565456363639</v>
      </c>
    </row>
    <row r="18" spans="2:12" x14ac:dyDescent="0.25">
      <c r="L18">
        <v>44.06</v>
      </c>
    </row>
    <row r="19" spans="2:12" x14ac:dyDescent="0.25">
      <c r="B19" s="1">
        <f>415.81-208.39</f>
        <v>207.42000000000002</v>
      </c>
      <c r="L19">
        <v>114.3</v>
      </c>
    </row>
    <row r="20" spans="2:12" x14ac:dyDescent="0.25">
      <c r="L20">
        <v>52.93</v>
      </c>
    </row>
    <row r="21" spans="2:12" x14ac:dyDescent="0.25">
      <c r="B21" s="1">
        <f>500-272.67</f>
        <v>227.32999999999998</v>
      </c>
      <c r="L21">
        <v>108.95</v>
      </c>
    </row>
    <row r="22" spans="2:12" x14ac:dyDescent="0.25">
      <c r="L22">
        <f>SUBTOTAL(9,L18:L21)</f>
        <v>320.24</v>
      </c>
    </row>
    <row r="23" spans="2:12" x14ac:dyDescent="0.25">
      <c r="B23" s="1">
        <f>180*2</f>
        <v>360</v>
      </c>
    </row>
    <row r="26" spans="2:12" x14ac:dyDescent="0.25">
      <c r="B26" s="1">
        <v>540.94000000000005</v>
      </c>
      <c r="C26">
        <v>540.94000000000005</v>
      </c>
    </row>
    <row r="27" spans="2:12" x14ac:dyDescent="0.25">
      <c r="B27" s="1">
        <v>120</v>
      </c>
      <c r="C27">
        <v>120</v>
      </c>
    </row>
    <row r="28" spans="2:12" x14ac:dyDescent="0.25">
      <c r="B28" s="1">
        <v>144</v>
      </c>
      <c r="C28">
        <v>144</v>
      </c>
    </row>
    <row r="29" spans="2:12" x14ac:dyDescent="0.25">
      <c r="B29" s="1">
        <v>124</v>
      </c>
      <c r="C29">
        <v>124</v>
      </c>
    </row>
    <row r="30" spans="2:12" x14ac:dyDescent="0.25">
      <c r="B30" s="1">
        <v>109</v>
      </c>
      <c r="C30">
        <v>109</v>
      </c>
    </row>
    <row r="31" spans="2:12" x14ac:dyDescent="0.25">
      <c r="B31" s="1">
        <v>149</v>
      </c>
      <c r="C31">
        <v>149</v>
      </c>
    </row>
    <row r="32" spans="2:12" x14ac:dyDescent="0.25">
      <c r="B32" s="1">
        <v>109</v>
      </c>
      <c r="C32">
        <v>109</v>
      </c>
    </row>
    <row r="33" spans="2:3" x14ac:dyDescent="0.25">
      <c r="B33" s="1">
        <v>88</v>
      </c>
      <c r="C33">
        <v>88</v>
      </c>
    </row>
    <row r="34" spans="2:3" x14ac:dyDescent="0.25">
      <c r="B34" s="1">
        <v>227.99</v>
      </c>
      <c r="C34">
        <v>227.99</v>
      </c>
    </row>
    <row r="35" spans="2:3" x14ac:dyDescent="0.25">
      <c r="B35" s="1">
        <v>230</v>
      </c>
      <c r="C35">
        <v>230</v>
      </c>
    </row>
    <row r="36" spans="2:3" x14ac:dyDescent="0.25">
      <c r="B36" s="1">
        <v>31.2</v>
      </c>
      <c r="C36">
        <v>31.2</v>
      </c>
    </row>
    <row r="37" spans="2:3" x14ac:dyDescent="0.25">
      <c r="B37" s="1">
        <v>300</v>
      </c>
      <c r="C37">
        <v>300</v>
      </c>
    </row>
    <row r="38" spans="2:3" x14ac:dyDescent="0.25">
      <c r="B38" s="1">
        <v>39</v>
      </c>
      <c r="C38">
        <v>39</v>
      </c>
    </row>
    <row r="39" spans="2:3" x14ac:dyDescent="0.25">
      <c r="B39" s="1">
        <v>130</v>
      </c>
      <c r="C39">
        <v>130</v>
      </c>
    </row>
    <row r="41" spans="2:3" x14ac:dyDescent="0.25">
      <c r="B41" s="1">
        <f>SUM(B26:B39)</f>
        <v>2342.13</v>
      </c>
      <c r="C41" s="1">
        <f>SUM(C26:C39)</f>
        <v>2342.13</v>
      </c>
    </row>
  </sheetData>
  <autoFilter ref="A1:J12" xr:uid="{86BDE7AA-E3A8-4F3C-A2B8-999EFFF061C5}">
    <sortState xmlns:xlrd2="http://schemas.microsoft.com/office/spreadsheetml/2017/richdata2" ref="A2:J12">
      <sortCondition descending="1" ref="J1:J12"/>
    </sortState>
  </autoFilter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02E7-CD57-4D5F-9A4B-41DECF9D72D7}">
  <dimension ref="A1:L39"/>
  <sheetViews>
    <sheetView workbookViewId="0">
      <selection activeCell="H22" sqref="H22"/>
    </sheetView>
  </sheetViews>
  <sheetFormatPr defaultRowHeight="15" x14ac:dyDescent="0.25"/>
  <cols>
    <col min="2" max="2" width="11.5703125" style="1" bestFit="1" customWidth="1"/>
    <col min="3" max="3" width="10.7109375" bestFit="1" customWidth="1"/>
    <col min="4" max="4" width="9.140625" style="3"/>
    <col min="5" max="5" width="9.140625" style="1"/>
    <col min="6" max="6" width="11.5703125" style="1" bestFit="1" customWidth="1"/>
    <col min="7" max="7" width="11.5703125" bestFit="1" customWidth="1"/>
    <col min="8" max="8" width="10.5703125" customWidth="1"/>
    <col min="9" max="9" width="10.5703125" bestFit="1" customWidth="1"/>
    <col min="10" max="10" width="12.140625" style="1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2" x14ac:dyDescent="0.25">
      <c r="A2" t="s">
        <v>10</v>
      </c>
      <c r="B2" s="1">
        <v>25699.48</v>
      </c>
      <c r="C2" s="2"/>
      <c r="D2" s="3">
        <v>0.1724</v>
      </c>
      <c r="F2" s="1">
        <f t="shared" ref="F2:F12" si="0">B2/3</f>
        <v>8566.4933333333338</v>
      </c>
      <c r="G2" s="4">
        <f t="shared" ref="G2:G12" si="1">B2/6</f>
        <v>4283.2466666666669</v>
      </c>
      <c r="H2" s="4">
        <f t="shared" ref="H2:H12" si="2">G2/2</f>
        <v>2141.6233333333334</v>
      </c>
      <c r="I2" s="4">
        <f t="shared" ref="I2:I12" si="3">B2/12</f>
        <v>2141.6233333333334</v>
      </c>
      <c r="J2" s="1">
        <f>(B2*D2)/12</f>
        <v>369.21586266666668</v>
      </c>
      <c r="L2" s="4"/>
    </row>
    <row r="3" spans="1:12" x14ac:dyDescent="0.25">
      <c r="A3" t="s">
        <v>16</v>
      </c>
      <c r="B3" s="1">
        <v>4436.88</v>
      </c>
      <c r="C3" s="2"/>
      <c r="D3" s="3">
        <v>0.27289999999999998</v>
      </c>
      <c r="E3" s="1">
        <v>218</v>
      </c>
      <c r="F3" s="1">
        <f t="shared" si="0"/>
        <v>1478.96</v>
      </c>
      <c r="G3" s="4">
        <f t="shared" si="1"/>
        <v>739.48</v>
      </c>
      <c r="H3" s="4">
        <f t="shared" si="2"/>
        <v>369.74</v>
      </c>
      <c r="I3" s="4">
        <f t="shared" si="3"/>
        <v>369.74</v>
      </c>
      <c r="J3" s="1">
        <f t="shared" ref="J3:J11" si="4">(B3*D3)/12</f>
        <v>100.90204599999998</v>
      </c>
      <c r="L3" s="4"/>
    </row>
    <row r="4" spans="1:12" x14ac:dyDescent="0.25">
      <c r="A4" t="s">
        <v>12</v>
      </c>
      <c r="B4" s="1">
        <v>5956.39</v>
      </c>
      <c r="C4" s="2"/>
      <c r="D4" s="3">
        <v>0.16489999999999999</v>
      </c>
      <c r="E4" s="1">
        <v>217</v>
      </c>
      <c r="F4" s="1">
        <f t="shared" si="0"/>
        <v>1985.4633333333334</v>
      </c>
      <c r="G4" s="4">
        <f t="shared" si="1"/>
        <v>992.73166666666668</v>
      </c>
      <c r="H4" s="4">
        <f t="shared" si="2"/>
        <v>496.36583333333334</v>
      </c>
      <c r="I4" s="4">
        <f t="shared" si="3"/>
        <v>496.36583333333334</v>
      </c>
      <c r="J4" s="1">
        <f t="shared" si="4"/>
        <v>81.850725916666661</v>
      </c>
    </row>
    <row r="5" spans="1:12" x14ac:dyDescent="0.25">
      <c r="A5" t="s">
        <v>15</v>
      </c>
      <c r="B5" s="1">
        <v>4225.24</v>
      </c>
      <c r="D5" s="3">
        <v>0.2324</v>
      </c>
      <c r="E5" s="1">
        <v>170</v>
      </c>
      <c r="F5" s="1">
        <f t="shared" si="0"/>
        <v>1408.4133333333332</v>
      </c>
      <c r="G5" s="4">
        <f t="shared" si="1"/>
        <v>704.20666666666659</v>
      </c>
      <c r="H5" s="4">
        <f t="shared" si="2"/>
        <v>352.1033333333333</v>
      </c>
      <c r="I5" s="4">
        <f t="shared" si="3"/>
        <v>352.1033333333333</v>
      </c>
      <c r="J5" s="1">
        <f t="shared" si="4"/>
        <v>81.828814666666659</v>
      </c>
    </row>
    <row r="6" spans="1:12" x14ac:dyDescent="0.25">
      <c r="A6" t="s">
        <v>13</v>
      </c>
      <c r="B6" s="1">
        <v>3307.72</v>
      </c>
      <c r="C6" s="2"/>
      <c r="D6" s="3">
        <v>0.26240000000000002</v>
      </c>
      <c r="E6" s="1">
        <v>132</v>
      </c>
      <c r="F6" s="1">
        <f t="shared" si="0"/>
        <v>1102.5733333333333</v>
      </c>
      <c r="G6" s="4">
        <f t="shared" si="1"/>
        <v>551.28666666666663</v>
      </c>
      <c r="H6" s="4">
        <f t="shared" si="2"/>
        <v>275.64333333333332</v>
      </c>
      <c r="I6" s="4">
        <f t="shared" si="3"/>
        <v>275.64333333333332</v>
      </c>
      <c r="J6" s="1">
        <f t="shared" si="4"/>
        <v>72.328810666666669</v>
      </c>
    </row>
    <row r="7" spans="1:12" x14ac:dyDescent="0.25">
      <c r="A7" t="s">
        <v>11</v>
      </c>
      <c r="B7" s="1">
        <v>4081.2</v>
      </c>
      <c r="C7" s="2">
        <v>43401</v>
      </c>
      <c r="D7" s="3">
        <v>0.26989999999999997</v>
      </c>
      <c r="E7" s="1">
        <v>107</v>
      </c>
      <c r="F7" s="1">
        <f t="shared" si="0"/>
        <v>1360.3999999999999</v>
      </c>
      <c r="G7" s="4">
        <f t="shared" si="1"/>
        <v>680.19999999999993</v>
      </c>
      <c r="H7" s="4">
        <f t="shared" si="2"/>
        <v>340.09999999999997</v>
      </c>
      <c r="I7" s="4">
        <f t="shared" si="3"/>
        <v>340.09999999999997</v>
      </c>
      <c r="J7" s="1">
        <f t="shared" si="4"/>
        <v>91.792989999999989</v>
      </c>
    </row>
    <row r="8" spans="1:12" x14ac:dyDescent="0.25">
      <c r="A8" t="s">
        <v>18</v>
      </c>
      <c r="B8" s="1">
        <v>4473.3599999999997</v>
      </c>
      <c r="D8" s="3">
        <v>0.16489999999999999</v>
      </c>
      <c r="E8" s="1">
        <v>153</v>
      </c>
      <c r="F8" s="1">
        <f t="shared" si="0"/>
        <v>1491.12</v>
      </c>
      <c r="G8" s="4">
        <f t="shared" si="1"/>
        <v>745.56</v>
      </c>
      <c r="H8" s="4">
        <f t="shared" si="2"/>
        <v>372.78</v>
      </c>
      <c r="I8" s="4">
        <f t="shared" si="3"/>
        <v>372.78</v>
      </c>
      <c r="J8" s="1">
        <f t="shared" si="4"/>
        <v>61.47142199999999</v>
      </c>
    </row>
    <row r="9" spans="1:12" x14ac:dyDescent="0.25">
      <c r="A9" t="s">
        <v>17</v>
      </c>
      <c r="B9" s="1">
        <v>3257.18</v>
      </c>
      <c r="D9" s="3">
        <v>0.16489999999999999</v>
      </c>
      <c r="E9" s="1">
        <v>115</v>
      </c>
      <c r="F9" s="1">
        <f t="shared" si="0"/>
        <v>1085.7266666666667</v>
      </c>
      <c r="G9" s="4">
        <f t="shared" si="1"/>
        <v>542.86333333333334</v>
      </c>
      <c r="H9" s="4">
        <f t="shared" si="2"/>
        <v>271.43166666666667</v>
      </c>
      <c r="I9" s="4">
        <f t="shared" si="3"/>
        <v>271.43166666666667</v>
      </c>
      <c r="J9" s="1">
        <f t="shared" si="4"/>
        <v>44.759081833333333</v>
      </c>
    </row>
    <row r="10" spans="1:12" x14ac:dyDescent="0.25">
      <c r="A10" t="s">
        <v>19</v>
      </c>
      <c r="B10" s="1">
        <v>12723.44</v>
      </c>
      <c r="C10" s="2">
        <v>43666</v>
      </c>
      <c r="D10" s="3">
        <v>8.4900000000000003E-2</v>
      </c>
      <c r="E10" s="1">
        <v>380</v>
      </c>
      <c r="F10" s="1">
        <f t="shared" si="0"/>
        <v>4241.1466666666665</v>
      </c>
      <c r="G10" s="4">
        <f t="shared" si="1"/>
        <v>2120.5733333333333</v>
      </c>
      <c r="H10" s="4">
        <f t="shared" si="2"/>
        <v>1060.2866666666666</v>
      </c>
      <c r="I10" s="4">
        <f t="shared" si="3"/>
        <v>1060.2866666666666</v>
      </c>
      <c r="J10" s="1">
        <f t="shared" si="4"/>
        <v>90.018338000000014</v>
      </c>
    </row>
    <row r="11" spans="1:12" x14ac:dyDescent="0.25">
      <c r="A11" t="s">
        <v>20</v>
      </c>
      <c r="B11" s="1">
        <v>1384.83</v>
      </c>
      <c r="D11" s="3">
        <v>0.2999</v>
      </c>
      <c r="E11" s="1">
        <v>52</v>
      </c>
      <c r="F11" s="1">
        <f t="shared" si="0"/>
        <v>461.60999999999996</v>
      </c>
      <c r="G11" s="4">
        <f t="shared" si="1"/>
        <v>230.80499999999998</v>
      </c>
      <c r="H11" s="4">
        <f t="shared" si="2"/>
        <v>115.40249999999999</v>
      </c>
      <c r="I11" s="4">
        <f t="shared" si="3"/>
        <v>115.40249999999999</v>
      </c>
      <c r="J11" s="1">
        <f t="shared" si="4"/>
        <v>34.609209749999998</v>
      </c>
    </row>
    <row r="12" spans="1:12" x14ac:dyDescent="0.25">
      <c r="A12" t="s">
        <v>22</v>
      </c>
      <c r="B12" s="1">
        <v>1968.24</v>
      </c>
      <c r="C12" s="2"/>
      <c r="D12" s="3">
        <v>9.9900000000000003E-2</v>
      </c>
      <c r="F12" s="1">
        <f t="shared" si="0"/>
        <v>656.08</v>
      </c>
      <c r="G12" s="4">
        <f t="shared" si="1"/>
        <v>328.04</v>
      </c>
      <c r="H12" s="4">
        <f t="shared" si="2"/>
        <v>164.02</v>
      </c>
      <c r="I12" s="4">
        <f t="shared" si="3"/>
        <v>164.02</v>
      </c>
      <c r="J12" s="1">
        <f>(B12*D12)/12</f>
        <v>16.385598000000002</v>
      </c>
    </row>
    <row r="14" spans="1:12" x14ac:dyDescent="0.25">
      <c r="B14" s="1">
        <f>SUM(B2:B13)</f>
        <v>71513.960000000006</v>
      </c>
      <c r="D14" s="3">
        <f>AVERAGE(D2:D13)</f>
        <v>0.19903636363636365</v>
      </c>
      <c r="F14" s="1">
        <f>SUM(F2:F13)</f>
        <v>23837.986666666671</v>
      </c>
      <c r="G14" s="1">
        <f>SUM(G2:G13)</f>
        <v>11918.993333333336</v>
      </c>
      <c r="H14" s="1"/>
      <c r="I14" s="1">
        <f>SUM(I2:I13)</f>
        <v>5959.4966666666678</v>
      </c>
      <c r="J14" s="1">
        <f>SUM(J2:J13)</f>
        <v>1045.1628995000001</v>
      </c>
    </row>
    <row r="15" spans="1:12" x14ac:dyDescent="0.25">
      <c r="J15" s="1">
        <f>(B14*D14)/12</f>
        <v>1186.1565456363639</v>
      </c>
    </row>
    <row r="18" spans="2:12" x14ac:dyDescent="0.25">
      <c r="L18">
        <v>44.06</v>
      </c>
    </row>
    <row r="19" spans="2:12" x14ac:dyDescent="0.25">
      <c r="B19" s="1">
        <f>415.81-208.39</f>
        <v>207.42000000000002</v>
      </c>
      <c r="L19">
        <v>114.3</v>
      </c>
    </row>
    <row r="20" spans="2:12" x14ac:dyDescent="0.25">
      <c r="L20">
        <v>52.93</v>
      </c>
    </row>
    <row r="21" spans="2:12" x14ac:dyDescent="0.25">
      <c r="B21" s="1">
        <f>500-272.67</f>
        <v>227.32999999999998</v>
      </c>
      <c r="L21">
        <v>108.95</v>
      </c>
    </row>
    <row r="22" spans="2:12" x14ac:dyDescent="0.25">
      <c r="L22">
        <f>SUBTOTAL(9,L18:L21)</f>
        <v>320.24</v>
      </c>
    </row>
    <row r="23" spans="2:12" x14ac:dyDescent="0.25">
      <c r="B23" s="1">
        <f>180*2</f>
        <v>360</v>
      </c>
    </row>
    <row r="26" spans="2:12" x14ac:dyDescent="0.25">
      <c r="B26" s="1">
        <v>540.94000000000005</v>
      </c>
    </row>
    <row r="27" spans="2:12" x14ac:dyDescent="0.25">
      <c r="B27" s="1">
        <v>116</v>
      </c>
    </row>
    <row r="28" spans="2:12" x14ac:dyDescent="0.25">
      <c r="B28" s="1">
        <v>143</v>
      </c>
    </row>
    <row r="29" spans="2:12" x14ac:dyDescent="0.25">
      <c r="B29" s="1">
        <v>34</v>
      </c>
    </row>
    <row r="30" spans="2:12" x14ac:dyDescent="0.25">
      <c r="B30" s="1">
        <v>123</v>
      </c>
    </row>
    <row r="31" spans="2:12" x14ac:dyDescent="0.25">
      <c r="B31" s="1">
        <v>147</v>
      </c>
    </row>
    <row r="32" spans="2:12" x14ac:dyDescent="0.25">
      <c r="B32" s="1">
        <v>108</v>
      </c>
    </row>
    <row r="33" spans="2:2" x14ac:dyDescent="0.25">
      <c r="B33" s="1">
        <v>85</v>
      </c>
    </row>
    <row r="34" spans="2:2" x14ac:dyDescent="0.25">
      <c r="B34" s="1">
        <v>230</v>
      </c>
    </row>
    <row r="35" spans="2:2" x14ac:dyDescent="0.25">
      <c r="B35" s="1">
        <v>31.2</v>
      </c>
    </row>
    <row r="36" spans="2:2" x14ac:dyDescent="0.25">
      <c r="B36" s="1">
        <v>39</v>
      </c>
    </row>
    <row r="37" spans="2:2" x14ac:dyDescent="0.25">
      <c r="B37" s="1">
        <v>711.84</v>
      </c>
    </row>
    <row r="39" spans="2:2" x14ac:dyDescent="0.25">
      <c r="B39" s="1">
        <f>SUM(B26:B38)</f>
        <v>2308.98</v>
      </c>
    </row>
  </sheetData>
  <autoFilter ref="A1:J12" xr:uid="{86BDE7AA-E3A8-4F3C-A2B8-999EFFF061C5}">
    <sortState xmlns:xlrd2="http://schemas.microsoft.com/office/spreadsheetml/2017/richdata2" ref="A2:J12">
      <sortCondition descending="1" ref="J1:J12"/>
    </sortState>
  </autoFilter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0C7A-C6D5-464C-AD7F-15543CEFF57D}">
  <dimension ref="A1:L23"/>
  <sheetViews>
    <sheetView workbookViewId="0">
      <selection activeCell="B7" sqref="B7"/>
    </sheetView>
  </sheetViews>
  <sheetFormatPr defaultRowHeight="15" x14ac:dyDescent="0.25"/>
  <cols>
    <col min="2" max="2" width="11.5703125" style="1" bestFit="1" customWidth="1"/>
    <col min="3" max="3" width="10.7109375" bestFit="1" customWidth="1"/>
    <col min="4" max="4" width="9.140625" style="3"/>
    <col min="5" max="5" width="9.140625" style="1"/>
    <col min="6" max="6" width="11.5703125" style="1" bestFit="1" customWidth="1"/>
    <col min="7" max="7" width="11.5703125" bestFit="1" customWidth="1"/>
    <col min="8" max="8" width="10.5703125" customWidth="1"/>
    <col min="9" max="9" width="10.5703125" bestFit="1" customWidth="1"/>
    <col min="10" max="10" width="12.140625" style="1" bestFit="1" customWidth="1"/>
  </cols>
  <sheetData>
    <row r="1" spans="1:12" x14ac:dyDescent="0.25">
      <c r="A1" t="s">
        <v>0</v>
      </c>
      <c r="B1" s="1" t="s">
        <v>1</v>
      </c>
      <c r="C1" s="5">
        <v>0</v>
      </c>
      <c r="D1" s="3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2" x14ac:dyDescent="0.25">
      <c r="A2" t="s">
        <v>10</v>
      </c>
      <c r="B2" s="1">
        <v>25699.48</v>
      </c>
      <c r="C2" s="2"/>
      <c r="D2" s="3">
        <v>0.1724</v>
      </c>
      <c r="F2" s="1">
        <f t="shared" ref="F2:F12" si="0">B2/3</f>
        <v>8566.4933333333338</v>
      </c>
      <c r="G2" s="4">
        <f t="shared" ref="G2:G12" si="1">B2/6</f>
        <v>4283.2466666666669</v>
      </c>
      <c r="H2" s="4">
        <f t="shared" ref="H2:H12" si="2">G2/2</f>
        <v>2141.6233333333334</v>
      </c>
      <c r="I2" s="4">
        <f t="shared" ref="I2:I12" si="3">B2/12</f>
        <v>2141.6233333333334</v>
      </c>
      <c r="J2" s="1">
        <f>(B2*D2)/12</f>
        <v>369.21586266666668</v>
      </c>
      <c r="L2" s="4"/>
    </row>
    <row r="3" spans="1:12" x14ac:dyDescent="0.25">
      <c r="A3" t="s">
        <v>16</v>
      </c>
      <c r="B3" s="1">
        <v>5421</v>
      </c>
      <c r="C3" s="2"/>
      <c r="D3" s="3">
        <v>0.27289999999999998</v>
      </c>
      <c r="E3" s="1">
        <v>218</v>
      </c>
      <c r="F3" s="1">
        <f t="shared" si="0"/>
        <v>1807</v>
      </c>
      <c r="G3" s="4">
        <f t="shared" si="1"/>
        <v>903.5</v>
      </c>
      <c r="H3" s="4">
        <f t="shared" si="2"/>
        <v>451.75</v>
      </c>
      <c r="I3" s="4">
        <f t="shared" si="3"/>
        <v>451.75</v>
      </c>
      <c r="J3" s="1">
        <f t="shared" ref="J3:J11" si="4">(B3*D3)/12</f>
        <v>123.28257499999999</v>
      </c>
      <c r="L3" s="4"/>
    </row>
    <row r="4" spans="1:12" x14ac:dyDescent="0.25">
      <c r="A4" t="s">
        <v>12</v>
      </c>
      <c r="B4" s="1">
        <v>6241.6</v>
      </c>
      <c r="C4" s="2"/>
      <c r="D4" s="3">
        <v>0.16489999999999999</v>
      </c>
      <c r="E4" s="1">
        <v>217</v>
      </c>
      <c r="F4" s="1">
        <f t="shared" si="0"/>
        <v>2080.5333333333333</v>
      </c>
      <c r="G4" s="4">
        <f t="shared" si="1"/>
        <v>1040.2666666666667</v>
      </c>
      <c r="H4" s="4">
        <f t="shared" si="2"/>
        <v>520.13333333333333</v>
      </c>
      <c r="I4" s="4">
        <f t="shared" si="3"/>
        <v>520.13333333333333</v>
      </c>
      <c r="J4" s="1">
        <f t="shared" si="4"/>
        <v>85.769986666666668</v>
      </c>
    </row>
    <row r="5" spans="1:12" x14ac:dyDescent="0.25">
      <c r="A5" t="s">
        <v>15</v>
      </c>
      <c r="B5" s="1">
        <v>4390.24</v>
      </c>
      <c r="D5" s="3">
        <v>0.2324</v>
      </c>
      <c r="E5" s="1">
        <v>170</v>
      </c>
      <c r="F5" s="1">
        <f t="shared" si="0"/>
        <v>1463.4133333333332</v>
      </c>
      <c r="G5" s="4">
        <f t="shared" si="1"/>
        <v>731.70666666666659</v>
      </c>
      <c r="H5" s="4">
        <f t="shared" si="2"/>
        <v>365.8533333333333</v>
      </c>
      <c r="I5" s="4">
        <f t="shared" si="3"/>
        <v>365.8533333333333</v>
      </c>
      <c r="J5" s="1">
        <f t="shared" si="4"/>
        <v>85.024314666666655</v>
      </c>
    </row>
    <row r="6" spans="1:12" x14ac:dyDescent="0.25">
      <c r="A6" t="s">
        <v>13</v>
      </c>
      <c r="B6" s="1">
        <v>3436.72</v>
      </c>
      <c r="C6" s="2"/>
      <c r="D6" s="3">
        <v>0.26240000000000002</v>
      </c>
      <c r="E6" s="1">
        <v>132</v>
      </c>
      <c r="F6" s="1">
        <f t="shared" si="0"/>
        <v>1145.5733333333333</v>
      </c>
      <c r="G6" s="4">
        <f t="shared" si="1"/>
        <v>572.78666666666663</v>
      </c>
      <c r="H6" s="4">
        <f t="shared" si="2"/>
        <v>286.39333333333332</v>
      </c>
      <c r="I6" s="4">
        <f t="shared" si="3"/>
        <v>286.39333333333332</v>
      </c>
      <c r="J6" s="1">
        <f t="shared" si="4"/>
        <v>75.149610666666675</v>
      </c>
    </row>
    <row r="7" spans="1:12" x14ac:dyDescent="0.25">
      <c r="A7" t="s">
        <v>11</v>
      </c>
      <c r="B7" s="1">
        <v>2566.35</v>
      </c>
      <c r="C7" s="2">
        <v>43401</v>
      </c>
      <c r="D7" s="3">
        <v>0.26989999999999997</v>
      </c>
      <c r="E7" s="1">
        <v>107</v>
      </c>
      <c r="F7" s="1">
        <f t="shared" si="0"/>
        <v>855.44999999999993</v>
      </c>
      <c r="G7" s="4">
        <f t="shared" si="1"/>
        <v>427.72499999999997</v>
      </c>
      <c r="H7" s="4">
        <f t="shared" si="2"/>
        <v>213.86249999999998</v>
      </c>
      <c r="I7" s="4">
        <f t="shared" si="3"/>
        <v>213.86249999999998</v>
      </c>
      <c r="J7" s="1">
        <f t="shared" si="4"/>
        <v>57.721488749999992</v>
      </c>
    </row>
    <row r="8" spans="1:12" x14ac:dyDescent="0.25">
      <c r="A8" t="s">
        <v>18</v>
      </c>
      <c r="B8" s="1">
        <v>4301.1400000000003</v>
      </c>
      <c r="D8" s="3">
        <v>0.16489999999999999</v>
      </c>
      <c r="E8" s="1">
        <v>153</v>
      </c>
      <c r="F8" s="1">
        <f t="shared" si="0"/>
        <v>1433.7133333333334</v>
      </c>
      <c r="G8" s="4">
        <f t="shared" si="1"/>
        <v>716.85666666666668</v>
      </c>
      <c r="H8" s="4">
        <f t="shared" si="2"/>
        <v>358.42833333333334</v>
      </c>
      <c r="I8" s="4">
        <f t="shared" si="3"/>
        <v>358.42833333333334</v>
      </c>
      <c r="J8" s="1">
        <f t="shared" si="4"/>
        <v>59.104832166666661</v>
      </c>
    </row>
    <row r="9" spans="1:12" x14ac:dyDescent="0.25">
      <c r="A9" t="s">
        <v>17</v>
      </c>
      <c r="B9" s="1">
        <v>3248.46</v>
      </c>
      <c r="D9" s="3">
        <v>0.16489999999999999</v>
      </c>
      <c r="E9" s="1">
        <v>115</v>
      </c>
      <c r="F9" s="1">
        <f t="shared" si="0"/>
        <v>1082.82</v>
      </c>
      <c r="G9" s="4">
        <f t="shared" si="1"/>
        <v>541.41</v>
      </c>
      <c r="H9" s="4">
        <f t="shared" si="2"/>
        <v>270.70499999999998</v>
      </c>
      <c r="I9" s="4">
        <f t="shared" si="3"/>
        <v>270.70499999999998</v>
      </c>
      <c r="J9" s="1">
        <f t="shared" si="4"/>
        <v>44.6392545</v>
      </c>
    </row>
    <row r="10" spans="1:12" x14ac:dyDescent="0.25">
      <c r="A10" t="s">
        <v>19</v>
      </c>
      <c r="B10" s="1">
        <v>12723.44</v>
      </c>
      <c r="C10" s="2">
        <v>43666</v>
      </c>
      <c r="D10" s="3">
        <v>8.4900000000000003E-2</v>
      </c>
      <c r="E10" s="1">
        <v>380</v>
      </c>
      <c r="F10" s="1">
        <f t="shared" si="0"/>
        <v>4241.1466666666665</v>
      </c>
      <c r="G10" s="4">
        <f t="shared" si="1"/>
        <v>2120.5733333333333</v>
      </c>
      <c r="H10" s="4">
        <f t="shared" si="2"/>
        <v>1060.2866666666666</v>
      </c>
      <c r="I10" s="4">
        <f t="shared" si="3"/>
        <v>1060.2866666666666</v>
      </c>
      <c r="J10" s="1">
        <f t="shared" si="4"/>
        <v>90.018338000000014</v>
      </c>
    </row>
    <row r="11" spans="1:12" x14ac:dyDescent="0.25">
      <c r="A11" t="s">
        <v>20</v>
      </c>
      <c r="B11" s="1">
        <v>1344.01</v>
      </c>
      <c r="D11" s="3">
        <v>0.2999</v>
      </c>
      <c r="E11" s="1">
        <v>52</v>
      </c>
      <c r="F11" s="1">
        <f t="shared" si="0"/>
        <v>448.00333333333333</v>
      </c>
      <c r="G11" s="4">
        <f t="shared" si="1"/>
        <v>224.00166666666667</v>
      </c>
      <c r="H11" s="4">
        <f t="shared" si="2"/>
        <v>112.00083333333333</v>
      </c>
      <c r="I11" s="4">
        <f t="shared" si="3"/>
        <v>112.00083333333333</v>
      </c>
      <c r="J11" s="1">
        <f t="shared" si="4"/>
        <v>33.589049916666667</v>
      </c>
    </row>
    <row r="12" spans="1:12" x14ac:dyDescent="0.25">
      <c r="A12" t="s">
        <v>22</v>
      </c>
      <c r="B12" s="1">
        <v>1968.24</v>
      </c>
      <c r="C12" s="2"/>
      <c r="D12" s="3">
        <v>9.9900000000000003E-2</v>
      </c>
      <c r="F12" s="1">
        <f t="shared" si="0"/>
        <v>656.08</v>
      </c>
      <c r="G12" s="4">
        <f t="shared" si="1"/>
        <v>328.04</v>
      </c>
      <c r="H12" s="4">
        <f t="shared" si="2"/>
        <v>164.02</v>
      </c>
      <c r="I12" s="4">
        <f t="shared" si="3"/>
        <v>164.02</v>
      </c>
      <c r="J12" s="1">
        <f>(B12*D12)/12</f>
        <v>16.385598000000002</v>
      </c>
    </row>
    <row r="14" spans="1:12" x14ac:dyDescent="0.25">
      <c r="B14" s="1">
        <f>SUM(B2:B13)</f>
        <v>71340.679999999993</v>
      </c>
      <c r="D14" s="3">
        <f>AVERAGE(D2:D13)</f>
        <v>0.19903636363636365</v>
      </c>
      <c r="F14" s="1">
        <f>SUM(F2:F13)</f>
        <v>23780.226666666673</v>
      </c>
      <c r="G14" s="1">
        <f>SUM(G2:G13)</f>
        <v>11890.113333333336</v>
      </c>
      <c r="H14" s="1"/>
      <c r="I14" s="1">
        <f>SUM(I2:I13)</f>
        <v>5945.0566666666682</v>
      </c>
      <c r="J14" s="1">
        <f>SUM(J2:J13)</f>
        <v>1039.9009110000002</v>
      </c>
    </row>
    <row r="15" spans="1:12" x14ac:dyDescent="0.25">
      <c r="J15" s="1">
        <f>(B14*D14)/12</f>
        <v>1183.2824605454546</v>
      </c>
    </row>
    <row r="18" spans="2:12" x14ac:dyDescent="0.25">
      <c r="L18">
        <v>44.06</v>
      </c>
    </row>
    <row r="19" spans="2:12" x14ac:dyDescent="0.25">
      <c r="B19" s="1">
        <f>415.81-208.39</f>
        <v>207.42000000000002</v>
      </c>
      <c r="L19">
        <v>114.3</v>
      </c>
    </row>
    <row r="20" spans="2:12" x14ac:dyDescent="0.25">
      <c r="L20">
        <v>52.93</v>
      </c>
    </row>
    <row r="21" spans="2:12" x14ac:dyDescent="0.25">
      <c r="B21" s="1">
        <f>500-272.67</f>
        <v>227.32999999999998</v>
      </c>
      <c r="L21">
        <v>108.95</v>
      </c>
    </row>
    <row r="22" spans="2:12" x14ac:dyDescent="0.25">
      <c r="L22">
        <f>SUBTOTAL(9,L18:L21)</f>
        <v>320.24</v>
      </c>
    </row>
    <row r="23" spans="2:12" x14ac:dyDescent="0.25">
      <c r="B23" s="1">
        <f>180*2</f>
        <v>360</v>
      </c>
    </row>
  </sheetData>
  <autoFilter ref="A1:J12" xr:uid="{86BDE7AA-E3A8-4F3C-A2B8-999EFFF061C5}">
    <sortState xmlns:xlrd2="http://schemas.microsoft.com/office/spreadsheetml/2017/richdata2" ref="A2:J12">
      <sortCondition descending="1" ref="J1:J12"/>
    </sortState>
  </autoFilter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DB08-B2F8-42B3-B2A5-D5C89164E679}">
  <dimension ref="A1:G18"/>
  <sheetViews>
    <sheetView workbookViewId="0">
      <selection activeCell="G5" sqref="G5"/>
    </sheetView>
  </sheetViews>
  <sheetFormatPr defaultRowHeight="15" x14ac:dyDescent="0.25"/>
  <cols>
    <col min="4" max="4" width="11.5703125" bestFit="1" customWidth="1"/>
  </cols>
  <sheetData>
    <row r="1" spans="1:7" x14ac:dyDescent="0.25">
      <c r="A1">
        <v>540.94000000000005</v>
      </c>
      <c r="D1" s="1">
        <v>369.21586266666668</v>
      </c>
      <c r="G1">
        <v>728.09</v>
      </c>
    </row>
    <row r="2" spans="1:7" x14ac:dyDescent="0.25">
      <c r="A2">
        <v>119</v>
      </c>
      <c r="D2" s="1">
        <v>123.28257499999999</v>
      </c>
      <c r="G2">
        <v>106.83</v>
      </c>
    </row>
    <row r="3" spans="1:7" x14ac:dyDescent="0.25">
      <c r="A3">
        <v>61</v>
      </c>
      <c r="D3" s="1">
        <v>85.769986666666668</v>
      </c>
      <c r="G3">
        <v>163.84</v>
      </c>
    </row>
    <row r="4" spans="1:7" x14ac:dyDescent="0.25">
      <c r="A4">
        <v>125</v>
      </c>
      <c r="D4" s="1">
        <v>85.024314666666655</v>
      </c>
      <c r="G4">
        <f>SUM(G1:G3)</f>
        <v>998.7600000000001</v>
      </c>
    </row>
    <row r="5" spans="1:7" x14ac:dyDescent="0.25">
      <c r="A5">
        <v>35</v>
      </c>
      <c r="D5" s="1">
        <v>75.149610666666675</v>
      </c>
    </row>
    <row r="6" spans="1:7" x14ac:dyDescent="0.25">
      <c r="A6">
        <v>164</v>
      </c>
      <c r="D6" s="1">
        <v>59.104832166666661</v>
      </c>
    </row>
    <row r="7" spans="1:7" x14ac:dyDescent="0.25">
      <c r="A7">
        <v>112</v>
      </c>
      <c r="D7" s="1">
        <v>44.6392545</v>
      </c>
    </row>
    <row r="8" spans="1:7" x14ac:dyDescent="0.25">
      <c r="A8">
        <v>81</v>
      </c>
      <c r="D8" s="1">
        <v>33.589049916666667</v>
      </c>
    </row>
    <row r="9" spans="1:7" x14ac:dyDescent="0.25">
      <c r="A9">
        <v>1.42</v>
      </c>
      <c r="D9" s="1">
        <v>16.385598000000002</v>
      </c>
    </row>
    <row r="10" spans="1:7" x14ac:dyDescent="0.25">
      <c r="A10">
        <v>222</v>
      </c>
    </row>
    <row r="11" spans="1:7" x14ac:dyDescent="0.25">
      <c r="A11">
        <v>31.2</v>
      </c>
      <c r="D11" s="4">
        <f>SUM(D1:D10)</f>
        <v>892.16108425000004</v>
      </c>
    </row>
    <row r="12" spans="1:7" x14ac:dyDescent="0.25">
      <c r="A12">
        <v>28</v>
      </c>
    </row>
    <row r="13" spans="1:7" x14ac:dyDescent="0.25">
      <c r="A13">
        <v>48</v>
      </c>
    </row>
    <row r="16" spans="1:7" x14ac:dyDescent="0.25">
      <c r="A16">
        <f>SUM(A1:A15)</f>
        <v>1568.5600000000002</v>
      </c>
    </row>
    <row r="17" spans="1:1" x14ac:dyDescent="0.25">
      <c r="A17">
        <v>765.87</v>
      </c>
    </row>
    <row r="18" spans="1:1" x14ac:dyDescent="0.25">
      <c r="A18">
        <f>A16-A17</f>
        <v>802.69000000000017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3D5-8D95-4989-A660-BBA1466A6B1D}">
  <dimension ref="A1:E26"/>
  <sheetViews>
    <sheetView workbookViewId="0">
      <selection activeCell="E7" sqref="E7:E8"/>
    </sheetView>
  </sheetViews>
  <sheetFormatPr defaultRowHeight="15" x14ac:dyDescent="0.25"/>
  <cols>
    <col min="1" max="1" width="10.7109375" bestFit="1" customWidth="1"/>
    <col min="3" max="3" width="11" bestFit="1" customWidth="1"/>
    <col min="4" max="4" width="10.5703125" style="1" bestFit="1" customWidth="1"/>
    <col min="5" max="5" width="10.5703125" bestFit="1" customWidth="1"/>
  </cols>
  <sheetData>
    <row r="1" spans="1:4" x14ac:dyDescent="0.25">
      <c r="A1" t="s">
        <v>48</v>
      </c>
      <c r="B1" t="s">
        <v>149</v>
      </c>
      <c r="C1" t="s">
        <v>150</v>
      </c>
      <c r="D1" s="1" t="s">
        <v>151</v>
      </c>
    </row>
    <row r="2" spans="1:4" x14ac:dyDescent="0.25">
      <c r="A2" s="2">
        <v>43957</v>
      </c>
      <c r="B2">
        <v>1109</v>
      </c>
      <c r="C2" t="s">
        <v>121</v>
      </c>
      <c r="D2" s="1">
        <v>370</v>
      </c>
    </row>
    <row r="3" spans="1:4" x14ac:dyDescent="0.25">
      <c r="A3" s="2">
        <v>43959</v>
      </c>
      <c r="B3">
        <v>1110</v>
      </c>
      <c r="C3" t="s">
        <v>152</v>
      </c>
      <c r="D3" s="1">
        <v>175</v>
      </c>
    </row>
    <row r="4" spans="1:4" x14ac:dyDescent="0.25">
      <c r="A4" s="2">
        <v>44035</v>
      </c>
      <c r="B4">
        <v>1114</v>
      </c>
      <c r="C4" t="s">
        <v>152</v>
      </c>
      <c r="D4" s="1">
        <v>200</v>
      </c>
    </row>
    <row r="5" spans="1:4" x14ac:dyDescent="0.25">
      <c r="A5" s="2">
        <v>44136</v>
      </c>
      <c r="B5">
        <v>1121</v>
      </c>
      <c r="C5" t="s">
        <v>152</v>
      </c>
      <c r="D5" s="1">
        <v>200</v>
      </c>
    </row>
    <row r="6" spans="1:4" x14ac:dyDescent="0.25">
      <c r="A6" s="2">
        <v>44153</v>
      </c>
      <c r="B6">
        <v>1122</v>
      </c>
      <c r="C6" t="s">
        <v>152</v>
      </c>
      <c r="D6" s="1">
        <v>200</v>
      </c>
    </row>
    <row r="7" spans="1:4" x14ac:dyDescent="0.25">
      <c r="A7" s="2">
        <v>43751</v>
      </c>
      <c r="B7">
        <v>1101</v>
      </c>
      <c r="C7" t="s">
        <v>148</v>
      </c>
      <c r="D7" s="1">
        <v>253.77</v>
      </c>
    </row>
    <row r="8" spans="1:4" x14ac:dyDescent="0.25">
      <c r="A8" s="2">
        <v>43782</v>
      </c>
      <c r="B8">
        <v>1102</v>
      </c>
      <c r="C8" t="s">
        <v>148</v>
      </c>
      <c r="D8" s="1">
        <v>252.7</v>
      </c>
    </row>
    <row r="9" spans="1:4" x14ac:dyDescent="0.25">
      <c r="A9" s="2">
        <v>43836</v>
      </c>
      <c r="B9">
        <v>1105</v>
      </c>
      <c r="C9" t="s">
        <v>148</v>
      </c>
      <c r="D9" s="1">
        <v>260.17</v>
      </c>
    </row>
    <row r="10" spans="1:4" x14ac:dyDescent="0.25">
      <c r="A10" s="2">
        <v>43949</v>
      </c>
      <c r="B10">
        <v>1108</v>
      </c>
      <c r="C10" t="s">
        <v>148</v>
      </c>
      <c r="D10" s="1">
        <v>274.02999999999997</v>
      </c>
    </row>
    <row r="11" spans="1:4" x14ac:dyDescent="0.25">
      <c r="A11" s="2">
        <v>43974</v>
      </c>
      <c r="B11">
        <v>1111</v>
      </c>
      <c r="C11" t="s">
        <v>148</v>
      </c>
      <c r="D11" s="1">
        <v>297.48</v>
      </c>
    </row>
    <row r="12" spans="1:4" x14ac:dyDescent="0.25">
      <c r="A12" s="2">
        <v>44003</v>
      </c>
      <c r="B12">
        <v>1112</v>
      </c>
      <c r="C12" t="s">
        <v>148</v>
      </c>
      <c r="D12" s="1">
        <v>174.87</v>
      </c>
    </row>
    <row r="13" spans="1:4" x14ac:dyDescent="0.25">
      <c r="A13" s="2">
        <v>44050</v>
      </c>
      <c r="B13">
        <v>1116</v>
      </c>
      <c r="C13" t="s">
        <v>148</v>
      </c>
      <c r="D13" s="1">
        <v>204.72</v>
      </c>
    </row>
    <row r="14" spans="1:4" x14ac:dyDescent="0.25">
      <c r="A14" s="2">
        <v>44083</v>
      </c>
      <c r="B14">
        <v>1117</v>
      </c>
      <c r="C14" t="s">
        <v>148</v>
      </c>
      <c r="D14" s="1">
        <v>279.36</v>
      </c>
    </row>
    <row r="15" spans="1:4" x14ac:dyDescent="0.25">
      <c r="A15" s="2">
        <v>44098</v>
      </c>
      <c r="B15">
        <v>1118</v>
      </c>
      <c r="C15" t="s">
        <v>148</v>
      </c>
      <c r="D15" s="1">
        <v>174.87</v>
      </c>
    </row>
    <row r="16" spans="1:4" x14ac:dyDescent="0.25">
      <c r="A16" s="2">
        <v>44132</v>
      </c>
      <c r="B16">
        <v>1120</v>
      </c>
      <c r="C16" t="s">
        <v>148</v>
      </c>
      <c r="D16" s="1">
        <v>287.89</v>
      </c>
    </row>
    <row r="17" spans="1:5" x14ac:dyDescent="0.25">
      <c r="A17" s="2">
        <v>44163</v>
      </c>
      <c r="B17">
        <v>1123</v>
      </c>
      <c r="C17" t="s">
        <v>148</v>
      </c>
      <c r="D17" s="1">
        <v>174.87</v>
      </c>
    </row>
    <row r="18" spans="1:5" x14ac:dyDescent="0.25">
      <c r="A18" s="2">
        <v>44194</v>
      </c>
      <c r="B18">
        <v>1124</v>
      </c>
      <c r="C18" t="s">
        <v>148</v>
      </c>
      <c r="D18" s="1">
        <v>269.76</v>
      </c>
      <c r="E18" s="4">
        <f>SUM(D9:D18)</f>
        <v>2398.0199999999995</v>
      </c>
    </row>
    <row r="19" spans="1:5" x14ac:dyDescent="0.25">
      <c r="A19" s="2">
        <v>44041</v>
      </c>
      <c r="B19">
        <v>1115</v>
      </c>
      <c r="C19" t="s">
        <v>153</v>
      </c>
      <c r="D19" s="1">
        <v>758</v>
      </c>
    </row>
    <row r="20" spans="1:5" x14ac:dyDescent="0.25">
      <c r="A20" s="2">
        <v>43834</v>
      </c>
      <c r="B20">
        <v>1104</v>
      </c>
      <c r="C20" t="s">
        <v>108</v>
      </c>
      <c r="D20" s="1">
        <v>362.52</v>
      </c>
    </row>
    <row r="21" spans="1:5" x14ac:dyDescent="0.25">
      <c r="A21" s="2">
        <v>43862</v>
      </c>
      <c r="B21">
        <v>1106</v>
      </c>
      <c r="C21" t="s">
        <v>108</v>
      </c>
      <c r="D21" s="1">
        <v>1706</v>
      </c>
    </row>
    <row r="22" spans="1:5" x14ac:dyDescent="0.25">
      <c r="A22" s="2">
        <v>43829</v>
      </c>
      <c r="B22">
        <v>1103</v>
      </c>
      <c r="C22" t="s">
        <v>45</v>
      </c>
      <c r="D22" s="1">
        <v>120.5</v>
      </c>
    </row>
    <row r="23" spans="1:5" x14ac:dyDescent="0.25">
      <c r="A23" s="2">
        <v>43922</v>
      </c>
      <c r="B23">
        <v>1107</v>
      </c>
      <c r="C23" t="s">
        <v>45</v>
      </c>
      <c r="D23" s="1">
        <v>109.6</v>
      </c>
    </row>
    <row r="24" spans="1:5" x14ac:dyDescent="0.25">
      <c r="A24" s="2">
        <v>44018</v>
      </c>
      <c r="B24">
        <v>1113</v>
      </c>
      <c r="C24" t="s">
        <v>45</v>
      </c>
      <c r="D24" s="1">
        <v>104</v>
      </c>
    </row>
    <row r="25" spans="1:5" x14ac:dyDescent="0.25">
      <c r="A25" s="2">
        <v>44107</v>
      </c>
      <c r="B25">
        <v>1119</v>
      </c>
      <c r="C25" t="s">
        <v>45</v>
      </c>
      <c r="D25" s="1">
        <v>126.4</v>
      </c>
    </row>
    <row r="26" spans="1:5" x14ac:dyDescent="0.25">
      <c r="A26" s="2">
        <v>44205</v>
      </c>
      <c r="B26">
        <v>1125</v>
      </c>
      <c r="C26" t="s">
        <v>45</v>
      </c>
      <c r="D26" s="1">
        <v>104</v>
      </c>
    </row>
  </sheetData>
  <autoFilter ref="A1:D26" xr:uid="{1A875A15-9874-42E0-9255-E40C4DFD6DD9}">
    <sortState xmlns:xlrd2="http://schemas.microsoft.com/office/spreadsheetml/2017/richdata2" ref="A2:D26">
      <sortCondition ref="C1:C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B57D-524B-4A4E-9273-99A326C675E4}">
  <dimension ref="A1:N66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2" max="2" width="18.5703125" style="57" customWidth="1"/>
    <col min="3" max="3" width="12.5703125" style="18" bestFit="1" customWidth="1"/>
    <col min="4" max="4" width="12.140625" style="3" bestFit="1" customWidth="1"/>
    <col min="5" max="5" width="11.28515625" style="1" bestFit="1" customWidth="1"/>
    <col min="6" max="6" width="12.5703125" style="47" bestFit="1" customWidth="1"/>
    <col min="7" max="7" width="12.5703125" style="1" customWidth="1"/>
    <col min="8" max="8" width="11.5703125" style="1" bestFit="1" customWidth="1"/>
    <col min="9" max="9" width="11.5703125" bestFit="1" customWidth="1"/>
    <col min="10" max="10" width="13.140625" bestFit="1" customWidth="1"/>
    <col min="11" max="11" width="11.5703125" bestFit="1" customWidth="1"/>
    <col min="12" max="12" width="12.140625" style="1" bestFit="1" customWidth="1"/>
    <col min="13" max="13" width="12.140625" bestFit="1" customWidth="1"/>
  </cols>
  <sheetData>
    <row r="1" spans="1:14" s="62" customFormat="1" x14ac:dyDescent="0.25">
      <c r="A1" s="62" t="s">
        <v>0</v>
      </c>
      <c r="B1" s="63" t="s">
        <v>138</v>
      </c>
      <c r="C1" s="63" t="s">
        <v>137</v>
      </c>
      <c r="D1" s="63" t="s">
        <v>139</v>
      </c>
      <c r="E1" s="63" t="s">
        <v>140</v>
      </c>
      <c r="F1" s="63" t="s">
        <v>141</v>
      </c>
      <c r="G1" s="63" t="s">
        <v>142</v>
      </c>
      <c r="H1" s="63" t="s">
        <v>143</v>
      </c>
      <c r="I1" s="63" t="s">
        <v>144</v>
      </c>
      <c r="M1" s="64"/>
    </row>
    <row r="2" spans="1:14" x14ac:dyDescent="0.25">
      <c r="A2" t="s">
        <v>106</v>
      </c>
      <c r="B2" s="18">
        <v>169.9</v>
      </c>
      <c r="C2" s="18">
        <v>396</v>
      </c>
      <c r="D2" s="67"/>
      <c r="F2" s="1"/>
      <c r="I2" s="1"/>
      <c r="J2" s="4"/>
      <c r="K2" s="4"/>
      <c r="L2" s="4"/>
      <c r="M2" s="1"/>
    </row>
    <row r="3" spans="1:14" x14ac:dyDescent="0.25">
      <c r="A3" t="s">
        <v>132</v>
      </c>
      <c r="B3" s="18"/>
      <c r="D3" s="67"/>
      <c r="F3" s="1"/>
      <c r="I3" s="1"/>
      <c r="J3" s="4"/>
      <c r="K3" s="4"/>
      <c r="L3" s="4"/>
      <c r="M3" s="1"/>
    </row>
    <row r="4" spans="1:14" x14ac:dyDescent="0.25">
      <c r="A4" t="s">
        <v>12</v>
      </c>
      <c r="B4" s="18">
        <v>40</v>
      </c>
      <c r="C4" s="18">
        <v>0</v>
      </c>
      <c r="D4" s="1">
        <v>425.92</v>
      </c>
      <c r="E4" s="1">
        <v>284.58</v>
      </c>
      <c r="F4" s="1">
        <v>40</v>
      </c>
      <c r="G4" s="1">
        <v>618.08000000000004</v>
      </c>
      <c r="H4" s="1">
        <v>104.34</v>
      </c>
      <c r="I4" s="1">
        <v>188.81</v>
      </c>
      <c r="J4" s="4"/>
      <c r="K4" s="4"/>
      <c r="L4" s="4"/>
      <c r="M4" s="1"/>
    </row>
    <row r="5" spans="1:14" x14ac:dyDescent="0.25">
      <c r="A5" t="s">
        <v>14</v>
      </c>
      <c r="B5" s="18"/>
      <c r="D5" s="1"/>
      <c r="F5" s="1"/>
      <c r="I5" s="1"/>
      <c r="J5" s="4"/>
      <c r="K5" s="4"/>
      <c r="L5" s="4"/>
      <c r="M5" s="1"/>
    </row>
    <row r="6" spans="1:14" x14ac:dyDescent="0.25">
      <c r="A6" t="s">
        <v>15</v>
      </c>
      <c r="B6" s="18">
        <v>99</v>
      </c>
      <c r="D6" s="1">
        <v>417.08</v>
      </c>
      <c r="E6" s="1">
        <v>88.09</v>
      </c>
      <c r="F6" s="1">
        <v>95</v>
      </c>
      <c r="G6" s="1">
        <v>1024</v>
      </c>
      <c r="H6" s="1">
        <v>95.5</v>
      </c>
      <c r="I6" s="1">
        <v>316.93</v>
      </c>
      <c r="J6" s="4"/>
      <c r="K6" s="4"/>
      <c r="L6" s="4"/>
      <c r="M6" s="1"/>
    </row>
    <row r="7" spans="1:14" x14ac:dyDescent="0.25">
      <c r="A7" t="s">
        <v>16</v>
      </c>
      <c r="B7" s="18">
        <v>0</v>
      </c>
      <c r="C7" s="18">
        <v>25.8</v>
      </c>
      <c r="D7" s="1"/>
      <c r="F7" s="1"/>
      <c r="H7" s="1">
        <v>239.98</v>
      </c>
      <c r="I7" s="1"/>
      <c r="J7" s="4"/>
      <c r="K7" s="4"/>
      <c r="L7" s="4"/>
      <c r="M7" s="1"/>
    </row>
    <row r="8" spans="1:14" x14ac:dyDescent="0.25">
      <c r="A8" t="s">
        <v>17</v>
      </c>
      <c r="B8" s="18">
        <v>95</v>
      </c>
      <c r="C8" s="18">
        <v>192.53</v>
      </c>
      <c r="D8" s="1">
        <v>295</v>
      </c>
      <c r="E8" s="1">
        <v>300.85000000000002</v>
      </c>
      <c r="F8" s="1">
        <v>180</v>
      </c>
      <c r="G8" s="1">
        <v>601.49</v>
      </c>
      <c r="H8" s="1">
        <v>85</v>
      </c>
      <c r="I8" s="1">
        <v>797.92</v>
      </c>
      <c r="J8" s="4"/>
      <c r="K8" s="4"/>
      <c r="L8" s="4"/>
      <c r="M8" s="1"/>
      <c r="N8" s="4"/>
    </row>
    <row r="9" spans="1:14" x14ac:dyDescent="0.25">
      <c r="A9" t="s">
        <v>18</v>
      </c>
      <c r="B9" s="18">
        <v>450</v>
      </c>
      <c r="C9" s="18">
        <v>76.739999999999995</v>
      </c>
      <c r="D9" s="1">
        <v>0</v>
      </c>
      <c r="E9" s="1">
        <v>0</v>
      </c>
      <c r="F9" s="1">
        <v>95</v>
      </c>
      <c r="G9" s="1">
        <v>749.55</v>
      </c>
      <c r="H9" s="1">
        <v>95</v>
      </c>
      <c r="I9" s="1">
        <v>739.6</v>
      </c>
      <c r="J9" s="4"/>
      <c r="K9" s="4"/>
      <c r="L9" s="4"/>
      <c r="M9" s="1"/>
    </row>
    <row r="10" spans="1:14" x14ac:dyDescent="0.25">
      <c r="A10" t="s">
        <v>19</v>
      </c>
      <c r="B10" s="18"/>
      <c r="D10" s="1">
        <v>256</v>
      </c>
      <c r="E10" s="1">
        <v>282.45999999999998</v>
      </c>
      <c r="F10" s="1">
        <v>560</v>
      </c>
      <c r="G10" s="1">
        <v>1.59</v>
      </c>
      <c r="I10" s="1"/>
      <c r="J10" s="4"/>
      <c r="K10" s="4"/>
      <c r="L10" s="4"/>
      <c r="M10" s="1"/>
    </row>
    <row r="11" spans="1:14" x14ac:dyDescent="0.25">
      <c r="A11" t="s">
        <v>38</v>
      </c>
      <c r="B11" s="18"/>
      <c r="D11" s="1">
        <v>90</v>
      </c>
      <c r="F11" s="1"/>
      <c r="I11" s="1"/>
      <c r="J11" s="4"/>
      <c r="K11" s="4"/>
      <c r="L11" s="4"/>
      <c r="M11" s="1"/>
    </row>
    <row r="12" spans="1:14" x14ac:dyDescent="0.25">
      <c r="A12" t="s">
        <v>21</v>
      </c>
      <c r="B12" s="18">
        <v>1</v>
      </c>
      <c r="C12" s="18">
        <v>1.21</v>
      </c>
      <c r="D12" s="1"/>
      <c r="F12" s="1"/>
      <c r="I12" s="1"/>
      <c r="J12" s="4"/>
      <c r="K12" s="4"/>
      <c r="L12" s="4"/>
      <c r="M12" s="1"/>
    </row>
    <row r="13" spans="1:14" x14ac:dyDescent="0.25">
      <c r="A13" t="s">
        <v>10</v>
      </c>
      <c r="B13" s="18"/>
      <c r="D13" s="1">
        <v>450</v>
      </c>
      <c r="E13" s="1">
        <v>6158.3</v>
      </c>
      <c r="F13" s="1">
        <v>0</v>
      </c>
      <c r="G13" s="1">
        <v>4707.9799999999996</v>
      </c>
      <c r="H13" s="1">
        <v>95</v>
      </c>
      <c r="I13" s="1">
        <v>2264.65</v>
      </c>
      <c r="J13" s="4"/>
      <c r="K13" s="4"/>
      <c r="L13" s="4"/>
      <c r="M13" s="1"/>
    </row>
    <row r="14" spans="1:14" x14ac:dyDescent="0.25">
      <c r="A14" t="s">
        <v>56</v>
      </c>
      <c r="B14" s="18"/>
      <c r="D14" s="1"/>
      <c r="F14" s="1"/>
      <c r="I14" s="1"/>
      <c r="J14" s="4"/>
      <c r="K14" s="4"/>
      <c r="L14" s="4"/>
      <c r="M14" s="1"/>
    </row>
    <row r="15" spans="1:14" x14ac:dyDescent="0.25">
      <c r="A15" t="s">
        <v>35</v>
      </c>
      <c r="B15" s="18"/>
      <c r="D15" s="1"/>
      <c r="F15" s="1"/>
      <c r="I15" s="1"/>
      <c r="J15" s="4"/>
      <c r="K15" s="4"/>
      <c r="L15" s="4"/>
      <c r="M15" s="1"/>
    </row>
    <row r="16" spans="1:14" x14ac:dyDescent="0.25">
      <c r="A16" t="s">
        <v>52</v>
      </c>
      <c r="B16" s="18">
        <v>0</v>
      </c>
      <c r="C16" s="18">
        <v>0</v>
      </c>
      <c r="D16" s="1"/>
      <c r="F16" s="1"/>
      <c r="I16" s="1"/>
      <c r="J16" s="4"/>
      <c r="K16" s="4"/>
      <c r="L16" s="4"/>
      <c r="M16" s="1"/>
    </row>
    <row r="17" spans="1:13" x14ac:dyDescent="0.25">
      <c r="A17" t="s">
        <v>57</v>
      </c>
      <c r="B17" s="18"/>
      <c r="D17" s="1"/>
      <c r="F17" s="1"/>
      <c r="I17" s="1"/>
      <c r="J17" s="4"/>
      <c r="K17" s="4"/>
      <c r="L17" s="4"/>
      <c r="M17" s="1"/>
    </row>
    <row r="18" spans="1:13" x14ac:dyDescent="0.25">
      <c r="A18" t="s">
        <v>124</v>
      </c>
      <c r="B18" s="18"/>
      <c r="C18" s="18">
        <v>1.27</v>
      </c>
      <c r="D18" s="1"/>
      <c r="F18" s="1"/>
      <c r="I18" s="1"/>
      <c r="J18" s="4"/>
      <c r="K18" s="4"/>
      <c r="L18" s="4"/>
      <c r="M18" s="1"/>
    </row>
    <row r="19" spans="1:13" x14ac:dyDescent="0.25">
      <c r="A19" t="s">
        <v>107</v>
      </c>
      <c r="B19" s="18"/>
      <c r="D19" s="1"/>
      <c r="F19" s="1"/>
      <c r="I19" s="1"/>
      <c r="J19" s="4"/>
      <c r="K19" s="4"/>
      <c r="L19" s="4"/>
      <c r="M19" s="1"/>
    </row>
    <row r="20" spans="1:13" x14ac:dyDescent="0.25">
      <c r="A20" t="s">
        <v>46</v>
      </c>
      <c r="B20" s="18"/>
      <c r="D20" s="1"/>
      <c r="F20" s="1"/>
      <c r="I20" s="1"/>
      <c r="J20" s="4"/>
      <c r="K20" s="4"/>
      <c r="L20" s="4"/>
      <c r="M20" s="1"/>
    </row>
    <row r="21" spans="1:13" ht="15.75" thickBot="1" x14ac:dyDescent="0.3">
      <c r="A21" s="34"/>
      <c r="B21" s="58"/>
      <c r="C21" s="58"/>
      <c r="D21" s="35"/>
      <c r="E21" s="35"/>
      <c r="F21" s="35"/>
      <c r="G21" s="35"/>
      <c r="H21" s="35"/>
      <c r="I21" s="35"/>
      <c r="J21" s="34"/>
      <c r="K21" s="34"/>
      <c r="L21" s="34"/>
      <c r="M21" s="35"/>
    </row>
    <row r="22" spans="1:13" ht="15.75" thickTop="1" x14ac:dyDescent="0.25">
      <c r="A22" s="68" t="s">
        <v>145</v>
      </c>
      <c r="B22" s="18">
        <f>SUM(B2:B21)</f>
        <v>854.9</v>
      </c>
      <c r="D22" s="18">
        <f t="shared" ref="D22:H22" si="0">SUM(D2:D21)</f>
        <v>1934</v>
      </c>
      <c r="E22" s="18"/>
      <c r="F22" s="18">
        <f t="shared" si="0"/>
        <v>970</v>
      </c>
      <c r="G22" s="18"/>
      <c r="H22" s="18">
        <f t="shared" si="0"/>
        <v>714.81999999999994</v>
      </c>
      <c r="I22" s="18"/>
      <c r="K22" s="72">
        <f>SUM(B22:I22)</f>
        <v>4473.72</v>
      </c>
      <c r="M22" s="1"/>
    </row>
    <row r="23" spans="1:13" s="57" customFormat="1" ht="15.75" thickBot="1" x14ac:dyDescent="0.3">
      <c r="A23" s="69" t="s">
        <v>146</v>
      </c>
      <c r="B23" s="70"/>
      <c r="C23" s="70">
        <f t="shared" ref="C23:I23" si="1">SUM(C2:C21)</f>
        <v>693.55000000000007</v>
      </c>
      <c r="D23" s="70"/>
      <c r="E23" s="70">
        <f t="shared" si="1"/>
        <v>7114.2800000000007</v>
      </c>
      <c r="F23" s="70"/>
      <c r="G23" s="70">
        <f t="shared" si="1"/>
        <v>7702.69</v>
      </c>
      <c r="H23" s="70"/>
      <c r="I23" s="70">
        <f t="shared" si="1"/>
        <v>4307.91</v>
      </c>
      <c r="J23" s="71"/>
      <c r="K23" s="73">
        <f>SUM(B23:I23)</f>
        <v>19818.43</v>
      </c>
      <c r="L23" s="71"/>
      <c r="M23" s="70"/>
    </row>
    <row r="24" spans="1:13" s="57" customFormat="1" ht="15.75" thickTop="1" x14ac:dyDescent="0.25">
      <c r="A24" s="59" t="s">
        <v>41</v>
      </c>
      <c r="B24" s="74">
        <v>2020</v>
      </c>
      <c r="C24" s="18">
        <f>SUM(B22,C23)</f>
        <v>1548.45</v>
      </c>
      <c r="D24" s="74">
        <v>2019</v>
      </c>
      <c r="E24" s="18">
        <f t="shared" ref="E24:G24" si="2">SUM(D22,E23)</f>
        <v>9048.2800000000007</v>
      </c>
      <c r="F24" s="74">
        <v>2018</v>
      </c>
      <c r="G24" s="18">
        <f t="shared" si="2"/>
        <v>8672.6899999999987</v>
      </c>
      <c r="H24" s="74">
        <v>2017</v>
      </c>
      <c r="I24" s="18">
        <f>SUM(H22,I23)</f>
        <v>5022.7299999999996</v>
      </c>
      <c r="J24" s="56" t="s">
        <v>147</v>
      </c>
      <c r="K24" s="19">
        <f>SUM(K22:K23)</f>
        <v>24292.15</v>
      </c>
      <c r="M24" s="18"/>
    </row>
    <row r="25" spans="1:13" s="57" customFormat="1" x14ac:dyDescent="0.25">
      <c r="A25" s="59"/>
      <c r="B25" s="18"/>
      <c r="C25" s="18"/>
      <c r="E25" s="65"/>
      <c r="F25" s="66"/>
      <c r="G25" s="18"/>
      <c r="H25" s="18"/>
      <c r="I25" s="18"/>
      <c r="M25" s="18"/>
    </row>
    <row r="26" spans="1:13" s="57" customFormat="1" x14ac:dyDescent="0.25">
      <c r="A26" s="59"/>
      <c r="B26" s="18"/>
      <c r="C26" s="18"/>
      <c r="E26" s="65"/>
      <c r="F26" s="66"/>
      <c r="G26" s="18"/>
      <c r="H26" s="18"/>
      <c r="I26" s="18"/>
      <c r="M26" s="18"/>
    </row>
    <row r="27" spans="1:13" x14ac:dyDescent="0.25">
      <c r="B27" s="18"/>
      <c r="D27"/>
      <c r="E27" s="3"/>
      <c r="F27" s="1"/>
      <c r="H27" s="47"/>
      <c r="I27" s="1"/>
      <c r="L27"/>
      <c r="M27" s="1"/>
    </row>
    <row r="28" spans="1:13" x14ac:dyDescent="0.25">
      <c r="A28" s="8" t="s">
        <v>36</v>
      </c>
      <c r="B28" s="18"/>
      <c r="D28" s="18"/>
      <c r="F28" s="1"/>
      <c r="H28" s="47"/>
      <c r="I28" s="6"/>
      <c r="L28"/>
      <c r="M28" s="1"/>
    </row>
    <row r="29" spans="1:13" x14ac:dyDescent="0.25">
      <c r="A29" s="8" t="s">
        <v>24</v>
      </c>
      <c r="B29" s="18"/>
      <c r="D29" s="18"/>
      <c r="F29" s="12"/>
      <c r="H29" s="47"/>
      <c r="I29" s="7"/>
      <c r="L29"/>
      <c r="M29" s="1"/>
    </row>
    <row r="30" spans="1:13" x14ac:dyDescent="0.25">
      <c r="A30" s="8" t="s">
        <v>57</v>
      </c>
      <c r="B30" s="18"/>
      <c r="D30" s="18"/>
      <c r="F30" s="1"/>
      <c r="H30" s="47"/>
      <c r="I30" s="1"/>
      <c r="L30"/>
      <c r="M30" s="1"/>
    </row>
    <row r="31" spans="1:13" x14ac:dyDescent="0.25">
      <c r="A31" s="8" t="s">
        <v>106</v>
      </c>
      <c r="B31" s="18"/>
      <c r="D31" s="18"/>
      <c r="F31" s="1"/>
      <c r="H31" s="47"/>
      <c r="I31" s="1"/>
      <c r="L31"/>
      <c r="M31" s="1"/>
    </row>
    <row r="32" spans="1:13" x14ac:dyDescent="0.25">
      <c r="A32" s="8" t="s">
        <v>132</v>
      </c>
      <c r="B32" s="18"/>
      <c r="D32" s="18"/>
      <c r="F32" s="1"/>
      <c r="H32" s="47"/>
      <c r="I32" s="1"/>
      <c r="L32"/>
      <c r="M32" s="1"/>
    </row>
    <row r="33" spans="1:14" x14ac:dyDescent="0.25">
      <c r="A33" s="8" t="s">
        <v>12</v>
      </c>
      <c r="B33" s="18"/>
      <c r="D33" s="18"/>
      <c r="F33" s="1"/>
      <c r="H33" s="47"/>
      <c r="I33" s="1"/>
      <c r="L33"/>
      <c r="M33" s="1"/>
    </row>
    <row r="34" spans="1:14" x14ac:dyDescent="0.25">
      <c r="A34" s="8" t="s">
        <v>14</v>
      </c>
      <c r="B34" s="18"/>
      <c r="D34" s="18"/>
      <c r="F34" s="1"/>
      <c r="H34" s="47"/>
      <c r="I34" s="1"/>
      <c r="L34"/>
      <c r="M34" s="1"/>
    </row>
    <row r="35" spans="1:14" x14ac:dyDescent="0.25">
      <c r="A35" s="8" t="s">
        <v>15</v>
      </c>
      <c r="B35" s="18"/>
      <c r="D35" s="18"/>
      <c r="F35" s="1"/>
      <c r="H35" s="47"/>
      <c r="I35" s="1"/>
      <c r="L35"/>
      <c r="M35" s="13"/>
    </row>
    <row r="36" spans="1:14" x14ac:dyDescent="0.25">
      <c r="A36" s="8" t="s">
        <v>16</v>
      </c>
      <c r="B36" s="18"/>
      <c r="D36" s="18"/>
      <c r="F36" s="1"/>
      <c r="H36" s="47"/>
      <c r="I36" s="1"/>
      <c r="J36" s="1"/>
      <c r="L36"/>
      <c r="M36" s="1"/>
    </row>
    <row r="37" spans="1:14" x14ac:dyDescent="0.25">
      <c r="A37" s="8" t="s">
        <v>17</v>
      </c>
      <c r="B37" s="18"/>
      <c r="D37" s="18"/>
      <c r="F37" s="1"/>
      <c r="H37" s="47"/>
      <c r="I37" s="1"/>
      <c r="L37"/>
      <c r="M37" s="1"/>
    </row>
    <row r="38" spans="1:14" x14ac:dyDescent="0.25">
      <c r="A38" s="8" t="s">
        <v>18</v>
      </c>
      <c r="B38" s="18"/>
      <c r="D38" s="18"/>
      <c r="F38" s="1"/>
      <c r="H38" s="47"/>
      <c r="I38" s="1"/>
      <c r="J38" s="13"/>
      <c r="L38"/>
      <c r="M38" s="1"/>
    </row>
    <row r="39" spans="1:14" x14ac:dyDescent="0.25">
      <c r="A39" s="8" t="s">
        <v>19</v>
      </c>
      <c r="B39" s="18"/>
      <c r="D39" s="18"/>
      <c r="F39" s="1"/>
      <c r="H39" s="47"/>
      <c r="I39" s="1"/>
      <c r="J39" s="1"/>
      <c r="L39"/>
      <c r="M39" s="1"/>
    </row>
    <row r="40" spans="1:14" x14ac:dyDescent="0.25">
      <c r="A40" s="8" t="s">
        <v>38</v>
      </c>
      <c r="B40" s="18"/>
      <c r="D40" s="18"/>
      <c r="F40" s="1"/>
      <c r="H40" s="47"/>
      <c r="I40" s="1"/>
      <c r="J40" s="1"/>
      <c r="L40"/>
      <c r="M40" s="1"/>
    </row>
    <row r="41" spans="1:14" x14ac:dyDescent="0.25">
      <c r="A41" s="56" t="s">
        <v>21</v>
      </c>
      <c r="B41" s="18"/>
      <c r="D41" s="18"/>
      <c r="F41" s="1"/>
      <c r="H41" s="47"/>
      <c r="I41" s="1"/>
      <c r="L41"/>
      <c r="M41" s="1"/>
    </row>
    <row r="42" spans="1:14" x14ac:dyDescent="0.25">
      <c r="A42" s="8" t="s">
        <v>10</v>
      </c>
      <c r="B42" s="18"/>
      <c r="D42" s="18"/>
      <c r="F42" s="1"/>
      <c r="H42" s="47"/>
      <c r="I42" s="1"/>
      <c r="L42"/>
      <c r="M42" s="1"/>
    </row>
    <row r="43" spans="1:14" s="3" customFormat="1" x14ac:dyDescent="0.25">
      <c r="A43" s="8" t="s">
        <v>35</v>
      </c>
      <c r="B43" s="18"/>
      <c r="C43" s="18"/>
      <c r="D43" s="18"/>
      <c r="E43" s="1"/>
      <c r="F43" s="1"/>
      <c r="G43" s="1"/>
      <c r="H43" s="47"/>
      <c r="I43" s="1"/>
      <c r="J43" s="4"/>
      <c r="K43"/>
      <c r="L43"/>
      <c r="M43" s="1"/>
      <c r="N43"/>
    </row>
    <row r="44" spans="1:14" s="3" customFormat="1" x14ac:dyDescent="0.25">
      <c r="A44" s="8" t="s">
        <v>33</v>
      </c>
      <c r="B44" s="18"/>
      <c r="C44" s="18"/>
      <c r="D44" s="18"/>
      <c r="E44" s="1"/>
      <c r="F44" s="1"/>
      <c r="G44" s="1"/>
      <c r="H44" s="47"/>
      <c r="I44" s="1"/>
      <c r="J44"/>
      <c r="K44"/>
      <c r="L44"/>
      <c r="M44" s="1"/>
      <c r="N44"/>
    </row>
    <row r="45" spans="1:14" s="3" customFormat="1" x14ac:dyDescent="0.25">
      <c r="A45" s="8" t="s">
        <v>44</v>
      </c>
      <c r="B45" s="18"/>
      <c r="C45" s="18"/>
      <c r="D45" s="18"/>
      <c r="E45" s="1"/>
      <c r="F45" s="1"/>
      <c r="G45" s="1"/>
      <c r="H45" s="47"/>
      <c r="I45" s="1"/>
      <c r="J45"/>
      <c r="K45"/>
      <c r="L45"/>
      <c r="N45"/>
    </row>
    <row r="46" spans="1:14" x14ac:dyDescent="0.25">
      <c r="A46" s="8" t="s">
        <v>45</v>
      </c>
      <c r="B46" s="18"/>
      <c r="D46" s="18"/>
      <c r="F46" s="1"/>
      <c r="H46" s="47"/>
      <c r="I46" s="1"/>
      <c r="L46"/>
      <c r="M46" s="1"/>
    </row>
    <row r="47" spans="1:14" s="3" customFormat="1" x14ac:dyDescent="0.25">
      <c r="A47" s="8" t="s">
        <v>52</v>
      </c>
      <c r="B47" s="18"/>
      <c r="C47" s="18"/>
      <c r="D47" s="18"/>
      <c r="E47" s="1"/>
      <c r="F47" s="1"/>
      <c r="G47" s="1"/>
      <c r="H47" s="47"/>
      <c r="I47" s="1"/>
      <c r="J47"/>
      <c r="K47"/>
      <c r="L47"/>
      <c r="M47" s="1"/>
      <c r="N47"/>
    </row>
    <row r="48" spans="1:14" s="3" customFormat="1" x14ac:dyDescent="0.25">
      <c r="A48" s="8" t="s">
        <v>55</v>
      </c>
      <c r="B48" s="18"/>
      <c r="C48" s="18"/>
      <c r="E48" s="1"/>
      <c r="F48" s="1"/>
      <c r="G48" s="1"/>
      <c r="H48" s="47"/>
      <c r="I48" s="1"/>
      <c r="K48"/>
      <c r="L48"/>
      <c r="M48" s="1"/>
      <c r="N48"/>
    </row>
    <row r="49" spans="1:14" s="3" customFormat="1" x14ac:dyDescent="0.25">
      <c r="A49" s="8" t="s">
        <v>124</v>
      </c>
      <c r="B49" s="18"/>
      <c r="C49" s="18"/>
      <c r="E49" s="1"/>
      <c r="F49" s="1"/>
      <c r="G49" s="1"/>
      <c r="H49" s="47"/>
      <c r="I49" s="1"/>
      <c r="K49"/>
      <c r="L49"/>
      <c r="M49" s="1"/>
      <c r="N49"/>
    </row>
    <row r="50" spans="1:14" s="3" customFormat="1" x14ac:dyDescent="0.25">
      <c r="A50" s="8" t="s">
        <v>107</v>
      </c>
      <c r="B50" s="18"/>
      <c r="C50" s="18"/>
      <c r="E50" s="1"/>
      <c r="F50" s="1"/>
      <c r="G50" s="1"/>
      <c r="H50" s="47"/>
      <c r="I50" s="1"/>
      <c r="K50"/>
      <c r="L50"/>
      <c r="M50" s="1"/>
      <c r="N50"/>
    </row>
    <row r="51" spans="1:14" s="3" customFormat="1" x14ac:dyDescent="0.25">
      <c r="A51" s="8" t="s">
        <v>120</v>
      </c>
      <c r="B51" s="18"/>
      <c r="C51" s="18"/>
      <c r="D51" s="1"/>
      <c r="E51" s="1"/>
      <c r="F51" s="1"/>
      <c r="G51" s="1"/>
      <c r="H51" s="47"/>
      <c r="I51" s="1"/>
      <c r="K51"/>
      <c r="L51"/>
      <c r="M51" s="1"/>
      <c r="N51"/>
    </row>
    <row r="52" spans="1:14" s="3" customFormat="1" x14ac:dyDescent="0.25">
      <c r="A52" s="8" t="s">
        <v>131</v>
      </c>
      <c r="B52" s="18"/>
      <c r="C52" s="18"/>
      <c r="D52" s="1"/>
      <c r="E52" s="1"/>
      <c r="F52" s="1"/>
      <c r="G52" s="1"/>
      <c r="H52" s="47"/>
      <c r="I52" s="1"/>
      <c r="K52"/>
      <c r="L52"/>
      <c r="M52" s="1"/>
      <c r="N52"/>
    </row>
    <row r="53" spans="1:14" s="3" customFormat="1" x14ac:dyDescent="0.25">
      <c r="A53" s="8" t="s">
        <v>136</v>
      </c>
      <c r="B53" s="18"/>
      <c r="C53" s="18"/>
      <c r="D53" s="1"/>
      <c r="E53" s="1"/>
      <c r="F53" s="1"/>
      <c r="G53" s="1"/>
      <c r="H53" s="47"/>
      <c r="I53" s="1"/>
      <c r="K53"/>
      <c r="L53"/>
      <c r="M53" s="1"/>
      <c r="N53"/>
    </row>
    <row r="54" spans="1:14" s="3" customFormat="1" x14ac:dyDescent="0.25">
      <c r="A54" s="8" t="s">
        <v>130</v>
      </c>
      <c r="B54" s="18"/>
      <c r="C54" s="18"/>
      <c r="D54" s="1"/>
      <c r="E54" s="1"/>
      <c r="F54" s="1"/>
      <c r="G54" s="1"/>
      <c r="H54" s="47"/>
      <c r="I54" s="1"/>
      <c r="K54"/>
      <c r="L54"/>
      <c r="M54" s="1"/>
      <c r="N54"/>
    </row>
    <row r="55" spans="1:14" s="3" customFormat="1" ht="15.75" thickBot="1" x14ac:dyDescent="0.3">
      <c r="A55" s="37"/>
      <c r="B55" s="58"/>
      <c r="C55" s="58"/>
      <c r="D55" s="35"/>
      <c r="E55" s="36"/>
      <c r="F55" s="35"/>
      <c r="G55" s="35"/>
      <c r="H55" s="48"/>
      <c r="I55" s="35"/>
      <c r="J55" s="36"/>
      <c r="K55"/>
      <c r="L55"/>
      <c r="M55" s="1"/>
      <c r="N55"/>
    </row>
    <row r="56" spans="1:14" s="3" customFormat="1" ht="15.75" thickTop="1" x14ac:dyDescent="0.25">
      <c r="A56" s="8" t="s">
        <v>41</v>
      </c>
      <c r="B56" s="18"/>
      <c r="C56" s="18"/>
      <c r="D56" s="1"/>
      <c r="E56" s="1"/>
      <c r="F56" s="1"/>
      <c r="G56" s="1"/>
      <c r="H56" s="47"/>
      <c r="I56" s="1"/>
      <c r="K56"/>
      <c r="L56"/>
      <c r="M56" s="1"/>
      <c r="N56"/>
    </row>
    <row r="57" spans="1:14" s="3" customFormat="1" ht="15.75" thickBot="1" x14ac:dyDescent="0.3">
      <c r="A57" s="34" t="s">
        <v>106</v>
      </c>
      <c r="B57" s="58"/>
      <c r="C57" s="58"/>
      <c r="D57" s="49"/>
      <c r="E57" s="36"/>
      <c r="F57" s="35"/>
      <c r="G57" s="35"/>
      <c r="H57" s="48"/>
      <c r="I57" s="35"/>
      <c r="J57" s="34"/>
      <c r="K57"/>
      <c r="L57"/>
      <c r="M57" s="1"/>
      <c r="N57"/>
    </row>
    <row r="58" spans="1:14" s="3" customFormat="1" ht="15.75" thickTop="1" x14ac:dyDescent="0.25">
      <c r="A58" s="50"/>
      <c r="B58" s="60"/>
      <c r="C58" s="60"/>
      <c r="D58" s="51"/>
      <c r="E58" s="51"/>
      <c r="F58" s="51"/>
      <c r="G58" s="51"/>
      <c r="H58" s="54"/>
      <c r="I58" s="51"/>
      <c r="J58" s="50"/>
      <c r="K58"/>
      <c r="L58"/>
      <c r="M58" s="1"/>
      <c r="N58"/>
    </row>
    <row r="59" spans="1:14" s="53" customFormat="1" x14ac:dyDescent="0.25">
      <c r="A59" s="50"/>
      <c r="B59" s="60"/>
      <c r="C59" s="60"/>
      <c r="D59" s="52"/>
      <c r="F59" s="51"/>
      <c r="G59" s="51"/>
      <c r="H59" s="54"/>
      <c r="I59" s="51"/>
      <c r="J59" s="50"/>
      <c r="K59" s="50"/>
      <c r="L59" s="50"/>
      <c r="M59" s="51"/>
      <c r="N59" s="50"/>
    </row>
    <row r="60" spans="1:14" x14ac:dyDescent="0.25">
      <c r="A60" s="8" t="s">
        <v>40</v>
      </c>
      <c r="B60" s="61"/>
      <c r="C60" s="61"/>
      <c r="D60" s="28"/>
      <c r="E60" s="3"/>
      <c r="F60" s="1"/>
      <c r="H60" s="47"/>
      <c r="I60" s="1"/>
      <c r="L60"/>
      <c r="M60" s="1"/>
    </row>
    <row r="61" spans="1:14" x14ac:dyDescent="0.25">
      <c r="A61" s="8" t="s">
        <v>129</v>
      </c>
      <c r="B61" s="61"/>
      <c r="C61" s="61"/>
      <c r="D61" s="28"/>
      <c r="E61" s="3"/>
      <c r="F61" s="1"/>
      <c r="H61" s="47"/>
      <c r="I61" s="1"/>
      <c r="L61"/>
      <c r="M61" s="1"/>
    </row>
    <row r="62" spans="1:14" ht="15.75" thickBot="1" x14ac:dyDescent="0.3">
      <c r="A62" s="34"/>
      <c r="B62" s="58"/>
      <c r="C62" s="58"/>
      <c r="D62" s="43"/>
      <c r="E62" s="36"/>
      <c r="F62" s="35"/>
      <c r="G62" s="35"/>
      <c r="H62" s="48"/>
      <c r="I62" s="35"/>
      <c r="J62" s="34"/>
      <c r="L62"/>
      <c r="M62" s="1"/>
    </row>
    <row r="63" spans="1:14" ht="15.75" thickTop="1" x14ac:dyDescent="0.25">
      <c r="A63" t="s">
        <v>125</v>
      </c>
      <c r="B63" s="18"/>
      <c r="D63" s="1"/>
      <c r="F63" s="1"/>
      <c r="H63" s="47"/>
      <c r="I63" s="1"/>
      <c r="L63"/>
      <c r="M63" s="1"/>
    </row>
    <row r="64" spans="1:14" x14ac:dyDescent="0.25">
      <c r="B64" s="18"/>
      <c r="D64"/>
      <c r="E64" s="3"/>
      <c r="F64" s="1"/>
      <c r="H64" s="47"/>
      <c r="I64" s="1"/>
      <c r="L64"/>
      <c r="M64" s="1"/>
    </row>
    <row r="65" spans="2:13" x14ac:dyDescent="0.25">
      <c r="B65" s="18"/>
      <c r="D65"/>
      <c r="E65" s="3"/>
      <c r="F65" s="1"/>
      <c r="H65" s="47"/>
      <c r="I65" s="1"/>
      <c r="L65"/>
      <c r="M65" s="1"/>
    </row>
    <row r="66" spans="2:13" x14ac:dyDescent="0.25">
      <c r="B66" s="18"/>
      <c r="D66"/>
      <c r="E66" s="3"/>
      <c r="F66" s="1"/>
      <c r="H66" s="47"/>
      <c r="I66" s="1"/>
      <c r="L66"/>
      <c r="M66" s="1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EFDA-04F8-4E7C-978A-6352A6D7A50A}">
  <dimension ref="A1:N64"/>
  <sheetViews>
    <sheetView tabSelected="1" workbookViewId="0">
      <selection activeCell="G34" sqref="G34"/>
    </sheetView>
  </sheetViews>
  <sheetFormatPr defaultRowHeight="15" x14ac:dyDescent="0.25"/>
  <cols>
    <col min="1" max="1" width="12" bestFit="1" customWidth="1"/>
    <col min="2" max="2" width="12.5703125" style="1" bestFit="1" customWidth="1"/>
    <col min="3" max="3" width="12.5703125" bestFit="1" customWidth="1"/>
    <col min="4" max="4" width="12.140625" style="3" bestFit="1" customWidth="1"/>
    <col min="5" max="5" width="11.28515625" style="1" bestFit="1" customWidth="1"/>
    <col min="6" max="6" width="12.5703125" style="47" bestFit="1" customWidth="1"/>
    <col min="7" max="7" width="12.5703125" style="1" customWidth="1"/>
    <col min="8" max="8" width="11.5703125" style="1" bestFit="1" customWidth="1"/>
    <col min="9" max="9" width="11.5703125" bestFit="1" customWidth="1"/>
    <col min="10" max="10" width="13.140625" bestFit="1" customWidth="1"/>
    <col min="11" max="11" width="11.5703125" bestFit="1" customWidth="1"/>
    <col min="12" max="12" width="12.140625" style="1" bestFit="1" customWidth="1"/>
    <col min="13" max="13" width="12.140625" bestFit="1" customWidth="1"/>
  </cols>
  <sheetData>
    <row r="1" spans="1:14" x14ac:dyDescent="0.25">
      <c r="A1" t="s">
        <v>0</v>
      </c>
      <c r="B1" s="1" t="s">
        <v>1</v>
      </c>
      <c r="C1" s="1" t="s">
        <v>50</v>
      </c>
      <c r="D1" s="5">
        <v>0</v>
      </c>
      <c r="E1" s="3" t="s">
        <v>2</v>
      </c>
      <c r="F1" s="47" t="s">
        <v>133</v>
      </c>
      <c r="G1" s="1" t="s">
        <v>134</v>
      </c>
      <c r="H1" s="1" t="s">
        <v>3</v>
      </c>
      <c r="I1" s="1" t="s">
        <v>4</v>
      </c>
      <c r="J1" t="s">
        <v>5</v>
      </c>
      <c r="K1" t="s">
        <v>6</v>
      </c>
      <c r="L1" t="s">
        <v>7</v>
      </c>
      <c r="M1" s="1" t="s">
        <v>8</v>
      </c>
    </row>
    <row r="2" spans="1:14" x14ac:dyDescent="0.25">
      <c r="A2" t="s">
        <v>106</v>
      </c>
      <c r="B2" s="1">
        <v>16926.080000000002</v>
      </c>
      <c r="C2" s="18">
        <v>357</v>
      </c>
      <c r="D2" s="42"/>
      <c r="E2" s="3">
        <v>0.1399</v>
      </c>
      <c r="F2" s="47" t="str">
        <f t="shared" ref="F2:F21" si="0">IF(ISERROR(DATEDIF($A$24,D2,"m"))," ",DATEDIF($A$24,D2,"m"))</f>
        <v xml:space="preserve"> </v>
      </c>
      <c r="G2" s="1" t="str">
        <f>IF(ISERROR(B2/(F2+1))," ",B2/(F2+1))</f>
        <v xml:space="preserve"> </v>
      </c>
      <c r="H2" s="1">
        <v>578</v>
      </c>
      <c r="I2" s="1">
        <f t="shared" ref="I2:I21" si="1">B2/3</f>
        <v>5642.0266666666676</v>
      </c>
      <c r="J2" s="4">
        <f t="shared" ref="J2:J21" si="2">B2/6</f>
        <v>2821.0133333333338</v>
      </c>
      <c r="K2" s="4">
        <f t="shared" ref="K2:K21" si="3">J2/2</f>
        <v>1410.5066666666669</v>
      </c>
      <c r="L2" s="4">
        <f t="shared" ref="L2:L21" si="4">B2/12</f>
        <v>1410.5066666666669</v>
      </c>
      <c r="M2" s="1">
        <f t="shared" ref="M2:M21" si="5">(B2*E2)/12</f>
        <v>197.32988266666669</v>
      </c>
    </row>
    <row r="3" spans="1:14" x14ac:dyDescent="0.25">
      <c r="A3" t="s">
        <v>132</v>
      </c>
      <c r="B3" s="13">
        <v>4.25</v>
      </c>
      <c r="C3" s="55">
        <f>B3</f>
        <v>4.25</v>
      </c>
      <c r="D3" s="42"/>
      <c r="E3" s="3"/>
      <c r="F3" s="47" t="str">
        <f t="shared" si="0"/>
        <v xml:space="preserve"> </v>
      </c>
      <c r="G3" s="1" t="str">
        <f t="shared" ref="G3:G21" si="6">IF(ISERROR(B3/(F3+1))," ",B3/(F3+1))</f>
        <v xml:space="preserve"> </v>
      </c>
      <c r="I3" s="1">
        <f>B3/3</f>
        <v>1.4166666666666667</v>
      </c>
      <c r="J3" s="4">
        <f>B3/6</f>
        <v>0.70833333333333337</v>
      </c>
      <c r="K3" s="4">
        <f>J3/2</f>
        <v>0.35416666666666669</v>
      </c>
      <c r="L3" s="4">
        <f t="shared" si="4"/>
        <v>0.35416666666666669</v>
      </c>
      <c r="M3" s="1">
        <f t="shared" si="5"/>
        <v>0</v>
      </c>
    </row>
    <row r="4" spans="1:14" x14ac:dyDescent="0.25">
      <c r="A4" t="s">
        <v>12</v>
      </c>
      <c r="B4" s="1">
        <v>11644</v>
      </c>
      <c r="C4" s="18">
        <v>117</v>
      </c>
      <c r="D4" s="2">
        <v>44211</v>
      </c>
      <c r="E4" s="3"/>
      <c r="F4" s="47">
        <f t="shared" si="0"/>
        <v>0</v>
      </c>
      <c r="G4" s="1">
        <f t="shared" si="6"/>
        <v>11644</v>
      </c>
      <c r="H4" s="1">
        <v>405</v>
      </c>
      <c r="I4" s="1">
        <f t="shared" si="1"/>
        <v>3881.3333333333335</v>
      </c>
      <c r="J4" s="4">
        <f t="shared" si="2"/>
        <v>1940.6666666666667</v>
      </c>
      <c r="K4" s="4">
        <f t="shared" si="3"/>
        <v>970.33333333333337</v>
      </c>
      <c r="L4" s="4">
        <f>B4/12</f>
        <v>970.33333333333337</v>
      </c>
      <c r="M4" s="1">
        <f t="shared" si="5"/>
        <v>0</v>
      </c>
    </row>
    <row r="5" spans="1:14" x14ac:dyDescent="0.25">
      <c r="A5" t="s">
        <v>14</v>
      </c>
      <c r="B5" s="1">
        <v>0</v>
      </c>
      <c r="C5" s="18">
        <f>B5</f>
        <v>0</v>
      </c>
      <c r="D5" s="2"/>
      <c r="E5" s="3"/>
      <c r="F5" s="47" t="str">
        <f t="shared" si="0"/>
        <v xml:space="preserve"> </v>
      </c>
      <c r="G5" s="1" t="str">
        <f t="shared" si="6"/>
        <v xml:space="preserve"> </v>
      </c>
      <c r="I5" s="1">
        <f t="shared" si="1"/>
        <v>0</v>
      </c>
      <c r="J5" s="4">
        <f t="shared" si="2"/>
        <v>0</v>
      </c>
      <c r="K5" s="4">
        <f t="shared" si="3"/>
        <v>0</v>
      </c>
      <c r="L5" s="4">
        <f t="shared" si="4"/>
        <v>0</v>
      </c>
      <c r="M5" s="1">
        <f>(B5*E5)/12</f>
        <v>0</v>
      </c>
    </row>
    <row r="6" spans="1:14" x14ac:dyDescent="0.25">
      <c r="A6" t="s">
        <v>15</v>
      </c>
      <c r="B6" s="1">
        <v>990.82</v>
      </c>
      <c r="C6" s="1">
        <v>36</v>
      </c>
      <c r="D6" s="2"/>
      <c r="E6" s="3">
        <v>0.19989999999999999</v>
      </c>
      <c r="F6" s="47" t="str">
        <f t="shared" si="0"/>
        <v xml:space="preserve"> </v>
      </c>
      <c r="G6" s="1" t="str">
        <f t="shared" si="6"/>
        <v xml:space="preserve"> </v>
      </c>
      <c r="I6" s="1">
        <f t="shared" si="1"/>
        <v>330.27333333333337</v>
      </c>
      <c r="J6" s="4">
        <f t="shared" si="2"/>
        <v>165.13666666666668</v>
      </c>
      <c r="K6" s="4">
        <f t="shared" si="3"/>
        <v>82.568333333333342</v>
      </c>
      <c r="L6" s="4">
        <f t="shared" si="4"/>
        <v>82.568333333333342</v>
      </c>
      <c r="M6" s="1">
        <f t="shared" si="5"/>
        <v>16.505409833333335</v>
      </c>
    </row>
    <row r="7" spans="1:14" x14ac:dyDescent="0.25">
      <c r="A7" t="s">
        <v>16</v>
      </c>
      <c r="B7" s="1">
        <v>10629.08</v>
      </c>
      <c r="C7" s="18">
        <v>109</v>
      </c>
      <c r="D7" s="2">
        <v>44209</v>
      </c>
      <c r="E7" s="3"/>
      <c r="F7" s="47">
        <f t="shared" si="0"/>
        <v>0</v>
      </c>
      <c r="G7" s="1">
        <f t="shared" si="6"/>
        <v>10629.08</v>
      </c>
      <c r="H7" s="1">
        <v>426</v>
      </c>
      <c r="I7" s="1">
        <f t="shared" si="1"/>
        <v>3543.0266666666666</v>
      </c>
      <c r="J7" s="4">
        <f t="shared" si="2"/>
        <v>1771.5133333333333</v>
      </c>
      <c r="K7" s="4">
        <f t="shared" si="3"/>
        <v>885.75666666666666</v>
      </c>
      <c r="L7" s="4">
        <f t="shared" si="4"/>
        <v>885.75666666666666</v>
      </c>
      <c r="M7" s="1">
        <f t="shared" si="5"/>
        <v>0</v>
      </c>
    </row>
    <row r="8" spans="1:14" x14ac:dyDescent="0.25">
      <c r="A8" t="s">
        <v>17</v>
      </c>
      <c r="B8" s="1">
        <v>14.12</v>
      </c>
      <c r="C8" s="1">
        <f>B8</f>
        <v>14.12</v>
      </c>
      <c r="D8" s="2"/>
      <c r="E8" s="3"/>
      <c r="F8" s="47" t="str">
        <f t="shared" si="0"/>
        <v xml:space="preserve"> </v>
      </c>
      <c r="G8" s="1" t="str">
        <f t="shared" si="6"/>
        <v xml:space="preserve"> </v>
      </c>
      <c r="I8" s="1">
        <f t="shared" si="1"/>
        <v>4.7066666666666661</v>
      </c>
      <c r="J8" s="4">
        <f t="shared" si="2"/>
        <v>2.3533333333333331</v>
      </c>
      <c r="K8" s="4">
        <f t="shared" si="3"/>
        <v>1.1766666666666665</v>
      </c>
      <c r="L8" s="4">
        <f t="shared" si="4"/>
        <v>1.1766666666666665</v>
      </c>
      <c r="M8" s="1">
        <f t="shared" si="5"/>
        <v>0</v>
      </c>
      <c r="N8" s="4"/>
    </row>
    <row r="9" spans="1:14" x14ac:dyDescent="0.25">
      <c r="A9" t="s">
        <v>18</v>
      </c>
      <c r="B9" s="1">
        <v>4764.6000000000004</v>
      </c>
      <c r="C9" s="1">
        <v>100</v>
      </c>
      <c r="D9" s="2"/>
      <c r="E9" s="3">
        <v>0.15240000000000001</v>
      </c>
      <c r="F9" s="47" t="str">
        <f t="shared" si="0"/>
        <v xml:space="preserve"> </v>
      </c>
      <c r="G9" s="1" t="str">
        <f t="shared" si="6"/>
        <v xml:space="preserve"> </v>
      </c>
      <c r="I9" s="1">
        <f>B9/3</f>
        <v>1588.2</v>
      </c>
      <c r="J9" s="4">
        <f t="shared" si="2"/>
        <v>794.1</v>
      </c>
      <c r="K9" s="4">
        <f t="shared" si="3"/>
        <v>397.05</v>
      </c>
      <c r="L9" s="4">
        <f t="shared" si="4"/>
        <v>397.05</v>
      </c>
      <c r="M9" s="1">
        <f t="shared" si="5"/>
        <v>60.510420000000011</v>
      </c>
    </row>
    <row r="10" spans="1:14" x14ac:dyDescent="0.25">
      <c r="A10" t="s">
        <v>19</v>
      </c>
      <c r="C10" s="1">
        <v>250</v>
      </c>
      <c r="D10" s="2"/>
      <c r="E10" s="3"/>
      <c r="F10" s="47" t="str">
        <f t="shared" si="0"/>
        <v xml:space="preserve"> </v>
      </c>
      <c r="G10" s="1" t="str">
        <f>IF(ISERROR(B11/(F10+1))," ",B11/(F10+1))</f>
        <v xml:space="preserve"> </v>
      </c>
      <c r="I10" s="1">
        <f t="shared" ref="I10" si="7">B10/3</f>
        <v>0</v>
      </c>
      <c r="J10" s="4">
        <f>B10/6</f>
        <v>0</v>
      </c>
      <c r="K10" s="4">
        <f>J10/2</f>
        <v>0</v>
      </c>
      <c r="L10" s="4">
        <f t="shared" si="4"/>
        <v>0</v>
      </c>
      <c r="M10" s="1">
        <f t="shared" si="5"/>
        <v>0</v>
      </c>
    </row>
    <row r="11" spans="1:14" x14ac:dyDescent="0.25">
      <c r="A11" t="s">
        <v>19</v>
      </c>
      <c r="C11" s="1">
        <v>250</v>
      </c>
      <c r="D11" s="2"/>
      <c r="E11" s="3"/>
      <c r="F11" s="47" t="str">
        <f t="shared" si="0"/>
        <v xml:space="preserve"> </v>
      </c>
      <c r="G11" s="1" t="str">
        <f>IF(ISERROR(#REF!/(F11+1))," ",#REF!/(F11+1))</f>
        <v xml:space="preserve"> </v>
      </c>
      <c r="I11" s="1">
        <f>B11/3</f>
        <v>0</v>
      </c>
      <c r="J11" s="4">
        <f t="shared" ref="J11" si="8">B11/6</f>
        <v>0</v>
      </c>
      <c r="K11" s="4">
        <f t="shared" ref="K11" si="9">J11/2</f>
        <v>0</v>
      </c>
      <c r="L11" s="4">
        <f>B11/12</f>
        <v>0</v>
      </c>
      <c r="M11" s="1">
        <f t="shared" si="5"/>
        <v>0</v>
      </c>
    </row>
    <row r="12" spans="1:14" x14ac:dyDescent="0.25">
      <c r="A12" t="s">
        <v>38</v>
      </c>
      <c r="B12" s="1">
        <v>0</v>
      </c>
      <c r="C12" s="1">
        <f>B12</f>
        <v>0</v>
      </c>
      <c r="D12" s="2"/>
      <c r="E12" s="3"/>
      <c r="F12" s="47" t="str">
        <f t="shared" si="0"/>
        <v xml:space="preserve"> </v>
      </c>
      <c r="G12" s="1" t="str">
        <f t="shared" si="6"/>
        <v xml:space="preserve"> </v>
      </c>
      <c r="I12" s="1">
        <f t="shared" si="1"/>
        <v>0</v>
      </c>
      <c r="J12" s="4">
        <f t="shared" si="2"/>
        <v>0</v>
      </c>
      <c r="K12" s="4">
        <f t="shared" si="3"/>
        <v>0</v>
      </c>
      <c r="L12" s="4">
        <f t="shared" si="4"/>
        <v>0</v>
      </c>
      <c r="M12" s="1">
        <f t="shared" si="5"/>
        <v>0</v>
      </c>
    </row>
    <row r="13" spans="1:14" x14ac:dyDescent="0.25">
      <c r="A13" t="s">
        <v>21</v>
      </c>
      <c r="B13" s="1">
        <v>216.66</v>
      </c>
      <c r="C13" s="1">
        <v>37</v>
      </c>
      <c r="D13" s="2">
        <v>44358</v>
      </c>
      <c r="E13" s="3"/>
      <c r="F13" s="47">
        <f t="shared" si="0"/>
        <v>5</v>
      </c>
      <c r="G13" s="1">
        <f t="shared" si="6"/>
        <v>36.11</v>
      </c>
      <c r="I13" s="1">
        <f t="shared" si="1"/>
        <v>72.22</v>
      </c>
      <c r="J13" s="4">
        <f t="shared" si="2"/>
        <v>36.11</v>
      </c>
      <c r="K13" s="4">
        <f t="shared" si="3"/>
        <v>18.055</v>
      </c>
      <c r="L13" s="4">
        <f t="shared" si="4"/>
        <v>18.055</v>
      </c>
      <c r="M13" s="1">
        <f t="shared" si="5"/>
        <v>0</v>
      </c>
    </row>
    <row r="14" spans="1:14" x14ac:dyDescent="0.25">
      <c r="A14" t="s">
        <v>10</v>
      </c>
      <c r="C14" s="1"/>
      <c r="D14" s="2"/>
      <c r="E14" s="3"/>
      <c r="F14" s="47" t="str">
        <f t="shared" si="0"/>
        <v xml:space="preserve"> </v>
      </c>
      <c r="G14" s="1" t="str">
        <f t="shared" si="6"/>
        <v xml:space="preserve"> </v>
      </c>
      <c r="I14" s="1">
        <f t="shared" si="1"/>
        <v>0</v>
      </c>
      <c r="J14" s="4">
        <f t="shared" si="2"/>
        <v>0</v>
      </c>
      <c r="K14" s="4">
        <f t="shared" si="3"/>
        <v>0</v>
      </c>
      <c r="L14" s="4">
        <f t="shared" si="4"/>
        <v>0</v>
      </c>
      <c r="M14" s="1">
        <f t="shared" si="5"/>
        <v>0</v>
      </c>
    </row>
    <row r="15" spans="1:14" x14ac:dyDescent="0.25">
      <c r="A15" t="s">
        <v>56</v>
      </c>
      <c r="C15" s="1"/>
      <c r="D15" s="2"/>
      <c r="E15" s="3"/>
      <c r="F15" s="47" t="str">
        <f t="shared" si="0"/>
        <v xml:space="preserve"> </v>
      </c>
      <c r="G15" s="1" t="str">
        <f t="shared" si="6"/>
        <v xml:space="preserve"> </v>
      </c>
      <c r="I15" s="1">
        <f t="shared" si="1"/>
        <v>0</v>
      </c>
      <c r="J15" s="4">
        <f t="shared" si="2"/>
        <v>0</v>
      </c>
      <c r="K15" s="4">
        <f t="shared" si="3"/>
        <v>0</v>
      </c>
      <c r="L15" s="4">
        <f t="shared" si="4"/>
        <v>0</v>
      </c>
      <c r="M15" s="1">
        <f t="shared" si="5"/>
        <v>0</v>
      </c>
    </row>
    <row r="16" spans="1:14" x14ac:dyDescent="0.25">
      <c r="A16" t="s">
        <v>35</v>
      </c>
      <c r="B16" s="1">
        <v>0</v>
      </c>
      <c r="C16" s="1"/>
      <c r="D16" s="2"/>
      <c r="E16" s="3"/>
      <c r="F16" s="47" t="str">
        <f t="shared" si="0"/>
        <v xml:space="preserve"> </v>
      </c>
      <c r="G16" s="1" t="str">
        <f t="shared" si="6"/>
        <v xml:space="preserve"> </v>
      </c>
      <c r="I16" s="1">
        <f t="shared" si="1"/>
        <v>0</v>
      </c>
      <c r="J16" s="4">
        <f t="shared" si="2"/>
        <v>0</v>
      </c>
      <c r="K16" s="4">
        <f t="shared" si="3"/>
        <v>0</v>
      </c>
      <c r="L16" s="4">
        <f t="shared" si="4"/>
        <v>0</v>
      </c>
      <c r="M16" s="1">
        <f t="shared" si="5"/>
        <v>0</v>
      </c>
    </row>
    <row r="17" spans="1:13" x14ac:dyDescent="0.25">
      <c r="A17" t="s">
        <v>52</v>
      </c>
      <c r="B17" s="1">
        <v>267.33999999999997</v>
      </c>
      <c r="C17" s="1">
        <f>B17</f>
        <v>267.33999999999997</v>
      </c>
      <c r="D17" s="2"/>
      <c r="E17" s="3"/>
      <c r="F17" s="47" t="str">
        <f t="shared" si="0"/>
        <v xml:space="preserve"> </v>
      </c>
      <c r="G17" s="1" t="str">
        <f t="shared" si="6"/>
        <v xml:space="preserve"> </v>
      </c>
      <c r="I17" s="1">
        <f t="shared" si="1"/>
        <v>89.11333333333333</v>
      </c>
      <c r="J17" s="4">
        <f t="shared" si="2"/>
        <v>44.556666666666665</v>
      </c>
      <c r="K17" s="4">
        <f t="shared" si="3"/>
        <v>22.278333333333332</v>
      </c>
      <c r="L17" s="4">
        <f t="shared" si="4"/>
        <v>22.278333333333332</v>
      </c>
      <c r="M17" s="1">
        <f t="shared" si="5"/>
        <v>0</v>
      </c>
    </row>
    <row r="18" spans="1:13" x14ac:dyDescent="0.25">
      <c r="A18" t="s">
        <v>57</v>
      </c>
      <c r="B18" s="1">
        <v>36452.400000000001</v>
      </c>
      <c r="C18" s="1">
        <v>1382.89</v>
      </c>
      <c r="D18" s="2"/>
      <c r="E18" s="3">
        <v>0.14649999999999999</v>
      </c>
      <c r="F18" s="47" t="str">
        <f t="shared" si="0"/>
        <v xml:space="preserve"> </v>
      </c>
      <c r="G18" s="1" t="str">
        <f t="shared" si="6"/>
        <v xml:space="preserve"> </v>
      </c>
      <c r="I18" s="1">
        <f t="shared" si="1"/>
        <v>12150.800000000001</v>
      </c>
      <c r="J18" s="4">
        <f t="shared" si="2"/>
        <v>6075.4000000000005</v>
      </c>
      <c r="K18" s="4">
        <f t="shared" si="3"/>
        <v>3037.7000000000003</v>
      </c>
      <c r="L18" s="4">
        <f t="shared" si="4"/>
        <v>3037.7000000000003</v>
      </c>
      <c r="M18" s="1">
        <f t="shared" si="5"/>
        <v>445.02305000000001</v>
      </c>
    </row>
    <row r="19" spans="1:13" x14ac:dyDescent="0.25">
      <c r="A19" t="s">
        <v>124</v>
      </c>
      <c r="B19" s="1">
        <v>50.82</v>
      </c>
      <c r="C19" s="1">
        <f>B19</f>
        <v>50.82</v>
      </c>
      <c r="D19" s="2"/>
      <c r="E19" s="3"/>
      <c r="F19" s="47" t="str">
        <f t="shared" si="0"/>
        <v xml:space="preserve"> </v>
      </c>
      <c r="G19" s="1" t="str">
        <f t="shared" si="6"/>
        <v xml:space="preserve"> </v>
      </c>
      <c r="I19" s="1">
        <f t="shared" si="1"/>
        <v>16.940000000000001</v>
      </c>
      <c r="J19" s="4">
        <f t="shared" si="2"/>
        <v>8.4700000000000006</v>
      </c>
      <c r="K19" s="4">
        <f t="shared" si="3"/>
        <v>4.2350000000000003</v>
      </c>
      <c r="L19" s="4">
        <f t="shared" si="4"/>
        <v>4.2350000000000003</v>
      </c>
      <c r="M19" s="1">
        <f t="shared" si="5"/>
        <v>0</v>
      </c>
    </row>
    <row r="20" spans="1:13" x14ac:dyDescent="0.25">
      <c r="A20" t="s">
        <v>107</v>
      </c>
      <c r="B20" s="1">
        <v>0</v>
      </c>
      <c r="C20" s="1">
        <f>B20</f>
        <v>0</v>
      </c>
      <c r="D20" s="2"/>
      <c r="E20" s="3"/>
      <c r="F20" s="47" t="str">
        <f t="shared" si="0"/>
        <v xml:space="preserve"> </v>
      </c>
      <c r="G20" s="1" t="str">
        <f t="shared" si="6"/>
        <v xml:space="preserve"> </v>
      </c>
      <c r="I20" s="1">
        <f t="shared" si="1"/>
        <v>0</v>
      </c>
      <c r="J20" s="4">
        <f t="shared" si="2"/>
        <v>0</v>
      </c>
      <c r="K20" s="4">
        <f t="shared" si="3"/>
        <v>0</v>
      </c>
      <c r="L20" s="4">
        <f t="shared" si="4"/>
        <v>0</v>
      </c>
      <c r="M20" s="1">
        <f t="shared" si="5"/>
        <v>0</v>
      </c>
    </row>
    <row r="21" spans="1:13" x14ac:dyDescent="0.25">
      <c r="A21" t="s">
        <v>46</v>
      </c>
      <c r="B21" s="1">
        <v>37554.69</v>
      </c>
      <c r="C21" s="1">
        <v>847.62</v>
      </c>
      <c r="D21" s="2"/>
      <c r="E21" s="3">
        <v>2.9000000000000001E-2</v>
      </c>
      <c r="F21" s="47" t="str">
        <f t="shared" si="0"/>
        <v xml:space="preserve"> </v>
      </c>
      <c r="G21" s="1" t="str">
        <f t="shared" si="6"/>
        <v xml:space="preserve"> </v>
      </c>
      <c r="I21" s="1">
        <f t="shared" si="1"/>
        <v>12518.230000000001</v>
      </c>
      <c r="J21" s="4">
        <f t="shared" si="2"/>
        <v>6259.1150000000007</v>
      </c>
      <c r="K21" s="4">
        <f t="shared" si="3"/>
        <v>3129.5575000000003</v>
      </c>
      <c r="L21" s="4">
        <f t="shared" si="4"/>
        <v>3129.5575000000003</v>
      </c>
      <c r="M21" s="1">
        <f t="shared" si="5"/>
        <v>90.757167500000023</v>
      </c>
    </row>
    <row r="22" spans="1:13" ht="15.75" thickBot="1" x14ac:dyDescent="0.3">
      <c r="A22" s="34"/>
      <c r="B22" s="35"/>
      <c r="C22" s="35"/>
      <c r="D22" s="34"/>
      <c r="E22" s="36"/>
      <c r="F22" s="48"/>
      <c r="G22" s="35"/>
      <c r="H22" s="35"/>
      <c r="I22" s="35"/>
      <c r="J22" s="34"/>
      <c r="K22" s="34"/>
      <c r="L22" s="34"/>
      <c r="M22" s="35"/>
    </row>
    <row r="23" spans="1:13" ht="15.75" thickTop="1" x14ac:dyDescent="0.25">
      <c r="B23" s="1">
        <f>SUM(B2:B22)</f>
        <v>119514.86000000002</v>
      </c>
      <c r="C23" s="1">
        <f>SUM(C2:C22)</f>
        <v>3823.04</v>
      </c>
      <c r="D23"/>
      <c r="E23" s="3">
        <f>AVERAGE(E2:E22)</f>
        <v>0.13353999999999999</v>
      </c>
      <c r="G23" s="1">
        <f t="shared" ref="G23:M23" si="10">SUM(G2:G22)</f>
        <v>22309.190000000002</v>
      </c>
      <c r="H23" s="1">
        <f t="shared" si="10"/>
        <v>1409</v>
      </c>
      <c r="I23" s="1">
        <f>SUM(I2:I22)</f>
        <v>39838.286666666667</v>
      </c>
      <c r="J23" s="1">
        <f>SUM(J2:J22)</f>
        <v>19919.143333333333</v>
      </c>
      <c r="K23" s="1">
        <f t="shared" si="10"/>
        <v>9959.5716666666667</v>
      </c>
      <c r="L23" s="1">
        <f t="shared" si="10"/>
        <v>9959.5716666666667</v>
      </c>
      <c r="M23" s="1">
        <f t="shared" si="10"/>
        <v>810.12593000000004</v>
      </c>
    </row>
    <row r="24" spans="1:13" x14ac:dyDescent="0.25">
      <c r="A24" s="46">
        <v>44201</v>
      </c>
      <c r="C24" s="1"/>
      <c r="D24"/>
      <c r="E24" s="3"/>
      <c r="I24" s="1"/>
      <c r="L24"/>
      <c r="M24" s="1">
        <f>(B23*E23)/12</f>
        <v>1330.0012003666668</v>
      </c>
    </row>
    <row r="25" spans="1:13" x14ac:dyDescent="0.25">
      <c r="C25" s="1"/>
      <c r="D25"/>
      <c r="E25" s="3"/>
      <c r="F25" s="1"/>
      <c r="H25" s="47"/>
      <c r="I25" s="1"/>
      <c r="L25"/>
      <c r="M25" s="1"/>
    </row>
    <row r="26" spans="1:13" x14ac:dyDescent="0.25">
      <c r="A26" s="8" t="s">
        <v>36</v>
      </c>
      <c r="B26" s="18"/>
      <c r="C26" s="18"/>
      <c r="D26" s="18">
        <v>3034.48</v>
      </c>
      <c r="E26" s="1">
        <f t="shared" ref="E26:E52" si="11">D26</f>
        <v>3034.48</v>
      </c>
      <c r="F26" s="1"/>
      <c r="H26" s="47"/>
      <c r="I26" s="6"/>
      <c r="L26"/>
      <c r="M26" s="1"/>
    </row>
    <row r="27" spans="1:13" x14ac:dyDescent="0.25">
      <c r="A27" s="8" t="s">
        <v>24</v>
      </c>
      <c r="B27" s="15">
        <f>$C$21</f>
        <v>847.62</v>
      </c>
      <c r="C27" s="18"/>
      <c r="D27" s="18"/>
      <c r="E27" s="1">
        <f t="shared" si="11"/>
        <v>0</v>
      </c>
      <c r="F27" s="12"/>
      <c r="H27" s="47"/>
      <c r="I27" s="7"/>
      <c r="L27"/>
      <c r="M27" s="1"/>
    </row>
    <row r="28" spans="1:13" x14ac:dyDescent="0.25">
      <c r="A28" s="8" t="s">
        <v>57</v>
      </c>
      <c r="B28" s="15">
        <f>$C$18</f>
        <v>1382.89</v>
      </c>
      <c r="C28" s="18"/>
      <c r="D28" s="18"/>
      <c r="E28" s="1">
        <f t="shared" si="11"/>
        <v>0</v>
      </c>
      <c r="F28" s="1"/>
      <c r="H28" s="47"/>
      <c r="I28" s="1"/>
      <c r="L28"/>
      <c r="M28" s="1"/>
    </row>
    <row r="29" spans="1:13" x14ac:dyDescent="0.25">
      <c r="A29" s="8" t="s">
        <v>106</v>
      </c>
      <c r="B29" s="15">
        <f>$C$2</f>
        <v>357</v>
      </c>
      <c r="C29" s="18"/>
      <c r="D29" s="18"/>
      <c r="E29" s="1">
        <f t="shared" si="11"/>
        <v>0</v>
      </c>
      <c r="F29" s="1"/>
      <c r="H29" s="47"/>
      <c r="I29" s="1"/>
      <c r="L29"/>
      <c r="M29" s="1"/>
    </row>
    <row r="30" spans="1:13" x14ac:dyDescent="0.25">
      <c r="A30" s="8" t="s">
        <v>132</v>
      </c>
      <c r="B30" s="15">
        <f>$C$3</f>
        <v>4.25</v>
      </c>
      <c r="C30" s="18"/>
      <c r="D30" s="18"/>
      <c r="E30" s="1">
        <f t="shared" si="11"/>
        <v>0</v>
      </c>
      <c r="F30" s="1"/>
      <c r="H30" s="47"/>
      <c r="I30" s="1"/>
      <c r="L30"/>
      <c r="M30" s="1"/>
    </row>
    <row r="31" spans="1:13" x14ac:dyDescent="0.25">
      <c r="A31" s="8" t="s">
        <v>12</v>
      </c>
      <c r="B31" s="15">
        <f>$C$4</f>
        <v>117</v>
      </c>
      <c r="C31" s="18"/>
      <c r="D31" s="18"/>
      <c r="E31" s="1">
        <f t="shared" si="11"/>
        <v>0</v>
      </c>
      <c r="F31" s="1"/>
      <c r="H31" s="47"/>
      <c r="I31" s="1"/>
      <c r="L31"/>
      <c r="M31" s="1"/>
    </row>
    <row r="32" spans="1:13" x14ac:dyDescent="0.25">
      <c r="A32" s="8" t="s">
        <v>14</v>
      </c>
      <c r="B32" s="18">
        <f>$C$5</f>
        <v>0</v>
      </c>
      <c r="C32" s="18">
        <f t="shared" ref="C32" si="12">B32</f>
        <v>0</v>
      </c>
      <c r="D32" s="18"/>
      <c r="E32" s="1">
        <f t="shared" si="11"/>
        <v>0</v>
      </c>
      <c r="F32" s="1"/>
      <c r="H32" s="47"/>
      <c r="I32" s="1"/>
      <c r="L32"/>
      <c r="M32" s="1"/>
    </row>
    <row r="33" spans="1:14" x14ac:dyDescent="0.25">
      <c r="A33" s="8" t="s">
        <v>15</v>
      </c>
      <c r="B33" s="15">
        <f>$C$6</f>
        <v>36</v>
      </c>
      <c r="C33" s="18"/>
      <c r="D33" s="18"/>
      <c r="E33" s="1">
        <f t="shared" si="11"/>
        <v>0</v>
      </c>
      <c r="F33" s="1"/>
      <c r="H33" s="47"/>
      <c r="I33" s="1"/>
      <c r="L33"/>
      <c r="M33" s="13"/>
    </row>
    <row r="34" spans="1:14" x14ac:dyDescent="0.25">
      <c r="A34" s="8" t="s">
        <v>16</v>
      </c>
      <c r="B34" s="15">
        <f>$C$7</f>
        <v>109</v>
      </c>
      <c r="C34" s="18"/>
      <c r="D34" s="18"/>
      <c r="E34" s="1">
        <f t="shared" si="11"/>
        <v>0</v>
      </c>
      <c r="F34" s="1"/>
      <c r="H34" s="47"/>
      <c r="I34" s="1"/>
      <c r="J34" s="1"/>
      <c r="L34"/>
      <c r="M34" s="1"/>
    </row>
    <row r="35" spans="1:14" x14ac:dyDescent="0.25">
      <c r="A35" s="8" t="s">
        <v>17</v>
      </c>
      <c r="B35" s="15">
        <f>$C$8</f>
        <v>14.12</v>
      </c>
      <c r="C35" s="18"/>
      <c r="D35" s="18"/>
      <c r="E35" s="1">
        <f t="shared" si="11"/>
        <v>0</v>
      </c>
      <c r="F35" s="1"/>
      <c r="H35" s="47"/>
      <c r="I35" s="1"/>
      <c r="L35"/>
      <c r="M35" s="1"/>
    </row>
    <row r="36" spans="1:14" x14ac:dyDescent="0.25">
      <c r="A36" s="8" t="s">
        <v>18</v>
      </c>
      <c r="B36" s="15">
        <f>$C$9</f>
        <v>100</v>
      </c>
      <c r="C36" s="18"/>
      <c r="D36" s="18"/>
      <c r="E36" s="1">
        <f t="shared" si="11"/>
        <v>0</v>
      </c>
      <c r="F36" s="1"/>
      <c r="H36" s="47"/>
      <c r="I36" s="1"/>
      <c r="J36" s="13"/>
      <c r="L36"/>
      <c r="M36" s="1"/>
    </row>
    <row r="37" spans="1:14" x14ac:dyDescent="0.25">
      <c r="A37" s="8" t="s">
        <v>19</v>
      </c>
      <c r="B37" s="15">
        <v>250</v>
      </c>
      <c r="C37" s="18"/>
      <c r="D37" s="15">
        <v>250</v>
      </c>
      <c r="F37" s="1"/>
      <c r="H37" s="47"/>
      <c r="I37" s="1"/>
      <c r="J37" s="1"/>
      <c r="L37"/>
      <c r="M37" s="1"/>
    </row>
    <row r="38" spans="1:14" x14ac:dyDescent="0.25">
      <c r="A38" s="8" t="s">
        <v>38</v>
      </c>
      <c r="B38" s="18">
        <f>$C$12</f>
        <v>0</v>
      </c>
      <c r="C38" s="18">
        <f t="shared" ref="C38:C52" si="13">B38</f>
        <v>0</v>
      </c>
      <c r="D38" s="18"/>
      <c r="E38" s="1">
        <f t="shared" si="11"/>
        <v>0</v>
      </c>
      <c r="F38" s="1"/>
      <c r="H38" s="47"/>
      <c r="I38" s="1"/>
      <c r="J38" s="1"/>
      <c r="L38"/>
      <c r="M38" s="1"/>
    </row>
    <row r="39" spans="1:14" x14ac:dyDescent="0.25">
      <c r="A39" s="56" t="s">
        <v>21</v>
      </c>
      <c r="B39" s="15">
        <f>$C$13</f>
        <v>37</v>
      </c>
      <c r="C39" s="18"/>
      <c r="D39" s="18"/>
      <c r="E39" s="1">
        <f t="shared" si="11"/>
        <v>0</v>
      </c>
      <c r="F39" s="1"/>
      <c r="H39" s="47"/>
      <c r="I39" s="1"/>
      <c r="L39"/>
      <c r="M39" s="1"/>
    </row>
    <row r="40" spans="1:14" x14ac:dyDescent="0.25">
      <c r="A40" s="8" t="s">
        <v>10</v>
      </c>
      <c r="B40" s="18">
        <f>$C$16</f>
        <v>0</v>
      </c>
      <c r="C40" s="18">
        <f t="shared" si="13"/>
        <v>0</v>
      </c>
      <c r="D40" s="18"/>
      <c r="E40" s="1">
        <f t="shared" si="11"/>
        <v>0</v>
      </c>
      <c r="F40" s="1"/>
      <c r="H40" s="47"/>
      <c r="I40" s="1"/>
      <c r="L40"/>
      <c r="M40" s="1"/>
    </row>
    <row r="41" spans="1:14" s="3" customFormat="1" x14ac:dyDescent="0.25">
      <c r="A41" s="8" t="s">
        <v>35</v>
      </c>
      <c r="B41" s="18">
        <f>$C$16</f>
        <v>0</v>
      </c>
      <c r="C41" s="18">
        <f t="shared" si="13"/>
        <v>0</v>
      </c>
      <c r="D41" s="18"/>
      <c r="E41" s="1">
        <f t="shared" si="11"/>
        <v>0</v>
      </c>
      <c r="F41" s="1"/>
      <c r="G41" s="1"/>
      <c r="H41" s="47"/>
      <c r="I41" s="1"/>
      <c r="J41" s="4"/>
      <c r="K41"/>
      <c r="L41"/>
      <c r="M41" s="1"/>
      <c r="N41"/>
    </row>
    <row r="42" spans="1:14" s="3" customFormat="1" x14ac:dyDescent="0.25">
      <c r="A42" s="8" t="s">
        <v>33</v>
      </c>
      <c r="B42" s="15">
        <v>392.28</v>
      </c>
      <c r="C42" s="18"/>
      <c r="D42" s="18"/>
      <c r="E42" s="1">
        <f t="shared" si="11"/>
        <v>0</v>
      </c>
      <c r="F42" s="1"/>
      <c r="G42" s="1"/>
      <c r="H42" s="47"/>
      <c r="I42" s="1"/>
      <c r="J42"/>
      <c r="K42"/>
      <c r="L42"/>
      <c r="M42" s="1"/>
      <c r="N42"/>
    </row>
    <row r="43" spans="1:14" s="3" customFormat="1" x14ac:dyDescent="0.25">
      <c r="A43" s="8" t="s">
        <v>44</v>
      </c>
      <c r="B43" s="15">
        <v>269.76</v>
      </c>
      <c r="C43" s="18"/>
      <c r="D43" s="18"/>
      <c r="E43" s="1">
        <f t="shared" si="11"/>
        <v>0</v>
      </c>
      <c r="F43" s="1"/>
      <c r="G43" s="1"/>
      <c r="H43" s="47"/>
      <c r="I43" s="1"/>
      <c r="J43"/>
      <c r="K43"/>
      <c r="L43"/>
      <c r="N43"/>
    </row>
    <row r="44" spans="1:14" x14ac:dyDescent="0.25">
      <c r="A44" s="8" t="s">
        <v>45</v>
      </c>
      <c r="B44" s="18">
        <v>0</v>
      </c>
      <c r="C44" s="18">
        <f t="shared" si="13"/>
        <v>0</v>
      </c>
      <c r="D44" s="18"/>
      <c r="E44" s="1">
        <f t="shared" si="11"/>
        <v>0</v>
      </c>
      <c r="F44" s="1"/>
      <c r="H44" s="47"/>
      <c r="I44" s="1"/>
      <c r="L44"/>
      <c r="M44" s="1"/>
    </row>
    <row r="45" spans="1:14" s="3" customFormat="1" x14ac:dyDescent="0.25">
      <c r="A45" s="8" t="s">
        <v>52</v>
      </c>
      <c r="B45" s="18">
        <f>C14</f>
        <v>0</v>
      </c>
      <c r="C45" s="18">
        <f t="shared" si="13"/>
        <v>0</v>
      </c>
      <c r="D45" s="18">
        <v>341.02</v>
      </c>
      <c r="E45" s="1">
        <f>D45</f>
        <v>341.02</v>
      </c>
      <c r="F45" s="1"/>
      <c r="G45" s="1"/>
      <c r="H45" s="47"/>
      <c r="I45" s="1"/>
      <c r="J45"/>
      <c r="K45"/>
      <c r="L45"/>
      <c r="M45" s="1"/>
      <c r="N45"/>
    </row>
    <row r="46" spans="1:14" s="3" customFormat="1" x14ac:dyDescent="0.25">
      <c r="A46" s="8" t="s">
        <v>55</v>
      </c>
      <c r="B46" s="18">
        <f>$B$15</f>
        <v>0</v>
      </c>
      <c r="C46" s="18">
        <f t="shared" si="13"/>
        <v>0</v>
      </c>
      <c r="E46" s="1">
        <f t="shared" si="11"/>
        <v>0</v>
      </c>
      <c r="F46" s="1"/>
      <c r="G46" s="1"/>
      <c r="H46" s="47"/>
      <c r="I46" s="1"/>
      <c r="K46"/>
      <c r="L46"/>
      <c r="M46" s="1"/>
      <c r="N46"/>
    </row>
    <row r="47" spans="1:14" s="3" customFormat="1" x14ac:dyDescent="0.25">
      <c r="A47" s="8" t="s">
        <v>124</v>
      </c>
      <c r="B47" s="15">
        <f>$C$19</f>
        <v>50.82</v>
      </c>
      <c r="C47" s="18"/>
      <c r="E47" s="1">
        <f t="shared" si="11"/>
        <v>0</v>
      </c>
      <c r="F47" s="1"/>
      <c r="G47" s="1"/>
      <c r="H47" s="47"/>
      <c r="I47" s="1"/>
      <c r="K47"/>
      <c r="L47"/>
      <c r="M47" s="1"/>
      <c r="N47"/>
    </row>
    <row r="48" spans="1:14" s="3" customFormat="1" x14ac:dyDescent="0.25">
      <c r="A48" s="8" t="s">
        <v>107</v>
      </c>
      <c r="B48" s="18">
        <f>$C$20</f>
        <v>0</v>
      </c>
      <c r="C48" s="18">
        <f t="shared" si="13"/>
        <v>0</v>
      </c>
      <c r="E48" s="1">
        <f t="shared" si="11"/>
        <v>0</v>
      </c>
      <c r="F48" s="1"/>
      <c r="G48" s="1"/>
      <c r="H48" s="47"/>
      <c r="I48" s="1"/>
      <c r="K48"/>
      <c r="L48"/>
      <c r="M48" s="1"/>
      <c r="N48"/>
    </row>
    <row r="49" spans="1:14" s="3" customFormat="1" x14ac:dyDescent="0.25">
      <c r="A49" s="8" t="s">
        <v>120</v>
      </c>
      <c r="B49" s="18">
        <v>125</v>
      </c>
      <c r="C49" s="18">
        <f t="shared" si="13"/>
        <v>125</v>
      </c>
      <c r="D49" s="1"/>
      <c r="E49" s="1">
        <f t="shared" si="11"/>
        <v>0</v>
      </c>
      <c r="F49" s="1"/>
      <c r="G49" s="1"/>
      <c r="H49" s="47"/>
      <c r="I49" s="1"/>
      <c r="K49"/>
      <c r="L49"/>
      <c r="M49" s="1"/>
      <c r="N49"/>
    </row>
    <row r="50" spans="1:14" s="3" customFormat="1" x14ac:dyDescent="0.25">
      <c r="A50" s="8" t="s">
        <v>131</v>
      </c>
      <c r="B50" s="18"/>
      <c r="C50" s="18">
        <f t="shared" si="13"/>
        <v>0</v>
      </c>
      <c r="D50" s="1">
        <v>79.989999999999995</v>
      </c>
      <c r="E50" s="1"/>
      <c r="F50" s="1"/>
      <c r="G50" s="1"/>
      <c r="H50" s="47"/>
      <c r="I50" s="1"/>
      <c r="K50"/>
      <c r="L50"/>
      <c r="M50" s="1"/>
      <c r="N50"/>
    </row>
    <row r="51" spans="1:14" s="3" customFormat="1" x14ac:dyDescent="0.25">
      <c r="A51" s="8" t="s">
        <v>136</v>
      </c>
      <c r="B51" s="18"/>
      <c r="C51" s="18">
        <f t="shared" si="13"/>
        <v>0</v>
      </c>
      <c r="D51" s="1"/>
      <c r="E51" s="1">
        <f t="shared" si="11"/>
        <v>0</v>
      </c>
      <c r="F51" s="1"/>
      <c r="G51" s="1"/>
      <c r="H51" s="47"/>
      <c r="I51" s="1"/>
      <c r="K51"/>
      <c r="L51"/>
      <c r="M51" s="1"/>
      <c r="N51"/>
    </row>
    <row r="52" spans="1:14" s="3" customFormat="1" x14ac:dyDescent="0.25">
      <c r="A52" s="8" t="s">
        <v>130</v>
      </c>
      <c r="B52" s="18"/>
      <c r="C52" s="18">
        <f t="shared" si="13"/>
        <v>0</v>
      </c>
      <c r="D52" s="1">
        <v>500</v>
      </c>
      <c r="E52" s="1">
        <f t="shared" si="11"/>
        <v>500</v>
      </c>
      <c r="F52" s="1"/>
      <c r="G52" s="1"/>
      <c r="H52" s="47"/>
      <c r="I52" s="1"/>
      <c r="K52"/>
      <c r="L52"/>
      <c r="M52" s="1"/>
      <c r="N52"/>
    </row>
    <row r="53" spans="1:14" s="3" customFormat="1" ht="15.75" thickBot="1" x14ac:dyDescent="0.3">
      <c r="A53" s="37"/>
      <c r="B53" s="35"/>
      <c r="C53" s="35"/>
      <c r="D53" s="35" t="s">
        <v>154</v>
      </c>
      <c r="E53" s="76">
        <f>C54</f>
        <v>125</v>
      </c>
      <c r="F53" s="35"/>
      <c r="G53" s="35"/>
      <c r="H53" s="48"/>
      <c r="I53" s="35"/>
      <c r="J53" s="36"/>
      <c r="K53"/>
      <c r="L53"/>
      <c r="M53" s="1"/>
      <c r="N53"/>
    </row>
    <row r="54" spans="1:14" s="3" customFormat="1" ht="15.75" thickTop="1" x14ac:dyDescent="0.25">
      <c r="A54" s="8" t="s">
        <v>41</v>
      </c>
      <c r="B54" s="1">
        <f>SUM(B26:B53)-313.83</f>
        <v>3778.9100000000003</v>
      </c>
      <c r="C54" s="1">
        <f>SUM(C26:C53)</f>
        <v>125</v>
      </c>
      <c r="D54" s="1">
        <f>SUM(D26:D53)</f>
        <v>4205.49</v>
      </c>
      <c r="E54" s="1">
        <f>SUM(E27:E53)</f>
        <v>966.02</v>
      </c>
      <c r="F54" s="1"/>
      <c r="G54" s="1"/>
      <c r="H54" s="47"/>
      <c r="I54" s="1"/>
      <c r="K54"/>
      <c r="L54"/>
      <c r="M54" s="1"/>
      <c r="N54"/>
    </row>
    <row r="55" spans="1:14" s="3" customFormat="1" ht="15.75" thickBot="1" x14ac:dyDescent="0.3">
      <c r="A55" s="34" t="s">
        <v>106</v>
      </c>
      <c r="B55" s="35"/>
      <c r="C55" s="35">
        <v>130.25</v>
      </c>
      <c r="D55" s="49"/>
      <c r="E55" s="35">
        <v>842.02</v>
      </c>
      <c r="F55" s="35"/>
      <c r="G55" s="35"/>
      <c r="H55" s="48"/>
      <c r="I55" s="35"/>
      <c r="J55" s="34"/>
      <c r="K55"/>
      <c r="L55"/>
      <c r="M55" s="1"/>
      <c r="N55"/>
    </row>
    <row r="56" spans="1:14" s="3" customFormat="1" ht="15.75" thickTop="1" x14ac:dyDescent="0.25">
      <c r="A56" s="50"/>
      <c r="B56" s="51">
        <f>B55-B54</f>
        <v>-3778.9100000000003</v>
      </c>
      <c r="C56" s="51">
        <f>C55-C54</f>
        <v>5.25</v>
      </c>
      <c r="D56" s="51">
        <f t="shared" ref="D56:E56" si="14">D55-D54</f>
        <v>-4205.49</v>
      </c>
      <c r="E56" s="51">
        <f t="shared" si="14"/>
        <v>-124</v>
      </c>
      <c r="F56" s="51"/>
      <c r="G56" s="51"/>
      <c r="H56" s="54"/>
      <c r="I56" s="51"/>
      <c r="J56" s="50"/>
      <c r="K56"/>
      <c r="L56"/>
      <c r="M56" s="1"/>
      <c r="N56"/>
    </row>
    <row r="57" spans="1:14" s="53" customFormat="1" x14ac:dyDescent="0.25">
      <c r="A57" s="50"/>
      <c r="B57" s="51"/>
      <c r="C57" s="51"/>
      <c r="D57" s="52"/>
      <c r="F57" s="51"/>
      <c r="G57" s="51"/>
      <c r="H57" s="54"/>
      <c r="I57" s="51"/>
      <c r="J57" s="50"/>
      <c r="K57" s="50"/>
      <c r="L57" s="50"/>
      <c r="M57" s="51"/>
      <c r="N57" s="50"/>
    </row>
    <row r="58" spans="1:14" x14ac:dyDescent="0.25">
      <c r="A58" s="8" t="s">
        <v>40</v>
      </c>
      <c r="B58" s="9"/>
      <c r="C58" s="9"/>
      <c r="D58" s="28"/>
      <c r="E58" s="3"/>
      <c r="F58" s="1"/>
      <c r="H58" s="47"/>
      <c r="I58" s="1"/>
      <c r="L58"/>
      <c r="M58" s="1"/>
    </row>
    <row r="59" spans="1:14" x14ac:dyDescent="0.25">
      <c r="A59" s="8" t="s">
        <v>129</v>
      </c>
      <c r="B59" s="9"/>
      <c r="C59" s="9">
        <v>0</v>
      </c>
      <c r="D59" s="28"/>
      <c r="E59" s="3"/>
      <c r="F59" s="1"/>
      <c r="H59" s="47"/>
      <c r="I59" s="1"/>
      <c r="L59"/>
      <c r="M59" s="1"/>
    </row>
    <row r="60" spans="1:14" ht="15.75" thickBot="1" x14ac:dyDescent="0.3">
      <c r="A60" s="34"/>
      <c r="B60" s="35"/>
      <c r="C60" s="35"/>
      <c r="D60" s="43"/>
      <c r="E60" s="36"/>
      <c r="F60" s="35"/>
      <c r="G60" s="35"/>
      <c r="H60" s="48"/>
      <c r="I60" s="35"/>
      <c r="J60" s="34"/>
      <c r="L60"/>
      <c r="M60" s="1"/>
    </row>
    <row r="61" spans="1:14" ht="15.75" thickTop="1" x14ac:dyDescent="0.25">
      <c r="A61" t="s">
        <v>125</v>
      </c>
      <c r="B61" s="1">
        <f>SUM(B58:B60)-B54</f>
        <v>-3778.9100000000003</v>
      </c>
      <c r="C61" s="1">
        <f>SUM(C58:C60)-C54</f>
        <v>-125</v>
      </c>
      <c r="D61" s="1">
        <f>SUM(D58:D60)-D54</f>
        <v>-4205.49</v>
      </c>
      <c r="E61" s="1">
        <f>SUM(E58:E60)-E54</f>
        <v>-966.02</v>
      </c>
      <c r="F61" s="1"/>
      <c r="H61" s="47"/>
      <c r="I61" s="1"/>
      <c r="L61"/>
      <c r="M61" s="1"/>
    </row>
    <row r="62" spans="1:14" x14ac:dyDescent="0.25">
      <c r="C62" s="1"/>
      <c r="D62"/>
      <c r="E62" s="3"/>
      <c r="F62" s="1"/>
      <c r="H62" s="47"/>
      <c r="I62" s="1"/>
      <c r="L62"/>
      <c r="M62" s="1"/>
    </row>
    <row r="63" spans="1:14" x14ac:dyDescent="0.25">
      <c r="C63" s="1"/>
      <c r="D63"/>
      <c r="E63" s="3"/>
      <c r="F63" s="1"/>
      <c r="H63" s="47"/>
      <c r="I63" s="1"/>
      <c r="L63"/>
      <c r="M63" s="1"/>
    </row>
    <row r="64" spans="1:14" x14ac:dyDescent="0.25">
      <c r="C64" s="1"/>
      <c r="D64"/>
      <c r="E64" s="3"/>
      <c r="F64" s="1"/>
      <c r="H64" s="47"/>
      <c r="I64" s="1"/>
      <c r="L64"/>
      <c r="M64" s="1"/>
    </row>
  </sheetData>
  <autoFilter ref="A1:L20" xr:uid="{2946977F-407D-456D-AD87-CDC6A67FE974}"/>
  <conditionalFormatting sqref="D27:D52 B27:B42 B44:B52">
    <cfRule type="cellIs" dxfId="33" priority="4" operator="equal">
      <formula>0</formula>
    </cfRule>
  </conditionalFormatting>
  <conditionalFormatting sqref="B2:C21">
    <cfRule type="cellIs" dxfId="32" priority="2" operator="equal">
      <formula>0</formula>
    </cfRule>
    <cfRule type="cellIs" dxfId="31" priority="3" operator="equal">
      <formula>0</formula>
    </cfRule>
  </conditionalFormatting>
  <conditionalFormatting sqref="B43">
    <cfRule type="cellIs" dxfId="3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9715-40F8-4CC1-A2BB-C80BC1F2F2FE}">
  <dimension ref="A1:N65"/>
  <sheetViews>
    <sheetView topLeftCell="A22" workbookViewId="0">
      <selection activeCell="E56" sqref="E56"/>
    </sheetView>
  </sheetViews>
  <sheetFormatPr defaultRowHeight="15" x14ac:dyDescent="0.25"/>
  <cols>
    <col min="1" max="1" width="12" bestFit="1" customWidth="1"/>
    <col min="2" max="2" width="12.5703125" style="1" bestFit="1" customWidth="1"/>
    <col min="3" max="3" width="18.5703125" customWidth="1"/>
    <col min="4" max="4" width="12.140625" style="3" bestFit="1" customWidth="1"/>
    <col min="5" max="5" width="11.28515625" style="1" bestFit="1" customWidth="1"/>
    <col min="6" max="6" width="12.5703125" style="47" bestFit="1" customWidth="1"/>
    <col min="7" max="7" width="12.5703125" style="1" customWidth="1"/>
    <col min="8" max="8" width="11.5703125" style="1" bestFit="1" customWidth="1"/>
    <col min="9" max="9" width="11.5703125" bestFit="1" customWidth="1"/>
    <col min="10" max="10" width="13.140625" bestFit="1" customWidth="1"/>
    <col min="11" max="11" width="11.5703125" bestFit="1" customWidth="1"/>
    <col min="12" max="12" width="12.140625" style="1" bestFit="1" customWidth="1"/>
    <col min="13" max="13" width="12.140625" bestFit="1" customWidth="1"/>
    <col min="14" max="14" width="11.5703125" bestFit="1" customWidth="1"/>
  </cols>
  <sheetData>
    <row r="1" spans="1:14" x14ac:dyDescent="0.25">
      <c r="A1" t="s">
        <v>0</v>
      </c>
      <c r="B1" s="1" t="s">
        <v>1</v>
      </c>
      <c r="C1" s="1" t="s">
        <v>50</v>
      </c>
      <c r="D1" s="5">
        <v>0</v>
      </c>
      <c r="E1" s="3" t="s">
        <v>2</v>
      </c>
      <c r="F1" s="47" t="s">
        <v>133</v>
      </c>
      <c r="G1" s="1" t="s">
        <v>134</v>
      </c>
      <c r="H1" s="1" t="s">
        <v>3</v>
      </c>
      <c r="I1" s="1" t="s">
        <v>4</v>
      </c>
      <c r="J1" t="s">
        <v>5</v>
      </c>
      <c r="K1" t="s">
        <v>6</v>
      </c>
      <c r="L1" t="s">
        <v>7</v>
      </c>
      <c r="M1" s="1" t="s">
        <v>8</v>
      </c>
    </row>
    <row r="2" spans="1:14" x14ac:dyDescent="0.25">
      <c r="A2" t="s">
        <v>106</v>
      </c>
      <c r="B2" s="1">
        <v>17117.3</v>
      </c>
      <c r="C2" s="15">
        <v>379</v>
      </c>
      <c r="D2" s="42"/>
      <c r="E2" s="3">
        <v>0.1399</v>
      </c>
      <c r="F2" s="47" t="str">
        <f t="shared" ref="F2:F21" si="0">IF(ISERROR(DATEDIF($A$24,D2,"m"))," ",DATEDIF($A$24,D2,"m"))</f>
        <v xml:space="preserve"> </v>
      </c>
      <c r="G2" s="1" t="str">
        <f t="shared" ref="G2:G12" si="1">IF(ISERROR(B2/(F2+1))," ",B2/(F2+1))</f>
        <v xml:space="preserve"> </v>
      </c>
      <c r="H2" s="1">
        <v>584</v>
      </c>
      <c r="I2" s="1">
        <f t="shared" ref="I2:I21" si="2">B2/3</f>
        <v>5705.7666666666664</v>
      </c>
      <c r="J2" s="4">
        <f t="shared" ref="J2:J21" si="3">B2/6</f>
        <v>2852.8833333333332</v>
      </c>
      <c r="K2" s="4">
        <f t="shared" ref="K2:K21" si="4">J2/2</f>
        <v>1426.4416666666666</v>
      </c>
      <c r="L2" s="4">
        <f t="shared" ref="L2:L21" si="5">B2/12</f>
        <v>1426.4416666666666</v>
      </c>
      <c r="M2" s="1">
        <f t="shared" ref="M2:M21" si="6">(B2*E2)/12</f>
        <v>199.55918916666667</v>
      </c>
    </row>
    <row r="3" spans="1:14" x14ac:dyDescent="0.25">
      <c r="A3" t="s">
        <v>132</v>
      </c>
      <c r="B3" s="13">
        <v>30.72</v>
      </c>
      <c r="C3" s="55">
        <f>B3</f>
        <v>30.72</v>
      </c>
      <c r="D3" s="42"/>
      <c r="E3" s="3"/>
      <c r="F3" s="47" t="str">
        <f t="shared" si="0"/>
        <v xml:space="preserve"> </v>
      </c>
      <c r="G3" s="1" t="str">
        <f t="shared" si="1"/>
        <v xml:space="preserve"> </v>
      </c>
      <c r="I3" s="1">
        <f>B3/3</f>
        <v>10.24</v>
      </c>
      <c r="J3" s="4">
        <f>B3/6</f>
        <v>5.12</v>
      </c>
      <c r="K3" s="4">
        <f>J3/2</f>
        <v>2.56</v>
      </c>
      <c r="L3" s="4">
        <f t="shared" si="5"/>
        <v>2.56</v>
      </c>
      <c r="M3" s="1">
        <f t="shared" si="6"/>
        <v>0</v>
      </c>
    </row>
    <row r="4" spans="1:14" x14ac:dyDescent="0.25">
      <c r="A4" t="s">
        <v>12</v>
      </c>
      <c r="B4" s="1">
        <v>11764</v>
      </c>
      <c r="C4" s="15">
        <v>120</v>
      </c>
      <c r="D4" s="2">
        <v>44211</v>
      </c>
      <c r="E4" s="3">
        <v>0</v>
      </c>
      <c r="F4" s="47">
        <f t="shared" si="0"/>
        <v>1</v>
      </c>
      <c r="G4" s="1">
        <f t="shared" si="1"/>
        <v>5882</v>
      </c>
      <c r="H4" s="1">
        <v>407</v>
      </c>
      <c r="I4" s="1">
        <f t="shared" si="2"/>
        <v>3921.3333333333335</v>
      </c>
      <c r="J4" s="4">
        <f t="shared" si="3"/>
        <v>1960.6666666666667</v>
      </c>
      <c r="K4" s="4">
        <f t="shared" si="4"/>
        <v>980.33333333333337</v>
      </c>
      <c r="L4" s="4">
        <f>B4/12</f>
        <v>980.33333333333337</v>
      </c>
      <c r="M4" s="1">
        <f t="shared" si="6"/>
        <v>0</v>
      </c>
    </row>
    <row r="5" spans="1:14" x14ac:dyDescent="0.25">
      <c r="A5" t="s">
        <v>14</v>
      </c>
      <c r="B5" s="1">
        <v>46.92</v>
      </c>
      <c r="C5" s="15">
        <f>B5</f>
        <v>46.92</v>
      </c>
      <c r="D5" s="2"/>
      <c r="E5" s="3"/>
      <c r="F5" s="47" t="str">
        <f t="shared" si="0"/>
        <v xml:space="preserve"> </v>
      </c>
      <c r="G5" s="1" t="str">
        <f t="shared" si="1"/>
        <v xml:space="preserve"> </v>
      </c>
      <c r="I5" s="1">
        <f t="shared" si="2"/>
        <v>15.64</v>
      </c>
      <c r="J5" s="4">
        <f t="shared" si="3"/>
        <v>7.82</v>
      </c>
      <c r="K5" s="4">
        <f t="shared" si="4"/>
        <v>3.91</v>
      </c>
      <c r="L5" s="4">
        <f t="shared" si="5"/>
        <v>3.91</v>
      </c>
      <c r="M5" s="1">
        <f>(B5*E5)/12</f>
        <v>0</v>
      </c>
    </row>
    <row r="6" spans="1:14" x14ac:dyDescent="0.25">
      <c r="A6" t="s">
        <v>15</v>
      </c>
      <c r="B6" s="1">
        <v>0</v>
      </c>
      <c r="C6" s="15">
        <v>0</v>
      </c>
      <c r="D6" s="2"/>
      <c r="E6" s="3"/>
      <c r="F6" s="47" t="str">
        <f t="shared" si="0"/>
        <v xml:space="preserve"> </v>
      </c>
      <c r="G6" s="1" t="str">
        <f t="shared" si="1"/>
        <v xml:space="preserve"> </v>
      </c>
      <c r="I6" s="1">
        <f t="shared" si="2"/>
        <v>0</v>
      </c>
      <c r="J6" s="4">
        <f t="shared" si="3"/>
        <v>0</v>
      </c>
      <c r="K6" s="4">
        <f t="shared" si="4"/>
        <v>0</v>
      </c>
      <c r="L6" s="4">
        <f t="shared" si="5"/>
        <v>0</v>
      </c>
      <c r="M6" s="1">
        <f t="shared" si="6"/>
        <v>0</v>
      </c>
    </row>
    <row r="7" spans="1:14" x14ac:dyDescent="0.25">
      <c r="A7" t="s">
        <v>16</v>
      </c>
      <c r="B7" s="1">
        <v>10736.91</v>
      </c>
      <c r="C7" s="15">
        <v>110</v>
      </c>
      <c r="D7" s="2">
        <v>44209</v>
      </c>
      <c r="E7" s="3">
        <v>0</v>
      </c>
      <c r="F7" s="47">
        <f t="shared" si="0"/>
        <v>1</v>
      </c>
      <c r="G7" s="1">
        <f t="shared" si="1"/>
        <v>5368.4549999999999</v>
      </c>
      <c r="H7" s="1">
        <v>426</v>
      </c>
      <c r="I7" s="1">
        <f t="shared" si="2"/>
        <v>3578.97</v>
      </c>
      <c r="J7" s="4">
        <f t="shared" si="3"/>
        <v>1789.4849999999999</v>
      </c>
      <c r="K7" s="4">
        <f t="shared" si="4"/>
        <v>894.74249999999995</v>
      </c>
      <c r="L7" s="4">
        <f t="shared" si="5"/>
        <v>894.74249999999995</v>
      </c>
      <c r="M7" s="1">
        <f t="shared" si="6"/>
        <v>0</v>
      </c>
    </row>
    <row r="8" spans="1:14" x14ac:dyDescent="0.25">
      <c r="A8" t="s">
        <v>17</v>
      </c>
      <c r="B8" s="1">
        <v>1608.16</v>
      </c>
      <c r="C8" s="15">
        <v>56</v>
      </c>
      <c r="D8" s="2"/>
      <c r="E8" s="3">
        <v>0.15240000000000001</v>
      </c>
      <c r="F8" s="47" t="str">
        <f t="shared" si="0"/>
        <v xml:space="preserve"> </v>
      </c>
      <c r="G8" s="1" t="str">
        <f t="shared" si="1"/>
        <v xml:space="preserve"> </v>
      </c>
      <c r="H8" s="1">
        <v>56</v>
      </c>
      <c r="I8" s="1">
        <f t="shared" si="2"/>
        <v>536.0533333333334</v>
      </c>
      <c r="J8" s="4">
        <f t="shared" si="3"/>
        <v>268.0266666666667</v>
      </c>
      <c r="K8" s="4">
        <f t="shared" si="4"/>
        <v>134.01333333333335</v>
      </c>
      <c r="L8" s="4">
        <f t="shared" si="5"/>
        <v>134.01333333333335</v>
      </c>
      <c r="M8" s="1">
        <f>(B8*E8)/12</f>
        <v>20.423632000000001</v>
      </c>
      <c r="N8" s="4"/>
    </row>
    <row r="9" spans="1:14" x14ac:dyDescent="0.25">
      <c r="A9" t="s">
        <v>18</v>
      </c>
      <c r="B9" s="1">
        <v>1801.99</v>
      </c>
      <c r="C9" s="15">
        <v>40</v>
      </c>
      <c r="D9" s="2"/>
      <c r="E9" s="3">
        <v>0.15240000000000001</v>
      </c>
      <c r="F9" s="47" t="str">
        <f t="shared" si="0"/>
        <v xml:space="preserve"> </v>
      </c>
      <c r="G9" s="1" t="str">
        <f t="shared" si="1"/>
        <v xml:space="preserve"> </v>
      </c>
      <c r="H9" s="1">
        <v>63</v>
      </c>
      <c r="I9" s="1">
        <f>B9/3</f>
        <v>600.6633333333333</v>
      </c>
      <c r="J9" s="4">
        <f t="shared" si="3"/>
        <v>300.33166666666665</v>
      </c>
      <c r="K9" s="4">
        <f t="shared" si="4"/>
        <v>150.16583333333332</v>
      </c>
      <c r="L9" s="4">
        <f t="shared" si="5"/>
        <v>150.16583333333332</v>
      </c>
      <c r="M9" s="1">
        <f t="shared" ref="M9:M11" si="7">(B9*E9)/12</f>
        <v>22.885273000000002</v>
      </c>
    </row>
    <row r="10" spans="1:14" x14ac:dyDescent="0.25">
      <c r="A10" t="s">
        <v>19</v>
      </c>
      <c r="B10" s="1">
        <v>9368.2199999999993</v>
      </c>
      <c r="C10" s="1">
        <v>250</v>
      </c>
      <c r="D10" s="2"/>
      <c r="E10" s="3">
        <v>7.2400000000000006E-2</v>
      </c>
      <c r="F10" s="47" t="str">
        <f t="shared" si="0"/>
        <v xml:space="preserve"> </v>
      </c>
      <c r="G10" s="1" t="str">
        <f t="shared" si="1"/>
        <v xml:space="preserve"> </v>
      </c>
      <c r="I10" s="1">
        <f t="shared" ref="I10" si="8">B10/3</f>
        <v>3122.74</v>
      </c>
      <c r="J10" s="4">
        <f>B10/6</f>
        <v>1561.37</v>
      </c>
      <c r="K10" s="4">
        <f>J10/2</f>
        <v>780.68499999999995</v>
      </c>
      <c r="L10" s="4">
        <f t="shared" si="5"/>
        <v>780.68499999999995</v>
      </c>
      <c r="M10" s="1">
        <f t="shared" si="7"/>
        <v>56.521594</v>
      </c>
    </row>
    <row r="11" spans="1:14" x14ac:dyDescent="0.25">
      <c r="A11" t="s">
        <v>19</v>
      </c>
      <c r="B11" s="1">
        <v>7813.58</v>
      </c>
      <c r="C11" s="1">
        <v>250</v>
      </c>
      <c r="D11" s="2">
        <v>44306</v>
      </c>
      <c r="E11" s="3">
        <v>0</v>
      </c>
      <c r="F11" s="47">
        <f t="shared" si="0"/>
        <v>4</v>
      </c>
      <c r="G11" s="1">
        <f t="shared" si="1"/>
        <v>1562.7159999999999</v>
      </c>
      <c r="H11" s="1">
        <v>533</v>
      </c>
      <c r="I11" s="1">
        <f>B11/3</f>
        <v>2604.5266666666666</v>
      </c>
      <c r="J11" s="4">
        <f t="shared" ref="J11" si="9">B11/6</f>
        <v>1302.2633333333333</v>
      </c>
      <c r="K11" s="4">
        <f t="shared" ref="K11" si="10">J11/2</f>
        <v>651.13166666666666</v>
      </c>
      <c r="L11" s="4">
        <f>B11/12</f>
        <v>651.13166666666666</v>
      </c>
      <c r="M11" s="1">
        <f t="shared" si="7"/>
        <v>0</v>
      </c>
    </row>
    <row r="12" spans="1:14" x14ac:dyDescent="0.25">
      <c r="A12" t="s">
        <v>38</v>
      </c>
      <c r="B12" s="1">
        <v>0</v>
      </c>
      <c r="C12" s="1">
        <f>B12</f>
        <v>0</v>
      </c>
      <c r="D12" s="2"/>
      <c r="E12" s="3"/>
      <c r="F12" s="47" t="str">
        <f>IF(ISERROR(DATEDIF($A$24,D12,"m"))," ",DATEDIF($A$24,D12,"m"))</f>
        <v xml:space="preserve"> </v>
      </c>
      <c r="G12" s="1" t="str">
        <f t="shared" si="1"/>
        <v xml:space="preserve"> </v>
      </c>
      <c r="I12" s="1">
        <f t="shared" si="2"/>
        <v>0</v>
      </c>
      <c r="J12" s="4">
        <f t="shared" si="3"/>
        <v>0</v>
      </c>
      <c r="K12" s="4">
        <f t="shared" si="4"/>
        <v>0</v>
      </c>
      <c r="L12" s="4">
        <f t="shared" si="5"/>
        <v>0</v>
      </c>
      <c r="M12" s="1">
        <f t="shared" si="6"/>
        <v>0</v>
      </c>
    </row>
    <row r="13" spans="1:14" x14ac:dyDescent="0.25">
      <c r="A13" t="s">
        <v>21</v>
      </c>
      <c r="B13" s="1">
        <v>416.66</v>
      </c>
      <c r="C13" s="15">
        <v>155</v>
      </c>
      <c r="D13" s="2">
        <v>44358</v>
      </c>
      <c r="E13" s="3">
        <v>0</v>
      </c>
      <c r="F13" s="47">
        <f>IF(ISERROR(DATEDIF($A$24,D13,"m"))," ",DATEDIF($A$24,D13,"m"))</f>
        <v>6</v>
      </c>
      <c r="G13" s="1">
        <f>IF(ISERROR(B13/(F13+1))," ",B13/(F13+1))</f>
        <v>59.522857142857148</v>
      </c>
      <c r="I13" s="1">
        <f t="shared" si="2"/>
        <v>138.88666666666668</v>
      </c>
      <c r="J13" s="4">
        <f t="shared" si="3"/>
        <v>69.443333333333342</v>
      </c>
      <c r="K13" s="4">
        <f t="shared" si="4"/>
        <v>34.721666666666671</v>
      </c>
      <c r="L13" s="4">
        <f t="shared" si="5"/>
        <v>34.721666666666671</v>
      </c>
      <c r="M13" s="1">
        <f t="shared" si="6"/>
        <v>0</v>
      </c>
    </row>
    <row r="14" spans="1:14" x14ac:dyDescent="0.25">
      <c r="A14" t="s">
        <v>10</v>
      </c>
      <c r="B14" s="1">
        <v>35179</v>
      </c>
      <c r="C14" s="1"/>
      <c r="D14" s="2"/>
      <c r="E14" s="3">
        <v>0.15989999999999999</v>
      </c>
      <c r="F14" s="47" t="str">
        <f t="shared" ref="F14" si="11">IF(ISERROR(DATEDIF($A$24,D14,"m"))," ",DATEDIF($A$24,D14,"m"))</f>
        <v xml:space="preserve"> </v>
      </c>
      <c r="G14" s="1" t="str">
        <f t="shared" ref="G14:G21" si="12">IF(ISERROR(B14/(F14+1))," ",B14/(F14+1))</f>
        <v xml:space="preserve"> </v>
      </c>
      <c r="H14" s="1">
        <v>1238</v>
      </c>
      <c r="I14" s="1">
        <f t="shared" si="2"/>
        <v>11726.333333333334</v>
      </c>
      <c r="J14" s="4">
        <f t="shared" si="3"/>
        <v>5863.166666666667</v>
      </c>
      <c r="K14" s="4">
        <f t="shared" si="4"/>
        <v>2931.5833333333335</v>
      </c>
      <c r="L14" s="4">
        <f t="shared" si="5"/>
        <v>2931.5833333333335</v>
      </c>
      <c r="M14" s="1">
        <f t="shared" si="6"/>
        <v>468.76017499999995</v>
      </c>
    </row>
    <row r="15" spans="1:14" x14ac:dyDescent="0.25">
      <c r="A15" t="s">
        <v>56</v>
      </c>
      <c r="C15" s="1"/>
      <c r="D15" s="2"/>
      <c r="E15" s="3"/>
      <c r="F15" s="47" t="str">
        <f t="shared" si="0"/>
        <v xml:space="preserve"> </v>
      </c>
      <c r="G15" s="1" t="str">
        <f t="shared" si="12"/>
        <v xml:space="preserve"> </v>
      </c>
      <c r="I15" s="1">
        <f t="shared" si="2"/>
        <v>0</v>
      </c>
      <c r="J15" s="4">
        <f t="shared" si="3"/>
        <v>0</v>
      </c>
      <c r="K15" s="4">
        <f t="shared" si="4"/>
        <v>0</v>
      </c>
      <c r="L15" s="4">
        <f t="shared" si="5"/>
        <v>0</v>
      </c>
      <c r="M15" s="1">
        <f t="shared" si="6"/>
        <v>0</v>
      </c>
    </row>
    <row r="16" spans="1:14" x14ac:dyDescent="0.25">
      <c r="A16" t="s">
        <v>35</v>
      </c>
      <c r="B16" s="1">
        <v>0</v>
      </c>
      <c r="C16" s="1">
        <f>B16</f>
        <v>0</v>
      </c>
      <c r="D16" s="2"/>
      <c r="E16" s="3"/>
      <c r="F16" s="47" t="str">
        <f t="shared" si="0"/>
        <v xml:space="preserve"> </v>
      </c>
      <c r="G16" s="1" t="str">
        <f t="shared" si="12"/>
        <v xml:space="preserve"> </v>
      </c>
      <c r="I16" s="1">
        <f t="shared" si="2"/>
        <v>0</v>
      </c>
      <c r="J16" s="4">
        <f t="shared" si="3"/>
        <v>0</v>
      </c>
      <c r="K16" s="4">
        <f t="shared" si="4"/>
        <v>0</v>
      </c>
      <c r="L16" s="4">
        <f t="shared" si="5"/>
        <v>0</v>
      </c>
      <c r="M16" s="1">
        <f t="shared" si="6"/>
        <v>0</v>
      </c>
    </row>
    <row r="17" spans="1:14" x14ac:dyDescent="0.25">
      <c r="A17" t="s">
        <v>52</v>
      </c>
      <c r="B17" s="1">
        <v>451.1</v>
      </c>
      <c r="C17" s="1">
        <f>B17</f>
        <v>451.1</v>
      </c>
      <c r="D17" s="2"/>
      <c r="E17" s="3"/>
      <c r="F17" s="47" t="str">
        <f t="shared" si="0"/>
        <v xml:space="preserve"> </v>
      </c>
      <c r="G17" s="1" t="str">
        <f t="shared" si="12"/>
        <v xml:space="preserve"> </v>
      </c>
      <c r="I17" s="1">
        <f t="shared" si="2"/>
        <v>150.36666666666667</v>
      </c>
      <c r="J17" s="4">
        <f t="shared" si="3"/>
        <v>75.183333333333337</v>
      </c>
      <c r="K17" s="4">
        <f t="shared" si="4"/>
        <v>37.591666666666669</v>
      </c>
      <c r="L17" s="4">
        <f t="shared" si="5"/>
        <v>37.591666666666669</v>
      </c>
      <c r="M17" s="1">
        <f t="shared" si="6"/>
        <v>0</v>
      </c>
    </row>
    <row r="18" spans="1:14" x14ac:dyDescent="0.25">
      <c r="A18" t="s">
        <v>57</v>
      </c>
      <c r="B18" s="1">
        <v>37625.79</v>
      </c>
      <c r="C18" s="1">
        <v>1382.89</v>
      </c>
      <c r="D18" s="2"/>
      <c r="E18" s="3">
        <v>0.14649999999999999</v>
      </c>
      <c r="F18" s="47" t="str">
        <f t="shared" si="0"/>
        <v xml:space="preserve"> </v>
      </c>
      <c r="G18" s="1" t="str">
        <f t="shared" si="12"/>
        <v xml:space="preserve"> </v>
      </c>
      <c r="I18" s="1">
        <f t="shared" si="2"/>
        <v>12541.93</v>
      </c>
      <c r="J18" s="4">
        <f t="shared" si="3"/>
        <v>6270.9650000000001</v>
      </c>
      <c r="K18" s="4">
        <f t="shared" si="4"/>
        <v>3135.4825000000001</v>
      </c>
      <c r="L18" s="4">
        <f t="shared" si="5"/>
        <v>3135.4825000000001</v>
      </c>
      <c r="M18" s="1">
        <f t="shared" si="6"/>
        <v>459.34818624999997</v>
      </c>
    </row>
    <row r="19" spans="1:14" x14ac:dyDescent="0.25">
      <c r="A19" t="s">
        <v>124</v>
      </c>
      <c r="B19" s="1">
        <v>630.5</v>
      </c>
      <c r="C19" s="1">
        <v>580.95000000000005</v>
      </c>
      <c r="D19" s="2">
        <v>44211</v>
      </c>
      <c r="E19" s="3">
        <v>0</v>
      </c>
      <c r="F19" s="47">
        <f t="shared" si="0"/>
        <v>1</v>
      </c>
      <c r="G19" s="1">
        <f t="shared" si="12"/>
        <v>315.25</v>
      </c>
      <c r="I19" s="1">
        <f t="shared" si="2"/>
        <v>210.16666666666666</v>
      </c>
      <c r="J19" s="4">
        <f t="shared" si="3"/>
        <v>105.08333333333333</v>
      </c>
      <c r="K19" s="4">
        <f t="shared" si="4"/>
        <v>52.541666666666664</v>
      </c>
      <c r="L19" s="4">
        <f t="shared" si="5"/>
        <v>52.541666666666664</v>
      </c>
      <c r="M19" s="1">
        <f t="shared" si="6"/>
        <v>0</v>
      </c>
    </row>
    <row r="20" spans="1:14" x14ac:dyDescent="0.25">
      <c r="A20" t="s">
        <v>107</v>
      </c>
      <c r="B20" s="1">
        <v>344</v>
      </c>
      <c r="C20" s="1">
        <v>344</v>
      </c>
      <c r="D20" s="2">
        <v>44176</v>
      </c>
      <c r="E20" s="3">
        <v>0</v>
      </c>
      <c r="F20" s="47">
        <f t="shared" si="0"/>
        <v>0</v>
      </c>
      <c r="G20" s="1">
        <f t="shared" si="12"/>
        <v>344</v>
      </c>
      <c r="I20" s="1">
        <f t="shared" si="2"/>
        <v>114.66666666666667</v>
      </c>
      <c r="J20" s="4">
        <f t="shared" si="3"/>
        <v>57.333333333333336</v>
      </c>
      <c r="K20" s="4">
        <f t="shared" si="4"/>
        <v>28.666666666666668</v>
      </c>
      <c r="L20" s="4">
        <f t="shared" si="5"/>
        <v>28.666666666666668</v>
      </c>
      <c r="M20" s="1">
        <f t="shared" si="6"/>
        <v>0</v>
      </c>
    </row>
    <row r="21" spans="1:14" x14ac:dyDescent="0.25">
      <c r="A21" t="s">
        <v>46</v>
      </c>
      <c r="B21" s="1">
        <v>38307.949999999997</v>
      </c>
      <c r="C21" s="1">
        <v>847.62</v>
      </c>
      <c r="D21" s="2"/>
      <c r="E21" s="3">
        <v>2.9000000000000001E-2</v>
      </c>
      <c r="F21" s="47" t="str">
        <f t="shared" si="0"/>
        <v xml:space="preserve"> </v>
      </c>
      <c r="G21" s="1" t="str">
        <f t="shared" si="12"/>
        <v xml:space="preserve"> </v>
      </c>
      <c r="I21" s="1">
        <f t="shared" si="2"/>
        <v>12769.316666666666</v>
      </c>
      <c r="J21" s="4">
        <f t="shared" si="3"/>
        <v>6384.6583333333328</v>
      </c>
      <c r="K21" s="4">
        <f t="shared" si="4"/>
        <v>3192.3291666666664</v>
      </c>
      <c r="L21" s="4">
        <f t="shared" si="5"/>
        <v>3192.3291666666664</v>
      </c>
      <c r="M21" s="1">
        <f t="shared" si="6"/>
        <v>92.577545833333332</v>
      </c>
    </row>
    <row r="22" spans="1:14" ht="15.75" thickBot="1" x14ac:dyDescent="0.3">
      <c r="A22" s="34"/>
      <c r="B22" s="35"/>
      <c r="C22" s="35"/>
      <c r="D22" s="34"/>
      <c r="E22" s="36"/>
      <c r="F22" s="48"/>
      <c r="G22" s="35"/>
      <c r="H22" s="35"/>
      <c r="I22" s="35"/>
      <c r="J22" s="34"/>
      <c r="K22" s="34"/>
      <c r="L22" s="34"/>
      <c r="M22" s="35"/>
    </row>
    <row r="23" spans="1:14" ht="15.75" thickTop="1" x14ac:dyDescent="0.25">
      <c r="B23" s="1">
        <f>SUM(B2:B22)</f>
        <v>173242.8</v>
      </c>
      <c r="C23" s="1">
        <f>SUM(C2:C22)</f>
        <v>5044.2</v>
      </c>
      <c r="D23"/>
      <c r="E23" s="3">
        <f>AVERAGE(E2:E22)</f>
        <v>6.5576923076923074E-2</v>
      </c>
      <c r="G23" s="1">
        <f t="shared" ref="G23:M23" si="13">SUM(G2:G22)</f>
        <v>13531.943857142858</v>
      </c>
      <c r="H23" s="1">
        <f t="shared" si="13"/>
        <v>3307</v>
      </c>
      <c r="I23" s="1">
        <f>SUM(I2:I22)</f>
        <v>57747.599999999991</v>
      </c>
      <c r="J23" s="1">
        <f>SUM(J2:J22)</f>
        <v>28873.799999999996</v>
      </c>
      <c r="K23" s="1">
        <f t="shared" si="13"/>
        <v>14436.899999999998</v>
      </c>
      <c r="L23" s="1">
        <f t="shared" si="13"/>
        <v>14436.899999999998</v>
      </c>
      <c r="M23" s="1">
        <f t="shared" si="13"/>
        <v>1320.0755952499999</v>
      </c>
      <c r="N23" s="4">
        <f>M23*12</f>
        <v>15840.907142999999</v>
      </c>
    </row>
    <row r="24" spans="1:14" x14ac:dyDescent="0.25">
      <c r="A24" s="46">
        <v>44166</v>
      </c>
      <c r="C24" s="1"/>
      <c r="D24"/>
      <c r="E24" s="3"/>
      <c r="I24" s="1"/>
      <c r="L24"/>
      <c r="M24" s="1">
        <f>(B23*E23)/12</f>
        <v>946.72748076923062</v>
      </c>
    </row>
    <row r="25" spans="1:14" x14ac:dyDescent="0.25">
      <c r="C25" s="1"/>
      <c r="D25"/>
      <c r="E25" s="3"/>
      <c r="F25" s="1"/>
      <c r="H25" s="47"/>
      <c r="I25" s="1"/>
      <c r="L25"/>
      <c r="M25" s="1"/>
    </row>
    <row r="26" spans="1:14" x14ac:dyDescent="0.25">
      <c r="A26" s="8" t="s">
        <v>36</v>
      </c>
      <c r="B26" s="18"/>
      <c r="C26" s="18"/>
      <c r="D26" s="15">
        <v>3034.48</v>
      </c>
      <c r="F26" s="1"/>
      <c r="H26" s="47"/>
      <c r="I26" s="6"/>
      <c r="L26"/>
      <c r="M26" s="1"/>
    </row>
    <row r="27" spans="1:14" x14ac:dyDescent="0.25">
      <c r="A27" s="8" t="s">
        <v>24</v>
      </c>
      <c r="B27" s="15">
        <f>$C$21</f>
        <v>847.62</v>
      </c>
      <c r="C27" s="18"/>
      <c r="D27" s="18"/>
      <c r="E27" s="1">
        <f t="shared" ref="E27:E51" si="14">D27</f>
        <v>0</v>
      </c>
      <c r="F27" s="12"/>
      <c r="H27" s="47"/>
      <c r="I27" s="7"/>
      <c r="L27"/>
      <c r="M27" s="1"/>
    </row>
    <row r="28" spans="1:14" x14ac:dyDescent="0.25">
      <c r="A28" s="8" t="s">
        <v>57</v>
      </c>
      <c r="B28" s="15">
        <f>$C$18</f>
        <v>1382.89</v>
      </c>
      <c r="C28" s="18"/>
      <c r="D28" s="18"/>
      <c r="E28" s="1">
        <f t="shared" si="14"/>
        <v>0</v>
      </c>
      <c r="F28" s="1"/>
      <c r="H28" s="47"/>
      <c r="I28" s="1"/>
      <c r="L28"/>
      <c r="M28" s="1"/>
    </row>
    <row r="29" spans="1:14" x14ac:dyDescent="0.25">
      <c r="A29" s="8" t="s">
        <v>106</v>
      </c>
      <c r="B29" s="15">
        <f>$C$2</f>
        <v>379</v>
      </c>
      <c r="C29" s="18"/>
      <c r="D29" s="18"/>
      <c r="E29" s="1">
        <f t="shared" si="14"/>
        <v>0</v>
      </c>
      <c r="F29" s="1"/>
      <c r="H29" s="47"/>
      <c r="I29" s="1"/>
      <c r="L29"/>
      <c r="M29" s="1"/>
    </row>
    <row r="30" spans="1:14" x14ac:dyDescent="0.25">
      <c r="A30" s="8" t="s">
        <v>132</v>
      </c>
      <c r="B30" s="15">
        <f>$C$3</f>
        <v>30.72</v>
      </c>
      <c r="C30" s="18"/>
      <c r="D30" s="18"/>
      <c r="E30" s="1">
        <f t="shared" si="14"/>
        <v>0</v>
      </c>
      <c r="F30" s="1"/>
      <c r="H30" s="47"/>
      <c r="I30" s="1"/>
      <c r="L30"/>
      <c r="M30" s="1"/>
    </row>
    <row r="31" spans="1:14" x14ac:dyDescent="0.25">
      <c r="A31" s="8" t="s">
        <v>12</v>
      </c>
      <c r="B31" s="15">
        <f>$C$4</f>
        <v>120</v>
      </c>
      <c r="C31" s="18"/>
      <c r="D31" s="18"/>
      <c r="E31" s="1">
        <f t="shared" si="14"/>
        <v>0</v>
      </c>
      <c r="F31" s="1"/>
      <c r="H31" s="47"/>
      <c r="I31" s="1"/>
      <c r="L31"/>
      <c r="M31" s="1"/>
    </row>
    <row r="32" spans="1:14" x14ac:dyDescent="0.25">
      <c r="A32" s="8" t="s">
        <v>14</v>
      </c>
      <c r="B32" s="15">
        <f>$C$5</f>
        <v>46.92</v>
      </c>
      <c r="C32" s="18"/>
      <c r="D32" s="18"/>
      <c r="E32" s="1">
        <f t="shared" si="14"/>
        <v>0</v>
      </c>
      <c r="F32" s="1"/>
      <c r="H32" s="47"/>
      <c r="I32" s="1"/>
      <c r="L32"/>
      <c r="M32" s="1"/>
    </row>
    <row r="33" spans="1:14" x14ac:dyDescent="0.25">
      <c r="A33" s="8" t="s">
        <v>15</v>
      </c>
      <c r="B33" s="18">
        <f>$C$6</f>
        <v>0</v>
      </c>
      <c r="C33" s="18">
        <f t="shared" ref="C33" si="15">B33</f>
        <v>0</v>
      </c>
      <c r="D33" s="18"/>
      <c r="E33" s="1">
        <f t="shared" si="14"/>
        <v>0</v>
      </c>
      <c r="F33" s="1"/>
      <c r="H33" s="47"/>
      <c r="I33" s="1"/>
      <c r="L33"/>
      <c r="M33" s="13"/>
    </row>
    <row r="34" spans="1:14" x14ac:dyDescent="0.25">
      <c r="A34" s="8" t="s">
        <v>16</v>
      </c>
      <c r="B34" s="15">
        <f>$C$7</f>
        <v>110</v>
      </c>
      <c r="C34" s="18"/>
      <c r="D34" s="18"/>
      <c r="E34" s="1">
        <f t="shared" si="14"/>
        <v>0</v>
      </c>
      <c r="F34" s="1"/>
      <c r="H34" s="47"/>
      <c r="I34" s="1"/>
      <c r="J34" s="1"/>
      <c r="L34"/>
      <c r="M34" s="1"/>
    </row>
    <row r="35" spans="1:14" x14ac:dyDescent="0.25">
      <c r="A35" s="8" t="s">
        <v>17</v>
      </c>
      <c r="B35" s="15">
        <f>$C$8</f>
        <v>56</v>
      </c>
      <c r="C35" s="18"/>
      <c r="D35" s="18"/>
      <c r="E35" s="1">
        <f t="shared" si="14"/>
        <v>0</v>
      </c>
      <c r="F35" s="1"/>
      <c r="H35" s="47"/>
      <c r="I35" s="1"/>
      <c r="L35"/>
      <c r="M35" s="1"/>
    </row>
    <row r="36" spans="1:14" x14ac:dyDescent="0.25">
      <c r="A36" s="8" t="s">
        <v>18</v>
      </c>
      <c r="B36" s="15">
        <f>$C$9</f>
        <v>40</v>
      </c>
      <c r="C36" s="18"/>
      <c r="D36" s="18"/>
      <c r="E36" s="1">
        <f t="shared" si="14"/>
        <v>0</v>
      </c>
      <c r="F36" s="1"/>
      <c r="H36" s="47"/>
      <c r="I36" s="1"/>
      <c r="J36" s="13"/>
      <c r="L36"/>
      <c r="M36" s="1"/>
    </row>
    <row r="37" spans="1:14" x14ac:dyDescent="0.25">
      <c r="A37" s="8" t="s">
        <v>19</v>
      </c>
      <c r="B37" s="15">
        <v>250</v>
      </c>
      <c r="C37" s="18"/>
      <c r="D37" s="15">
        <v>250</v>
      </c>
      <c r="F37" s="1"/>
      <c r="H37" s="47"/>
      <c r="I37" s="1"/>
      <c r="J37" s="1"/>
      <c r="L37"/>
      <c r="M37" s="1"/>
    </row>
    <row r="38" spans="1:14" x14ac:dyDescent="0.25">
      <c r="A38" s="8" t="s">
        <v>38</v>
      </c>
      <c r="B38" s="18">
        <f>$C$12</f>
        <v>0</v>
      </c>
      <c r="C38" s="18">
        <f t="shared" ref="C38:C53" si="16">B38</f>
        <v>0</v>
      </c>
      <c r="D38" s="18"/>
      <c r="E38" s="1">
        <f t="shared" si="14"/>
        <v>0</v>
      </c>
      <c r="F38" s="1"/>
      <c r="H38" s="47"/>
      <c r="I38" s="1"/>
      <c r="J38" s="1"/>
      <c r="L38"/>
      <c r="M38" s="1"/>
    </row>
    <row r="39" spans="1:14" x14ac:dyDescent="0.25">
      <c r="A39" s="56" t="s">
        <v>21</v>
      </c>
      <c r="B39" s="15">
        <v>295</v>
      </c>
      <c r="C39" s="18"/>
      <c r="D39" s="18"/>
      <c r="E39" s="1">
        <f t="shared" si="14"/>
        <v>0</v>
      </c>
      <c r="F39" s="1"/>
      <c r="H39" s="47"/>
      <c r="I39" s="1"/>
      <c r="L39"/>
      <c r="M39" s="1"/>
    </row>
    <row r="40" spans="1:14" x14ac:dyDescent="0.25">
      <c r="A40" s="8" t="s">
        <v>10</v>
      </c>
      <c r="B40" s="15">
        <v>1000</v>
      </c>
      <c r="C40" s="18"/>
      <c r="D40" s="18"/>
      <c r="E40" s="1">
        <f t="shared" si="14"/>
        <v>0</v>
      </c>
      <c r="F40" s="1"/>
      <c r="H40" s="47"/>
      <c r="I40" s="1"/>
      <c r="L40"/>
      <c r="M40" s="1"/>
    </row>
    <row r="41" spans="1:14" s="3" customFormat="1" x14ac:dyDescent="0.25">
      <c r="A41" s="8" t="s">
        <v>35</v>
      </c>
      <c r="B41" s="18">
        <f>$C$16</f>
        <v>0</v>
      </c>
      <c r="C41" s="18">
        <f t="shared" si="16"/>
        <v>0</v>
      </c>
      <c r="D41" s="18"/>
      <c r="E41" s="1">
        <f t="shared" si="14"/>
        <v>0</v>
      </c>
      <c r="F41" s="1"/>
      <c r="G41" s="1"/>
      <c r="H41" s="47"/>
      <c r="I41" s="1"/>
      <c r="J41" s="4"/>
      <c r="K41"/>
      <c r="L41"/>
      <c r="M41" s="1"/>
      <c r="N41"/>
    </row>
    <row r="42" spans="1:14" s="3" customFormat="1" x14ac:dyDescent="0.25">
      <c r="A42" s="8" t="s">
        <v>33</v>
      </c>
      <c r="B42" s="15">
        <v>253</v>
      </c>
      <c r="C42" s="18"/>
      <c r="D42" s="18"/>
      <c r="E42" s="1">
        <f t="shared" si="14"/>
        <v>0</v>
      </c>
      <c r="F42" s="1"/>
      <c r="G42" s="1"/>
      <c r="H42" s="47"/>
      <c r="I42" s="1"/>
      <c r="J42"/>
      <c r="K42"/>
      <c r="L42"/>
      <c r="M42" s="1"/>
      <c r="N42"/>
    </row>
    <row r="43" spans="1:14" s="3" customFormat="1" x14ac:dyDescent="0.25">
      <c r="A43" s="8" t="s">
        <v>44</v>
      </c>
      <c r="B43" s="15">
        <v>174.87</v>
      </c>
      <c r="C43" s="18"/>
      <c r="D43" s="18"/>
      <c r="E43" s="1">
        <f t="shared" si="14"/>
        <v>0</v>
      </c>
      <c r="F43" s="1"/>
      <c r="G43" s="1"/>
      <c r="H43" s="47"/>
      <c r="I43" s="1"/>
      <c r="J43"/>
      <c r="K43"/>
      <c r="L43"/>
      <c r="N43"/>
    </row>
    <row r="44" spans="1:14" x14ac:dyDescent="0.25">
      <c r="A44" s="8" t="s">
        <v>45</v>
      </c>
      <c r="B44" s="18">
        <v>0</v>
      </c>
      <c r="C44" s="18">
        <f t="shared" si="16"/>
        <v>0</v>
      </c>
      <c r="D44" s="18"/>
      <c r="E44" s="1">
        <f t="shared" si="14"/>
        <v>0</v>
      </c>
      <c r="F44" s="1"/>
      <c r="H44" s="47"/>
      <c r="I44" s="1"/>
      <c r="L44"/>
      <c r="M44" s="1"/>
    </row>
    <row r="45" spans="1:14" s="3" customFormat="1" x14ac:dyDescent="0.25">
      <c r="A45" s="8" t="s">
        <v>52</v>
      </c>
      <c r="B45" s="18"/>
      <c r="C45" s="18">
        <f>B45</f>
        <v>0</v>
      </c>
      <c r="D45" s="15">
        <v>536.79</v>
      </c>
      <c r="E45" s="1"/>
      <c r="F45" s="1"/>
      <c r="G45" s="1"/>
      <c r="H45" s="47"/>
      <c r="I45" s="1"/>
      <c r="J45"/>
      <c r="K45"/>
      <c r="L45"/>
      <c r="M45" s="1"/>
      <c r="N45"/>
    </row>
    <row r="46" spans="1:14" s="3" customFormat="1" x14ac:dyDescent="0.25">
      <c r="A46" s="8" t="s">
        <v>55</v>
      </c>
      <c r="B46" s="18">
        <f>$B$15</f>
        <v>0</v>
      </c>
      <c r="C46" s="18">
        <f t="shared" si="16"/>
        <v>0</v>
      </c>
      <c r="E46" s="1">
        <f t="shared" si="14"/>
        <v>0</v>
      </c>
      <c r="F46" s="1"/>
      <c r="G46" s="1"/>
      <c r="H46" s="47"/>
      <c r="I46" s="1"/>
      <c r="K46"/>
      <c r="L46"/>
      <c r="M46" s="1"/>
      <c r="N46"/>
    </row>
    <row r="47" spans="1:14" s="3" customFormat="1" x14ac:dyDescent="0.25">
      <c r="A47" s="8" t="s">
        <v>124</v>
      </c>
      <c r="B47" s="15">
        <f>$C$19</f>
        <v>580.95000000000005</v>
      </c>
      <c r="C47" s="18"/>
      <c r="E47" s="1">
        <f t="shared" si="14"/>
        <v>0</v>
      </c>
      <c r="F47" s="1"/>
      <c r="G47" s="1"/>
      <c r="H47" s="47"/>
      <c r="I47" s="1"/>
      <c r="K47"/>
      <c r="L47"/>
      <c r="M47" s="1"/>
      <c r="N47"/>
    </row>
    <row r="48" spans="1:14" s="3" customFormat="1" x14ac:dyDescent="0.25">
      <c r="A48" s="8" t="s">
        <v>107</v>
      </c>
      <c r="B48" s="15">
        <f>$C$20</f>
        <v>344</v>
      </c>
      <c r="C48" s="18"/>
      <c r="E48" s="1">
        <f t="shared" si="14"/>
        <v>0</v>
      </c>
      <c r="F48" s="1"/>
      <c r="G48" s="1"/>
      <c r="H48" s="47"/>
      <c r="I48" s="1"/>
      <c r="K48"/>
      <c r="L48"/>
      <c r="M48" s="1"/>
      <c r="N48"/>
    </row>
    <row r="49" spans="1:14" s="3" customFormat="1" x14ac:dyDescent="0.25">
      <c r="A49" s="8" t="s">
        <v>120</v>
      </c>
      <c r="B49" s="15">
        <v>200</v>
      </c>
      <c r="C49" s="18"/>
      <c r="D49" s="1"/>
      <c r="E49" s="1">
        <f t="shared" si="14"/>
        <v>0</v>
      </c>
      <c r="F49" s="1"/>
      <c r="G49" s="1"/>
      <c r="H49" s="47"/>
      <c r="I49" s="1"/>
      <c r="K49"/>
      <c r="L49"/>
      <c r="M49" s="1"/>
      <c r="N49"/>
    </row>
    <row r="50" spans="1:14" s="3" customFormat="1" x14ac:dyDescent="0.25">
      <c r="A50" s="8" t="s">
        <v>131</v>
      </c>
      <c r="B50" s="18"/>
      <c r="C50" s="18">
        <f t="shared" si="16"/>
        <v>0</v>
      </c>
      <c r="D50" s="15">
        <v>79.989999999999995</v>
      </c>
      <c r="E50" s="1">
        <v>0</v>
      </c>
      <c r="F50" s="1"/>
      <c r="G50" s="1"/>
      <c r="H50" s="47"/>
      <c r="I50" s="1"/>
      <c r="K50"/>
      <c r="L50"/>
      <c r="M50" s="1"/>
      <c r="N50"/>
    </row>
    <row r="51" spans="1:14" s="3" customFormat="1" x14ac:dyDescent="0.25">
      <c r="A51" s="8" t="s">
        <v>136</v>
      </c>
      <c r="B51" s="18"/>
      <c r="C51" s="18">
        <f t="shared" si="16"/>
        <v>0</v>
      </c>
      <c r="D51" s="1"/>
      <c r="E51" s="1">
        <f t="shared" si="14"/>
        <v>0</v>
      </c>
      <c r="F51" s="1"/>
      <c r="G51" s="1"/>
      <c r="H51" s="47"/>
      <c r="I51" s="1"/>
      <c r="K51"/>
      <c r="L51"/>
      <c r="M51" s="1"/>
      <c r="N51"/>
    </row>
    <row r="52" spans="1:14" s="3" customFormat="1" x14ac:dyDescent="0.25">
      <c r="A52" s="8" t="s">
        <v>123</v>
      </c>
      <c r="B52" s="15">
        <v>1552.16</v>
      </c>
      <c r="C52" s="18"/>
      <c r="D52" s="1"/>
      <c r="E52" s="1"/>
      <c r="F52" s="1"/>
      <c r="G52" s="1"/>
      <c r="H52" s="47"/>
      <c r="I52" s="1"/>
      <c r="K52"/>
      <c r="L52"/>
      <c r="M52" s="1"/>
      <c r="N52"/>
    </row>
    <row r="53" spans="1:14" s="3" customFormat="1" x14ac:dyDescent="0.25">
      <c r="A53" s="8" t="s">
        <v>130</v>
      </c>
      <c r="B53" s="18"/>
      <c r="C53" s="18">
        <f t="shared" si="16"/>
        <v>0</v>
      </c>
      <c r="D53" s="15">
        <v>500</v>
      </c>
      <c r="E53" s="1"/>
      <c r="F53" s="1"/>
      <c r="G53" s="1"/>
      <c r="H53" s="47"/>
      <c r="I53" s="1"/>
      <c r="K53"/>
      <c r="L53"/>
      <c r="M53" s="1"/>
      <c r="N53"/>
    </row>
    <row r="54" spans="1:14" s="3" customFormat="1" ht="15.75" thickBot="1" x14ac:dyDescent="0.3">
      <c r="A54" s="37"/>
      <c r="B54" s="35"/>
      <c r="C54" s="35"/>
      <c r="D54" s="35"/>
      <c r="E54" s="36"/>
      <c r="F54" s="35"/>
      <c r="G54" s="35"/>
      <c r="H54" s="48"/>
      <c r="I54" s="35"/>
      <c r="J54" s="36"/>
      <c r="K54"/>
      <c r="L54"/>
      <c r="M54" s="1"/>
      <c r="N54"/>
    </row>
    <row r="55" spans="1:14" s="3" customFormat="1" ht="15.75" thickTop="1" x14ac:dyDescent="0.25">
      <c r="A55" s="8" t="s">
        <v>41</v>
      </c>
      <c r="B55" s="1">
        <f>SUM(B26:B54)</f>
        <v>7663.1299999999992</v>
      </c>
      <c r="C55" s="1">
        <f>SUM(C26:C54)</f>
        <v>0</v>
      </c>
      <c r="D55" s="1">
        <f>SUM(D26:D54)</f>
        <v>4401.26</v>
      </c>
      <c r="E55" s="1">
        <f>SUM(E27:E54)</f>
        <v>0</v>
      </c>
      <c r="F55" s="1"/>
      <c r="G55" s="1"/>
      <c r="H55" s="47"/>
      <c r="I55" s="1"/>
      <c r="K55"/>
      <c r="L55"/>
      <c r="M55" s="1"/>
      <c r="N55"/>
    </row>
    <row r="56" spans="1:14" s="3" customFormat="1" ht="15.75" thickBot="1" x14ac:dyDescent="0.3">
      <c r="A56" s="34" t="s">
        <v>106</v>
      </c>
      <c r="B56" s="35"/>
      <c r="C56" s="35"/>
      <c r="D56" s="49"/>
      <c r="E56" s="35"/>
      <c r="F56" s="35"/>
      <c r="G56" s="35"/>
      <c r="H56" s="48"/>
      <c r="I56" s="35"/>
      <c r="J56" s="34"/>
      <c r="K56"/>
      <c r="L56"/>
      <c r="M56" s="1"/>
      <c r="N56"/>
    </row>
    <row r="57" spans="1:14" s="3" customFormat="1" ht="15.75" thickTop="1" x14ac:dyDescent="0.25">
      <c r="A57" s="50"/>
      <c r="B57" s="51">
        <f>B56-B55</f>
        <v>-7663.1299999999992</v>
      </c>
      <c r="C57" s="51">
        <f>C56-C55</f>
        <v>0</v>
      </c>
      <c r="D57" s="51">
        <f t="shared" ref="D57:E57" si="17">D56-D55</f>
        <v>-4401.26</v>
      </c>
      <c r="E57" s="51">
        <f t="shared" si="17"/>
        <v>0</v>
      </c>
      <c r="F57" s="51"/>
      <c r="G57" s="51"/>
      <c r="H57" s="54"/>
      <c r="I57" s="51"/>
      <c r="J57" s="50"/>
      <c r="K57"/>
      <c r="L57"/>
      <c r="M57" s="1"/>
      <c r="N57"/>
    </row>
    <row r="58" spans="1:14" s="53" customFormat="1" x14ac:dyDescent="0.25">
      <c r="A58" s="50"/>
      <c r="B58" s="51"/>
      <c r="C58" s="51"/>
      <c r="D58" s="52"/>
      <c r="F58" s="51"/>
      <c r="G58" s="51"/>
      <c r="H58" s="54"/>
      <c r="I58" s="51"/>
      <c r="J58" s="50"/>
      <c r="K58" s="50"/>
      <c r="L58" s="50"/>
      <c r="M58" s="51"/>
      <c r="N58" s="50"/>
    </row>
    <row r="59" spans="1:14" x14ac:dyDescent="0.25">
      <c r="A59" s="8" t="s">
        <v>40</v>
      </c>
      <c r="B59" s="9">
        <v>9165.94</v>
      </c>
      <c r="C59" s="9"/>
      <c r="D59" s="28"/>
      <c r="E59" s="3"/>
      <c r="F59" s="1"/>
      <c r="H59" s="47"/>
      <c r="I59" s="1"/>
      <c r="L59"/>
      <c r="M59" s="1"/>
    </row>
    <row r="60" spans="1:14" x14ac:dyDescent="0.25">
      <c r="A60" s="8" t="s">
        <v>129</v>
      </c>
      <c r="B60" s="9"/>
      <c r="C60" s="9">
        <v>0</v>
      </c>
      <c r="D60" s="28"/>
      <c r="E60" s="3"/>
      <c r="F60" s="1"/>
      <c r="H60" s="47"/>
      <c r="I60" s="1"/>
      <c r="L60"/>
      <c r="M60" s="1"/>
    </row>
    <row r="61" spans="1:14" ht="15.75" thickBot="1" x14ac:dyDescent="0.3">
      <c r="A61" s="34"/>
      <c r="B61" s="35"/>
      <c r="C61" s="35"/>
      <c r="D61" s="43"/>
      <c r="E61" s="36"/>
      <c r="F61" s="35"/>
      <c r="G61" s="35"/>
      <c r="H61" s="48"/>
      <c r="I61" s="35"/>
      <c r="J61" s="34"/>
      <c r="L61"/>
      <c r="M61" s="1"/>
    </row>
    <row r="62" spans="1:14" ht="15.75" thickTop="1" x14ac:dyDescent="0.25">
      <c r="A62" t="s">
        <v>125</v>
      </c>
      <c r="B62" s="1">
        <f>SUM(B59:B61)-B55</f>
        <v>1502.8100000000013</v>
      </c>
      <c r="C62" s="1">
        <f>SUM(C59:C61)-C55</f>
        <v>0</v>
      </c>
      <c r="D62" s="1">
        <f>SUM(D59:D61)-D55</f>
        <v>-4401.26</v>
      </c>
      <c r="E62" s="1">
        <f>SUM(E59:E61)-E55</f>
        <v>0</v>
      </c>
      <c r="F62" s="1"/>
      <c r="H62" s="47"/>
      <c r="I62" s="1"/>
      <c r="L62"/>
      <c r="M62" s="1"/>
    </row>
    <row r="63" spans="1:14" x14ac:dyDescent="0.25">
      <c r="C63" s="1"/>
      <c r="D63"/>
      <c r="E63" s="3"/>
      <c r="F63" s="1"/>
      <c r="H63" s="47"/>
      <c r="I63" s="1"/>
      <c r="L63"/>
      <c r="M63" s="1"/>
    </row>
    <row r="64" spans="1:14" x14ac:dyDescent="0.25">
      <c r="C64" s="1"/>
      <c r="D64"/>
      <c r="E64" s="3"/>
      <c r="F64" s="1"/>
      <c r="H64" s="47"/>
      <c r="I64" s="1"/>
      <c r="L64"/>
      <c r="M64" s="1"/>
    </row>
    <row r="65" spans="3:13" x14ac:dyDescent="0.25">
      <c r="C65" s="1"/>
      <c r="D65"/>
      <c r="E65" s="3"/>
      <c r="F65" s="1"/>
      <c r="H65" s="47"/>
      <c r="I65" s="1"/>
      <c r="L65"/>
      <c r="M65" s="1"/>
    </row>
  </sheetData>
  <autoFilter ref="A1:L20" xr:uid="{2946977F-407D-456D-AD87-CDC6A67FE974}"/>
  <conditionalFormatting sqref="B27:B53 D27:D53">
    <cfRule type="cellIs" dxfId="29" priority="4" operator="equal">
      <formula>0</formula>
    </cfRule>
  </conditionalFormatting>
  <conditionalFormatting sqref="B19:C21 B18 B2:C9 C10 B11:C17">
    <cfRule type="cellIs" dxfId="28" priority="2" operator="equal">
      <formula>0</formula>
    </cfRule>
    <cfRule type="cellIs" dxfId="27" priority="3" operator="equal">
      <formula>0</formula>
    </cfRule>
  </conditionalFormatting>
  <conditionalFormatting sqref="E2:E22">
    <cfRule type="cellIs" dxfId="26" priority="1" operator="greaterThan">
      <formula>0.08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120A-B77B-447A-AF80-1731E4741BBC}">
  <dimension ref="A1:N64"/>
  <sheetViews>
    <sheetView workbookViewId="0">
      <selection activeCell="C31" sqref="C31"/>
    </sheetView>
  </sheetViews>
  <sheetFormatPr defaultRowHeight="15" x14ac:dyDescent="0.25"/>
  <cols>
    <col min="1" max="1" width="12" bestFit="1" customWidth="1"/>
    <col min="2" max="2" width="12.5703125" style="1" bestFit="1" customWidth="1"/>
    <col min="3" max="3" width="18.5703125" customWidth="1"/>
    <col min="4" max="4" width="12.140625" style="3" bestFit="1" customWidth="1"/>
    <col min="5" max="5" width="11.28515625" style="1" bestFit="1" customWidth="1"/>
    <col min="6" max="6" width="12.5703125" style="47" bestFit="1" customWidth="1"/>
    <col min="7" max="7" width="12.5703125" style="1" customWidth="1"/>
    <col min="8" max="8" width="11.5703125" style="1" bestFit="1" customWidth="1"/>
    <col min="9" max="9" width="11.5703125" bestFit="1" customWidth="1"/>
    <col min="10" max="10" width="13.140625" bestFit="1" customWidth="1"/>
    <col min="11" max="11" width="11.5703125" bestFit="1" customWidth="1"/>
    <col min="12" max="12" width="12.140625" style="1" bestFit="1" customWidth="1"/>
    <col min="13" max="13" width="12.140625" bestFit="1" customWidth="1"/>
  </cols>
  <sheetData>
    <row r="1" spans="1:14" x14ac:dyDescent="0.25">
      <c r="A1" t="s">
        <v>0</v>
      </c>
      <c r="B1" s="1" t="s">
        <v>1</v>
      </c>
      <c r="C1" s="1" t="s">
        <v>50</v>
      </c>
      <c r="D1" s="5">
        <v>0</v>
      </c>
      <c r="E1" s="3" t="s">
        <v>2</v>
      </c>
      <c r="F1" s="47" t="s">
        <v>133</v>
      </c>
      <c r="G1" s="1" t="s">
        <v>134</v>
      </c>
      <c r="H1" s="1" t="s">
        <v>3</v>
      </c>
      <c r="I1" s="1" t="s">
        <v>4</v>
      </c>
      <c r="J1" t="s">
        <v>5</v>
      </c>
      <c r="K1" t="s">
        <v>6</v>
      </c>
      <c r="L1" t="s">
        <v>7</v>
      </c>
      <c r="M1" s="1" t="s">
        <v>8</v>
      </c>
    </row>
    <row r="2" spans="1:14" x14ac:dyDescent="0.25">
      <c r="A2" t="s">
        <v>106</v>
      </c>
      <c r="B2" s="1">
        <v>17081.080000000002</v>
      </c>
      <c r="C2" s="18">
        <v>172</v>
      </c>
      <c r="D2" s="42">
        <v>44105</v>
      </c>
      <c r="E2" s="3">
        <v>0</v>
      </c>
      <c r="F2" s="47" t="str">
        <f t="shared" ref="F2:F21" si="0">IF(ISERROR(DATEDIF($A$24,D2,"m"))," ",DATEDIF($A$24,D2,"m"))</f>
        <v xml:space="preserve"> </v>
      </c>
      <c r="G2" s="1" t="str">
        <f>IF(ISERROR(B2/(F2+1))," ",B2/(F2+1))</f>
        <v xml:space="preserve"> </v>
      </c>
      <c r="H2" s="1">
        <v>580</v>
      </c>
      <c r="I2" s="1">
        <f t="shared" ref="I2:I21" si="1">B2/3</f>
        <v>5693.6933333333336</v>
      </c>
      <c r="J2" s="4">
        <f t="shared" ref="J2:J21" si="2">B2/6</f>
        <v>2846.8466666666668</v>
      </c>
      <c r="K2" s="4">
        <f t="shared" ref="K2:K21" si="3">J2/2</f>
        <v>1423.4233333333334</v>
      </c>
      <c r="L2" s="4">
        <f t="shared" ref="L2:L21" si="4">B2/12</f>
        <v>1423.4233333333334</v>
      </c>
      <c r="M2" s="1">
        <f t="shared" ref="M2:M21" si="5">(B2*E2)/12</f>
        <v>0</v>
      </c>
    </row>
    <row r="3" spans="1:14" x14ac:dyDescent="0.25">
      <c r="A3" t="s">
        <v>132</v>
      </c>
      <c r="B3" s="13">
        <v>77.22</v>
      </c>
      <c r="C3" s="55">
        <f>B3</f>
        <v>77.22</v>
      </c>
      <c r="D3" s="42"/>
      <c r="E3" s="3"/>
      <c r="F3" s="47" t="str">
        <f t="shared" si="0"/>
        <v xml:space="preserve"> </v>
      </c>
      <c r="G3" s="1" t="str">
        <f t="shared" ref="G3:G21" si="6">IF(ISERROR(B3/(F3+1))," ",B3/(F3+1))</f>
        <v xml:space="preserve"> </v>
      </c>
      <c r="I3" s="1">
        <f>B3/3</f>
        <v>25.74</v>
      </c>
      <c r="J3" s="4">
        <f>B3/6</f>
        <v>12.87</v>
      </c>
      <c r="K3" s="4">
        <f>J3/2</f>
        <v>6.4349999999999996</v>
      </c>
      <c r="L3" s="4">
        <f t="shared" si="4"/>
        <v>6.4349999999999996</v>
      </c>
      <c r="M3" s="1">
        <f t="shared" si="5"/>
        <v>0</v>
      </c>
    </row>
    <row r="4" spans="1:14" x14ac:dyDescent="0.25">
      <c r="A4" t="s">
        <v>12</v>
      </c>
      <c r="B4" s="1">
        <v>11884</v>
      </c>
      <c r="C4" s="18">
        <v>120</v>
      </c>
      <c r="D4" s="2">
        <v>44211</v>
      </c>
      <c r="E4" s="3">
        <v>0</v>
      </c>
      <c r="F4" s="47">
        <f t="shared" si="0"/>
        <v>2</v>
      </c>
      <c r="G4" s="1">
        <f t="shared" si="6"/>
        <v>3961.3333333333335</v>
      </c>
      <c r="H4" s="1">
        <v>408</v>
      </c>
      <c r="I4" s="1">
        <f t="shared" si="1"/>
        <v>3961.3333333333335</v>
      </c>
      <c r="J4" s="4">
        <f t="shared" si="2"/>
        <v>1980.6666666666667</v>
      </c>
      <c r="K4" s="4">
        <f t="shared" si="3"/>
        <v>990.33333333333337</v>
      </c>
      <c r="L4" s="4">
        <f>B4/12</f>
        <v>990.33333333333337</v>
      </c>
      <c r="M4" s="1">
        <f t="shared" si="5"/>
        <v>0</v>
      </c>
    </row>
    <row r="5" spans="1:14" x14ac:dyDescent="0.25">
      <c r="A5" t="s">
        <v>14</v>
      </c>
      <c r="B5" s="1">
        <v>51.54</v>
      </c>
      <c r="C5" s="18">
        <f>B5</f>
        <v>51.54</v>
      </c>
      <c r="D5" s="2"/>
      <c r="E5" s="3"/>
      <c r="F5" s="47" t="str">
        <f t="shared" si="0"/>
        <v xml:space="preserve"> </v>
      </c>
      <c r="G5" s="1" t="str">
        <f t="shared" si="6"/>
        <v xml:space="preserve"> </v>
      </c>
      <c r="I5" s="1">
        <f t="shared" si="1"/>
        <v>17.18</v>
      </c>
      <c r="J5" s="4">
        <f t="shared" si="2"/>
        <v>8.59</v>
      </c>
      <c r="K5" s="4">
        <f t="shared" si="3"/>
        <v>4.2949999999999999</v>
      </c>
      <c r="L5" s="4">
        <f t="shared" si="4"/>
        <v>4.2949999999999999</v>
      </c>
      <c r="M5" s="1">
        <f>(B5*E5)/12</f>
        <v>0</v>
      </c>
    </row>
    <row r="6" spans="1:14" x14ac:dyDescent="0.25">
      <c r="A6" t="s">
        <v>15</v>
      </c>
      <c r="B6" s="1">
        <v>0</v>
      </c>
      <c r="C6" s="1"/>
      <c r="D6" s="2"/>
      <c r="E6" s="3"/>
      <c r="F6" s="47" t="str">
        <f t="shared" si="0"/>
        <v xml:space="preserve"> </v>
      </c>
      <c r="G6" s="1" t="str">
        <f t="shared" si="6"/>
        <v xml:space="preserve"> </v>
      </c>
      <c r="I6" s="1">
        <f t="shared" si="1"/>
        <v>0</v>
      </c>
      <c r="J6" s="4">
        <f t="shared" si="2"/>
        <v>0</v>
      </c>
      <c r="K6" s="4">
        <f t="shared" si="3"/>
        <v>0</v>
      </c>
      <c r="L6" s="4">
        <f t="shared" si="4"/>
        <v>0</v>
      </c>
      <c r="M6" s="1">
        <f t="shared" si="5"/>
        <v>0</v>
      </c>
    </row>
    <row r="7" spans="1:14" x14ac:dyDescent="0.25">
      <c r="A7" t="s">
        <v>16</v>
      </c>
      <c r="B7" s="1">
        <v>10845.69</v>
      </c>
      <c r="C7" s="18">
        <v>111</v>
      </c>
      <c r="D7" s="2">
        <v>44209</v>
      </c>
      <c r="E7" s="3">
        <v>0</v>
      </c>
      <c r="F7" s="47">
        <f t="shared" si="0"/>
        <v>2</v>
      </c>
      <c r="G7" s="1">
        <f t="shared" si="6"/>
        <v>3615.23</v>
      </c>
      <c r="I7" s="1">
        <f t="shared" si="1"/>
        <v>3615.23</v>
      </c>
      <c r="J7" s="4">
        <f t="shared" si="2"/>
        <v>1807.615</v>
      </c>
      <c r="K7" s="4">
        <f t="shared" si="3"/>
        <v>903.8075</v>
      </c>
      <c r="L7" s="4">
        <f t="shared" si="4"/>
        <v>903.8075</v>
      </c>
      <c r="M7" s="1">
        <f t="shared" si="5"/>
        <v>0</v>
      </c>
    </row>
    <row r="8" spans="1:14" x14ac:dyDescent="0.25">
      <c r="A8" t="s">
        <v>17</v>
      </c>
      <c r="B8" s="1">
        <v>1528.7</v>
      </c>
      <c r="C8" s="1">
        <v>36</v>
      </c>
      <c r="D8" s="2"/>
      <c r="E8" s="3">
        <v>0.15240000000000001</v>
      </c>
      <c r="F8" s="47" t="str">
        <f t="shared" si="0"/>
        <v xml:space="preserve"> </v>
      </c>
      <c r="G8" s="1" t="str">
        <f t="shared" si="6"/>
        <v xml:space="preserve"> </v>
      </c>
      <c r="I8" s="1">
        <f t="shared" si="1"/>
        <v>509.56666666666666</v>
      </c>
      <c r="J8" s="4">
        <f t="shared" si="2"/>
        <v>254.78333333333333</v>
      </c>
      <c r="K8" s="4">
        <f t="shared" si="3"/>
        <v>127.39166666666667</v>
      </c>
      <c r="L8" s="4">
        <f t="shared" si="4"/>
        <v>127.39166666666667</v>
      </c>
      <c r="M8" s="1">
        <f t="shared" si="5"/>
        <v>19.414490000000001</v>
      </c>
      <c r="N8" s="4"/>
    </row>
    <row r="9" spans="1:14" x14ac:dyDescent="0.25">
      <c r="A9" t="s">
        <v>18</v>
      </c>
      <c r="B9" s="1">
        <v>751.71</v>
      </c>
      <c r="C9" s="1">
        <v>36</v>
      </c>
      <c r="D9" s="2"/>
      <c r="E9" s="3">
        <v>0.15240000000000001</v>
      </c>
      <c r="F9" s="47" t="str">
        <f t="shared" si="0"/>
        <v xml:space="preserve"> </v>
      </c>
      <c r="G9" s="1" t="str">
        <f t="shared" si="6"/>
        <v xml:space="preserve"> </v>
      </c>
      <c r="I9" s="1">
        <f>B9/3</f>
        <v>250.57000000000002</v>
      </c>
      <c r="J9" s="4">
        <f t="shared" si="2"/>
        <v>125.28500000000001</v>
      </c>
      <c r="K9" s="4">
        <f t="shared" si="3"/>
        <v>62.642500000000005</v>
      </c>
      <c r="L9" s="4">
        <f t="shared" si="4"/>
        <v>62.642500000000005</v>
      </c>
      <c r="M9" s="1">
        <f t="shared" si="5"/>
        <v>9.546717000000001</v>
      </c>
    </row>
    <row r="10" spans="1:14" x14ac:dyDescent="0.25">
      <c r="A10" t="s">
        <v>19</v>
      </c>
      <c r="B10" s="1">
        <v>8049.1</v>
      </c>
      <c r="C10" s="1">
        <v>250</v>
      </c>
      <c r="D10" s="2">
        <v>44306</v>
      </c>
      <c r="E10" s="3">
        <v>0</v>
      </c>
      <c r="F10" s="47">
        <f t="shared" si="0"/>
        <v>5</v>
      </c>
      <c r="G10" s="1">
        <f>IF(ISERROR(B11/(F10+1))," ",B11/(F10+1))</f>
        <v>1607.11</v>
      </c>
      <c r="I10" s="1">
        <f t="shared" ref="I10" si="7">B10/3</f>
        <v>2683.0333333333333</v>
      </c>
      <c r="J10" s="4">
        <f>B10/6</f>
        <v>1341.5166666666667</v>
      </c>
      <c r="K10" s="4">
        <f>J10/2</f>
        <v>670.75833333333333</v>
      </c>
      <c r="L10" s="4">
        <f t="shared" ref="L10" si="8">B10/12</f>
        <v>670.75833333333333</v>
      </c>
      <c r="M10" s="1">
        <f t="shared" ref="M10:M11" si="9">(B10*E10)/12</f>
        <v>0</v>
      </c>
    </row>
    <row r="11" spans="1:14" x14ac:dyDescent="0.25">
      <c r="A11" t="s">
        <v>19</v>
      </c>
      <c r="B11" s="1">
        <v>9642.66</v>
      </c>
      <c r="C11" s="1">
        <v>250</v>
      </c>
      <c r="D11" s="2"/>
      <c r="E11" s="3">
        <v>7.2400000000000006E-2</v>
      </c>
      <c r="F11" s="47" t="str">
        <f t="shared" si="0"/>
        <v xml:space="preserve"> </v>
      </c>
      <c r="G11" s="1" t="str">
        <f>IF(ISERROR(#REF!/(F11+1))," ",#REF!/(F11+1))</f>
        <v xml:space="preserve"> </v>
      </c>
      <c r="I11" s="1">
        <f>B11/3</f>
        <v>3214.22</v>
      </c>
      <c r="J11" s="4">
        <f t="shared" ref="J11" si="10">B11/6</f>
        <v>1607.11</v>
      </c>
      <c r="K11" s="4">
        <f t="shared" ref="K11" si="11">J11/2</f>
        <v>803.55499999999995</v>
      </c>
      <c r="L11" s="4">
        <f>B11/12</f>
        <v>803.55499999999995</v>
      </c>
      <c r="M11" s="1">
        <f t="shared" si="9"/>
        <v>58.177382000000001</v>
      </c>
    </row>
    <row r="12" spans="1:14" x14ac:dyDescent="0.25">
      <c r="A12" t="s">
        <v>38</v>
      </c>
      <c r="B12" s="1">
        <v>72.739999999999995</v>
      </c>
      <c r="C12" s="1">
        <f>B12</f>
        <v>72.739999999999995</v>
      </c>
      <c r="D12" s="2"/>
      <c r="E12" s="3"/>
      <c r="F12" s="47" t="str">
        <f t="shared" si="0"/>
        <v xml:space="preserve"> </v>
      </c>
      <c r="G12" s="1" t="str">
        <f t="shared" si="6"/>
        <v xml:space="preserve"> </v>
      </c>
      <c r="I12" s="1">
        <f t="shared" si="1"/>
        <v>24.246666666666666</v>
      </c>
      <c r="J12" s="4">
        <f t="shared" si="2"/>
        <v>12.123333333333333</v>
      </c>
      <c r="K12" s="4">
        <f t="shared" si="3"/>
        <v>6.0616666666666665</v>
      </c>
      <c r="L12" s="4">
        <f t="shared" si="4"/>
        <v>6.0616666666666665</v>
      </c>
      <c r="M12" s="1">
        <f t="shared" si="5"/>
        <v>0</v>
      </c>
    </row>
    <row r="13" spans="1:14" x14ac:dyDescent="0.25">
      <c r="A13" t="s">
        <v>21</v>
      </c>
      <c r="B13" s="1">
        <v>557.09</v>
      </c>
      <c r="C13" s="1">
        <v>255</v>
      </c>
      <c r="D13" s="2">
        <v>44358</v>
      </c>
      <c r="E13" s="3">
        <v>0</v>
      </c>
      <c r="F13" s="47">
        <f t="shared" si="0"/>
        <v>7</v>
      </c>
      <c r="G13" s="1">
        <f t="shared" si="6"/>
        <v>69.636250000000004</v>
      </c>
      <c r="I13" s="1">
        <f t="shared" si="1"/>
        <v>185.69666666666669</v>
      </c>
      <c r="J13" s="4">
        <f t="shared" si="2"/>
        <v>92.848333333333343</v>
      </c>
      <c r="K13" s="4">
        <f t="shared" si="3"/>
        <v>46.424166666666672</v>
      </c>
      <c r="L13" s="4">
        <f t="shared" si="4"/>
        <v>46.424166666666672</v>
      </c>
      <c r="M13" s="1">
        <f t="shared" si="5"/>
        <v>0</v>
      </c>
    </row>
    <row r="14" spans="1:14" x14ac:dyDescent="0.25">
      <c r="A14" t="s">
        <v>10</v>
      </c>
      <c r="B14" s="1">
        <v>32569.3</v>
      </c>
      <c r="C14" s="1">
        <v>1000</v>
      </c>
      <c r="D14" s="2"/>
      <c r="E14" s="3">
        <v>0.15989999999999999</v>
      </c>
      <c r="F14" s="47" t="str">
        <f t="shared" si="0"/>
        <v xml:space="preserve"> </v>
      </c>
      <c r="G14" s="1" t="str">
        <f t="shared" si="6"/>
        <v xml:space="preserve"> </v>
      </c>
      <c r="I14" s="1">
        <f t="shared" si="1"/>
        <v>10856.433333333332</v>
      </c>
      <c r="J14" s="4">
        <f t="shared" si="2"/>
        <v>5428.2166666666662</v>
      </c>
      <c r="K14" s="4">
        <f t="shared" si="3"/>
        <v>2714.1083333333331</v>
      </c>
      <c r="L14" s="4">
        <f t="shared" si="4"/>
        <v>2714.1083333333331</v>
      </c>
      <c r="M14" s="1">
        <f t="shared" si="5"/>
        <v>433.98592249999996</v>
      </c>
    </row>
    <row r="15" spans="1:14" x14ac:dyDescent="0.25">
      <c r="A15" t="s">
        <v>56</v>
      </c>
      <c r="B15" s="1">
        <v>0</v>
      </c>
      <c r="C15" s="1"/>
      <c r="D15" s="2"/>
      <c r="E15" s="3"/>
      <c r="F15" s="47" t="str">
        <f t="shared" si="0"/>
        <v xml:space="preserve"> </v>
      </c>
      <c r="G15" s="1" t="str">
        <f t="shared" si="6"/>
        <v xml:space="preserve"> </v>
      </c>
      <c r="I15" s="1">
        <f t="shared" si="1"/>
        <v>0</v>
      </c>
      <c r="J15" s="4">
        <f t="shared" si="2"/>
        <v>0</v>
      </c>
      <c r="K15" s="4">
        <f t="shared" si="3"/>
        <v>0</v>
      </c>
      <c r="L15" s="4">
        <f t="shared" si="4"/>
        <v>0</v>
      </c>
      <c r="M15" s="1">
        <f t="shared" si="5"/>
        <v>0</v>
      </c>
    </row>
    <row r="16" spans="1:14" x14ac:dyDescent="0.25">
      <c r="A16" t="s">
        <v>35</v>
      </c>
      <c r="B16" s="1">
        <v>0</v>
      </c>
      <c r="C16" s="1"/>
      <c r="D16" s="2"/>
      <c r="E16" s="3"/>
      <c r="F16" s="47" t="str">
        <f t="shared" si="0"/>
        <v xml:space="preserve"> </v>
      </c>
      <c r="G16" s="1" t="str">
        <f t="shared" si="6"/>
        <v xml:space="preserve"> </v>
      </c>
      <c r="I16" s="1">
        <f t="shared" si="1"/>
        <v>0</v>
      </c>
      <c r="J16" s="4">
        <f t="shared" si="2"/>
        <v>0</v>
      </c>
      <c r="K16" s="4">
        <f t="shared" si="3"/>
        <v>0</v>
      </c>
      <c r="L16" s="4">
        <f t="shared" si="4"/>
        <v>0</v>
      </c>
      <c r="M16" s="1">
        <f t="shared" si="5"/>
        <v>0</v>
      </c>
    </row>
    <row r="17" spans="1:13" x14ac:dyDescent="0.25">
      <c r="A17" t="s">
        <v>52</v>
      </c>
      <c r="B17" s="1">
        <v>297.33</v>
      </c>
      <c r="C17" s="1">
        <v>297.33</v>
      </c>
      <c r="D17" s="2"/>
      <c r="E17" s="3"/>
      <c r="F17" s="47" t="str">
        <f t="shared" si="0"/>
        <v xml:space="preserve"> </v>
      </c>
      <c r="G17" s="1" t="str">
        <f t="shared" si="6"/>
        <v xml:space="preserve"> </v>
      </c>
      <c r="I17" s="1">
        <f t="shared" si="1"/>
        <v>99.11</v>
      </c>
      <c r="J17" s="4">
        <f t="shared" si="2"/>
        <v>49.555</v>
      </c>
      <c r="K17" s="4">
        <f t="shared" si="3"/>
        <v>24.7775</v>
      </c>
      <c r="L17" s="4">
        <f t="shared" si="4"/>
        <v>24.7775</v>
      </c>
      <c r="M17" s="1">
        <f t="shared" si="5"/>
        <v>0</v>
      </c>
    </row>
    <row r="18" spans="1:13" x14ac:dyDescent="0.25">
      <c r="A18" t="s">
        <v>57</v>
      </c>
      <c r="B18" s="1">
        <v>38523.99</v>
      </c>
      <c r="C18" s="1">
        <v>1382.89</v>
      </c>
      <c r="D18" s="2"/>
      <c r="E18" s="3"/>
      <c r="F18" s="47" t="str">
        <f t="shared" si="0"/>
        <v xml:space="preserve"> </v>
      </c>
      <c r="G18" s="1" t="str">
        <f t="shared" si="6"/>
        <v xml:space="preserve"> </v>
      </c>
      <c r="I18" s="1">
        <f t="shared" si="1"/>
        <v>12841.33</v>
      </c>
      <c r="J18" s="4">
        <f t="shared" si="2"/>
        <v>6420.665</v>
      </c>
      <c r="K18" s="4">
        <f t="shared" si="3"/>
        <v>3210.3325</v>
      </c>
      <c r="L18" s="4">
        <f t="shared" si="4"/>
        <v>3210.3325</v>
      </c>
      <c r="M18" s="1">
        <f t="shared" si="5"/>
        <v>0</v>
      </c>
    </row>
    <row r="19" spans="1:13" x14ac:dyDescent="0.25">
      <c r="A19" t="s">
        <v>124</v>
      </c>
      <c r="B19" s="1">
        <v>125.55</v>
      </c>
      <c r="C19" s="1">
        <v>76</v>
      </c>
      <c r="D19" s="2">
        <v>44211</v>
      </c>
      <c r="E19" s="3">
        <v>0</v>
      </c>
      <c r="F19" s="47">
        <f t="shared" si="0"/>
        <v>2</v>
      </c>
      <c r="G19" s="1">
        <f t="shared" si="6"/>
        <v>41.85</v>
      </c>
      <c r="I19" s="1">
        <f t="shared" si="1"/>
        <v>41.85</v>
      </c>
      <c r="J19" s="4">
        <f t="shared" si="2"/>
        <v>20.925000000000001</v>
      </c>
      <c r="K19" s="4">
        <f t="shared" si="3"/>
        <v>10.4625</v>
      </c>
      <c r="L19" s="4">
        <f t="shared" si="4"/>
        <v>10.4625</v>
      </c>
      <c r="M19" s="1">
        <f t="shared" si="5"/>
        <v>0</v>
      </c>
    </row>
    <row r="20" spans="1:13" x14ac:dyDescent="0.25">
      <c r="A20" t="s">
        <v>107</v>
      </c>
      <c r="B20" s="1">
        <v>690</v>
      </c>
      <c r="C20" s="1">
        <v>347</v>
      </c>
      <c r="D20" s="2">
        <v>44176</v>
      </c>
      <c r="E20" s="3">
        <v>0</v>
      </c>
      <c r="F20" s="47">
        <f t="shared" si="0"/>
        <v>1</v>
      </c>
      <c r="G20" s="1">
        <f t="shared" si="6"/>
        <v>345</v>
      </c>
      <c r="I20" s="1">
        <f t="shared" si="1"/>
        <v>230</v>
      </c>
      <c r="J20" s="4">
        <f t="shared" si="2"/>
        <v>115</v>
      </c>
      <c r="K20" s="4">
        <f t="shared" si="3"/>
        <v>57.5</v>
      </c>
      <c r="L20" s="4">
        <f t="shared" si="4"/>
        <v>57.5</v>
      </c>
      <c r="M20" s="1">
        <f t="shared" si="5"/>
        <v>0</v>
      </c>
    </row>
    <row r="21" spans="1:13" x14ac:dyDescent="0.25">
      <c r="A21" t="s">
        <v>46</v>
      </c>
      <c r="B21" s="1">
        <v>38307.949999999997</v>
      </c>
      <c r="C21" s="1">
        <v>847.62</v>
      </c>
      <c r="D21" s="2"/>
      <c r="E21" s="3"/>
      <c r="F21" s="47" t="str">
        <f t="shared" si="0"/>
        <v xml:space="preserve"> </v>
      </c>
      <c r="G21" s="1" t="str">
        <f t="shared" si="6"/>
        <v xml:space="preserve"> </v>
      </c>
      <c r="I21" s="1">
        <f t="shared" si="1"/>
        <v>12769.316666666666</v>
      </c>
      <c r="J21" s="4">
        <f t="shared" si="2"/>
        <v>6384.6583333333328</v>
      </c>
      <c r="K21" s="4">
        <f t="shared" si="3"/>
        <v>3192.3291666666664</v>
      </c>
      <c r="L21" s="4">
        <f t="shared" si="4"/>
        <v>3192.3291666666664</v>
      </c>
      <c r="M21" s="1">
        <f t="shared" si="5"/>
        <v>0</v>
      </c>
    </row>
    <row r="22" spans="1:13" ht="15.75" thickBot="1" x14ac:dyDescent="0.3">
      <c r="A22" s="34"/>
      <c r="B22" s="35"/>
      <c r="C22" s="35"/>
      <c r="D22" s="34"/>
      <c r="E22" s="36"/>
      <c r="F22" s="48"/>
      <c r="G22" s="35"/>
      <c r="H22" s="35"/>
      <c r="I22" s="35"/>
      <c r="J22" s="34"/>
      <c r="K22" s="34"/>
      <c r="L22" s="34"/>
      <c r="M22" s="35"/>
    </row>
    <row r="23" spans="1:13" ht="15.75" thickTop="1" x14ac:dyDescent="0.25">
      <c r="B23" s="1">
        <f>SUM(B2:B22)</f>
        <v>171055.64999999997</v>
      </c>
      <c r="C23" s="1">
        <f>SUM(C2:C22)</f>
        <v>5382.34</v>
      </c>
      <c r="D23"/>
      <c r="E23" s="3">
        <f>AVERAGE(E2:E22)</f>
        <v>4.8827272727272726E-2</v>
      </c>
      <c r="G23" s="1">
        <f t="shared" ref="G23:M23" si="12">SUM(G2:G22)</f>
        <v>9640.159583333334</v>
      </c>
      <c r="H23" s="1">
        <f t="shared" si="12"/>
        <v>988</v>
      </c>
      <c r="I23" s="1">
        <f>SUM(I2:I22)</f>
        <v>57018.55</v>
      </c>
      <c r="J23" s="1">
        <f>SUM(J2:J22)</f>
        <v>28509.275000000001</v>
      </c>
      <c r="K23" s="1">
        <f t="shared" si="12"/>
        <v>14254.637500000001</v>
      </c>
      <c r="L23" s="1">
        <f t="shared" si="12"/>
        <v>14254.637500000001</v>
      </c>
      <c r="M23" s="1">
        <f t="shared" si="12"/>
        <v>521.12451149999993</v>
      </c>
    </row>
    <row r="24" spans="1:13" x14ac:dyDescent="0.25">
      <c r="A24" s="46">
        <v>44139</v>
      </c>
      <c r="C24" s="1"/>
      <c r="D24"/>
      <c r="E24" s="3"/>
      <c r="I24" s="1"/>
      <c r="L24"/>
      <c r="M24" s="1">
        <f>(B23*E23)/12</f>
        <v>696.01507284090894</v>
      </c>
    </row>
    <row r="25" spans="1:13" x14ac:dyDescent="0.25">
      <c r="C25" s="1"/>
      <c r="D25"/>
      <c r="E25" s="3"/>
      <c r="F25" s="1"/>
      <c r="H25" s="47"/>
      <c r="I25" s="1"/>
      <c r="L25"/>
      <c r="M25" s="1"/>
    </row>
    <row r="26" spans="1:13" x14ac:dyDescent="0.25">
      <c r="A26" s="8" t="s">
        <v>36</v>
      </c>
      <c r="B26" s="18"/>
      <c r="C26" s="18"/>
      <c r="D26" s="18">
        <v>3034.48</v>
      </c>
      <c r="E26" s="1">
        <f t="shared" ref="E26:E49" si="13">D26</f>
        <v>3034.48</v>
      </c>
      <c r="F26" s="1"/>
      <c r="H26" s="47"/>
      <c r="I26" s="6"/>
      <c r="L26"/>
      <c r="M26" s="1"/>
    </row>
    <row r="27" spans="1:13" x14ac:dyDescent="0.25">
      <c r="A27" s="8" t="s">
        <v>24</v>
      </c>
      <c r="B27" s="15">
        <f>$C$21</f>
        <v>847.62</v>
      </c>
      <c r="C27" s="18"/>
      <c r="D27" s="18"/>
      <c r="E27" s="1">
        <f t="shared" si="13"/>
        <v>0</v>
      </c>
      <c r="F27" s="12"/>
      <c r="H27" s="47"/>
      <c r="I27" s="7"/>
      <c r="L27"/>
      <c r="M27" s="1"/>
    </row>
    <row r="28" spans="1:13" x14ac:dyDescent="0.25">
      <c r="A28" s="8" t="s">
        <v>57</v>
      </c>
      <c r="B28" s="15">
        <f>$C$18</f>
        <v>1382.89</v>
      </c>
      <c r="C28" s="18"/>
      <c r="D28" s="18"/>
      <c r="E28" s="1">
        <f t="shared" si="13"/>
        <v>0</v>
      </c>
      <c r="F28" s="1"/>
      <c r="H28" s="47"/>
      <c r="I28" s="1"/>
      <c r="L28"/>
      <c r="M28" s="1"/>
    </row>
    <row r="29" spans="1:13" x14ac:dyDescent="0.25">
      <c r="A29" s="8" t="s">
        <v>106</v>
      </c>
      <c r="B29" s="15">
        <f>$C$2</f>
        <v>172</v>
      </c>
      <c r="C29" s="18"/>
      <c r="D29" s="18"/>
      <c r="E29" s="1">
        <f t="shared" si="13"/>
        <v>0</v>
      </c>
      <c r="F29" s="1"/>
      <c r="H29" s="47"/>
      <c r="I29" s="1"/>
      <c r="L29"/>
      <c r="M29" s="1"/>
    </row>
    <row r="30" spans="1:13" x14ac:dyDescent="0.25">
      <c r="A30" s="8" t="s">
        <v>132</v>
      </c>
      <c r="B30" s="15">
        <f>$C$3</f>
        <v>77.22</v>
      </c>
      <c r="C30" s="18"/>
      <c r="D30" s="18"/>
      <c r="E30" s="1">
        <f t="shared" si="13"/>
        <v>0</v>
      </c>
      <c r="F30" s="1"/>
      <c r="H30" s="47"/>
      <c r="I30" s="1"/>
      <c r="L30"/>
      <c r="M30" s="1"/>
    </row>
    <row r="31" spans="1:13" x14ac:dyDescent="0.25">
      <c r="A31" s="8" t="s">
        <v>12</v>
      </c>
      <c r="B31" s="15">
        <f>$C$4</f>
        <v>120</v>
      </c>
      <c r="C31" s="18"/>
      <c r="D31" s="18"/>
      <c r="E31" s="1">
        <f t="shared" si="13"/>
        <v>0</v>
      </c>
      <c r="F31" s="1"/>
      <c r="H31" s="47"/>
      <c r="I31" s="1"/>
      <c r="L31"/>
      <c r="M31" s="1"/>
    </row>
    <row r="32" spans="1:13" x14ac:dyDescent="0.25">
      <c r="A32" s="8" t="s">
        <v>14</v>
      </c>
      <c r="B32" s="15">
        <f>$C$5</f>
        <v>51.54</v>
      </c>
      <c r="C32" s="18"/>
      <c r="D32" s="18"/>
      <c r="E32" s="1">
        <f t="shared" si="13"/>
        <v>0</v>
      </c>
      <c r="F32" s="1"/>
      <c r="H32" s="47"/>
      <c r="I32" s="1"/>
      <c r="L32"/>
      <c r="M32" s="1"/>
    </row>
    <row r="33" spans="1:14" x14ac:dyDescent="0.25">
      <c r="A33" s="8" t="s">
        <v>15</v>
      </c>
      <c r="B33" s="18">
        <f>$C$6</f>
        <v>0</v>
      </c>
      <c r="C33" s="18">
        <f t="shared" ref="C33" si="14">B33</f>
        <v>0</v>
      </c>
      <c r="D33" s="18"/>
      <c r="E33" s="1">
        <f t="shared" si="13"/>
        <v>0</v>
      </c>
      <c r="F33" s="1"/>
      <c r="H33" s="47"/>
      <c r="I33" s="1"/>
      <c r="L33"/>
      <c r="M33" s="13"/>
    </row>
    <row r="34" spans="1:14" x14ac:dyDescent="0.25">
      <c r="A34" s="8" t="s">
        <v>16</v>
      </c>
      <c r="B34" s="15">
        <f>$C$7</f>
        <v>111</v>
      </c>
      <c r="C34" s="18"/>
      <c r="D34" s="18"/>
      <c r="E34" s="1">
        <f t="shared" si="13"/>
        <v>0</v>
      </c>
      <c r="F34" s="1"/>
      <c r="H34" s="47"/>
      <c r="I34" s="1"/>
      <c r="J34" s="1"/>
      <c r="L34"/>
      <c r="M34" s="1"/>
    </row>
    <row r="35" spans="1:14" x14ac:dyDescent="0.25">
      <c r="A35" s="8" t="s">
        <v>17</v>
      </c>
      <c r="B35" s="15">
        <f>$C$8</f>
        <v>36</v>
      </c>
      <c r="C35" s="18"/>
      <c r="D35" s="18"/>
      <c r="E35" s="1">
        <f t="shared" si="13"/>
        <v>0</v>
      </c>
      <c r="F35" s="1"/>
      <c r="H35" s="47"/>
      <c r="I35" s="1"/>
      <c r="L35"/>
      <c r="M35" s="1"/>
    </row>
    <row r="36" spans="1:14" x14ac:dyDescent="0.25">
      <c r="A36" s="8" t="s">
        <v>18</v>
      </c>
      <c r="B36" s="15">
        <f>$C$9</f>
        <v>36</v>
      </c>
      <c r="C36" s="18"/>
      <c r="D36" s="18"/>
      <c r="E36" s="1">
        <f t="shared" si="13"/>
        <v>0</v>
      </c>
      <c r="F36" s="1"/>
      <c r="H36" s="47"/>
      <c r="I36" s="1"/>
      <c r="J36" s="13"/>
      <c r="L36"/>
      <c r="M36" s="1"/>
    </row>
    <row r="37" spans="1:14" x14ac:dyDescent="0.25">
      <c r="A37" s="8" t="s">
        <v>19</v>
      </c>
      <c r="B37" s="15">
        <v>250</v>
      </c>
      <c r="C37" s="18"/>
      <c r="D37" s="15">
        <v>250</v>
      </c>
      <c r="F37" s="1"/>
      <c r="H37" s="47"/>
      <c r="I37" s="1"/>
      <c r="J37" s="1"/>
      <c r="L37"/>
      <c r="M37" s="1"/>
    </row>
    <row r="38" spans="1:14" x14ac:dyDescent="0.25">
      <c r="A38" s="8" t="s">
        <v>38</v>
      </c>
      <c r="B38" s="15">
        <f>$C$12</f>
        <v>72.739999999999995</v>
      </c>
      <c r="C38" s="18"/>
      <c r="D38" s="18"/>
      <c r="E38" s="1">
        <f t="shared" si="13"/>
        <v>0</v>
      </c>
      <c r="F38" s="1"/>
      <c r="H38" s="47"/>
      <c r="I38" s="1"/>
      <c r="J38" s="1"/>
      <c r="L38"/>
      <c r="M38" s="1"/>
    </row>
    <row r="39" spans="1:14" x14ac:dyDescent="0.25">
      <c r="A39" s="56" t="s">
        <v>21</v>
      </c>
      <c r="B39" s="15">
        <v>295</v>
      </c>
      <c r="C39" s="18"/>
      <c r="D39" s="18"/>
      <c r="E39" s="1">
        <f t="shared" si="13"/>
        <v>0</v>
      </c>
      <c r="F39" s="1"/>
      <c r="H39" s="47"/>
      <c r="I39" s="1"/>
      <c r="L39"/>
      <c r="M39" s="1"/>
    </row>
    <row r="40" spans="1:14" x14ac:dyDescent="0.25">
      <c r="A40" s="8" t="s">
        <v>10</v>
      </c>
      <c r="B40" s="15">
        <f>C14</f>
        <v>1000</v>
      </c>
      <c r="C40" s="18"/>
      <c r="D40" s="15">
        <v>500</v>
      </c>
      <c r="F40" s="1"/>
      <c r="H40" s="47"/>
      <c r="I40" s="1"/>
      <c r="L40"/>
      <c r="M40" s="1"/>
    </row>
    <row r="41" spans="1:14" s="3" customFormat="1" x14ac:dyDescent="0.25">
      <c r="A41" s="8" t="s">
        <v>35</v>
      </c>
      <c r="B41" s="18">
        <f>$C$16</f>
        <v>0</v>
      </c>
      <c r="C41" s="18">
        <f>B41</f>
        <v>0</v>
      </c>
      <c r="D41" s="18"/>
      <c r="E41" s="1">
        <f t="shared" si="13"/>
        <v>0</v>
      </c>
      <c r="F41" s="1"/>
      <c r="G41" s="1"/>
      <c r="H41" s="47"/>
      <c r="I41" s="1"/>
      <c r="J41" s="4"/>
      <c r="K41"/>
      <c r="L41"/>
      <c r="M41" s="1"/>
      <c r="N41"/>
    </row>
    <row r="42" spans="1:14" s="3" customFormat="1" x14ac:dyDescent="0.25">
      <c r="A42" s="8" t="s">
        <v>33</v>
      </c>
      <c r="B42" s="15">
        <v>253</v>
      </c>
      <c r="C42" s="18"/>
      <c r="D42" s="18"/>
      <c r="E42" s="1">
        <f t="shared" si="13"/>
        <v>0</v>
      </c>
      <c r="F42" s="1"/>
      <c r="G42" s="1"/>
      <c r="H42" s="47"/>
      <c r="I42" s="1"/>
      <c r="J42"/>
      <c r="K42"/>
      <c r="L42"/>
      <c r="M42" s="1"/>
      <c r="N42"/>
    </row>
    <row r="43" spans="1:14" s="3" customFormat="1" x14ac:dyDescent="0.25">
      <c r="A43" s="8" t="s">
        <v>44</v>
      </c>
      <c r="B43" s="15">
        <v>287.89</v>
      </c>
      <c r="C43" s="18"/>
      <c r="D43" s="18">
        <v>174.87</v>
      </c>
      <c r="E43" s="1"/>
      <c r="F43" s="1"/>
      <c r="G43" s="1"/>
      <c r="H43" s="47"/>
      <c r="I43" s="1"/>
      <c r="J43"/>
      <c r="K43"/>
      <c r="L43"/>
      <c r="N43"/>
    </row>
    <row r="44" spans="1:14" x14ac:dyDescent="0.25">
      <c r="A44" s="8" t="s">
        <v>45</v>
      </c>
      <c r="B44" s="18">
        <v>0</v>
      </c>
      <c r="C44" s="18">
        <f t="shared" ref="C44:C52" si="15">B44</f>
        <v>0</v>
      </c>
      <c r="D44" s="18"/>
      <c r="E44" s="1">
        <f t="shared" si="13"/>
        <v>0</v>
      </c>
      <c r="F44" s="1"/>
      <c r="H44" s="47"/>
      <c r="I44" s="1"/>
      <c r="L44"/>
      <c r="M44" s="1"/>
    </row>
    <row r="45" spans="1:14" s="3" customFormat="1" x14ac:dyDescent="0.25">
      <c r="A45" s="8" t="s">
        <v>52</v>
      </c>
      <c r="B45" s="15">
        <f>$B$17</f>
        <v>297.33</v>
      </c>
      <c r="C45" s="18"/>
      <c r="D45" s="15">
        <v>126.86</v>
      </c>
      <c r="E45" s="1"/>
      <c r="F45" s="1"/>
      <c r="G45" s="1"/>
      <c r="H45" s="47"/>
      <c r="I45" s="1"/>
      <c r="J45"/>
      <c r="K45"/>
      <c r="L45"/>
      <c r="M45" s="1"/>
      <c r="N45"/>
    </row>
    <row r="46" spans="1:14" s="3" customFormat="1" x14ac:dyDescent="0.25">
      <c r="A46" s="8" t="s">
        <v>55</v>
      </c>
      <c r="B46" s="18">
        <f>$B$15</f>
        <v>0</v>
      </c>
      <c r="C46" s="18">
        <f t="shared" si="15"/>
        <v>0</v>
      </c>
      <c r="E46" s="1">
        <f t="shared" si="13"/>
        <v>0</v>
      </c>
      <c r="F46" s="1"/>
      <c r="G46" s="1"/>
      <c r="H46" s="47"/>
      <c r="I46" s="1"/>
      <c r="K46"/>
      <c r="L46"/>
      <c r="M46" s="1"/>
      <c r="N46"/>
    </row>
    <row r="47" spans="1:14" s="3" customFormat="1" x14ac:dyDescent="0.25">
      <c r="A47" s="8" t="s">
        <v>124</v>
      </c>
      <c r="B47" s="15">
        <f>$C$19</f>
        <v>76</v>
      </c>
      <c r="C47" s="18"/>
      <c r="E47" s="1">
        <f t="shared" si="13"/>
        <v>0</v>
      </c>
      <c r="F47" s="1"/>
      <c r="G47" s="1"/>
      <c r="H47" s="47"/>
      <c r="I47" s="1"/>
      <c r="K47"/>
      <c r="L47"/>
      <c r="M47" s="1"/>
      <c r="N47"/>
    </row>
    <row r="48" spans="1:14" s="3" customFormat="1" x14ac:dyDescent="0.25">
      <c r="A48" s="8" t="s">
        <v>107</v>
      </c>
      <c r="B48" s="15">
        <f>$C$20</f>
        <v>347</v>
      </c>
      <c r="C48" s="18"/>
      <c r="E48" s="1">
        <f t="shared" si="13"/>
        <v>0</v>
      </c>
      <c r="F48" s="1"/>
      <c r="G48" s="1"/>
      <c r="H48" s="47"/>
      <c r="I48" s="1"/>
      <c r="K48"/>
      <c r="L48"/>
      <c r="M48" s="1"/>
      <c r="N48"/>
    </row>
    <row r="49" spans="1:14" s="3" customFormat="1" x14ac:dyDescent="0.25">
      <c r="A49" s="8" t="s">
        <v>120</v>
      </c>
      <c r="B49" s="15">
        <v>200</v>
      </c>
      <c r="C49" s="18"/>
      <c r="D49" s="1"/>
      <c r="E49" s="1">
        <f t="shared" si="13"/>
        <v>0</v>
      </c>
      <c r="F49" s="1"/>
      <c r="G49" s="1"/>
      <c r="H49" s="47"/>
      <c r="I49" s="1"/>
      <c r="K49"/>
      <c r="L49"/>
      <c r="M49" s="1"/>
      <c r="N49"/>
    </row>
    <row r="50" spans="1:14" s="3" customFormat="1" x14ac:dyDescent="0.25">
      <c r="A50" s="8" t="s">
        <v>131</v>
      </c>
      <c r="B50" s="18"/>
      <c r="C50" s="18">
        <f t="shared" si="15"/>
        <v>0</v>
      </c>
      <c r="D50" s="1">
        <v>79.989999999999995</v>
      </c>
      <c r="E50" s="1"/>
      <c r="F50" s="1"/>
      <c r="G50" s="1"/>
      <c r="H50" s="47"/>
      <c r="I50" s="1"/>
      <c r="K50"/>
      <c r="L50"/>
      <c r="M50" s="1"/>
      <c r="N50"/>
    </row>
    <row r="51" spans="1:14" s="3" customFormat="1" x14ac:dyDescent="0.25">
      <c r="A51" s="8" t="s">
        <v>136</v>
      </c>
      <c r="B51" s="15">
        <v>1000</v>
      </c>
      <c r="C51" s="18"/>
      <c r="D51" s="1"/>
      <c r="E51" s="1"/>
      <c r="F51" s="1"/>
      <c r="G51" s="1"/>
      <c r="H51" s="47"/>
      <c r="I51" s="1"/>
      <c r="K51"/>
      <c r="L51"/>
      <c r="M51" s="1"/>
      <c r="N51"/>
    </row>
    <row r="52" spans="1:14" s="3" customFormat="1" x14ac:dyDescent="0.25">
      <c r="A52" s="8" t="s">
        <v>130</v>
      </c>
      <c r="B52" s="18"/>
      <c r="C52" s="18">
        <f t="shared" si="15"/>
        <v>0</v>
      </c>
      <c r="D52" s="15">
        <v>500</v>
      </c>
      <c r="E52" s="1"/>
      <c r="F52" s="1"/>
      <c r="G52" s="1"/>
      <c r="H52" s="47"/>
      <c r="I52" s="1"/>
      <c r="K52"/>
      <c r="L52"/>
      <c r="M52" s="1"/>
      <c r="N52"/>
    </row>
    <row r="53" spans="1:14" s="3" customFormat="1" ht="15.75" thickBot="1" x14ac:dyDescent="0.3">
      <c r="A53" s="37"/>
      <c r="B53" s="35"/>
      <c r="C53" s="35"/>
      <c r="D53" s="35"/>
      <c r="E53" s="36"/>
      <c r="F53" s="35"/>
      <c r="G53" s="35"/>
      <c r="H53" s="48"/>
      <c r="I53" s="35"/>
      <c r="J53" s="36"/>
      <c r="K53"/>
      <c r="L53"/>
      <c r="M53" s="1"/>
      <c r="N53"/>
    </row>
    <row r="54" spans="1:14" s="3" customFormat="1" ht="15.75" thickTop="1" x14ac:dyDescent="0.25">
      <c r="A54" s="8" t="s">
        <v>41</v>
      </c>
      <c r="B54" s="1">
        <f>SUM(B26:B53)</f>
        <v>6913.2300000000005</v>
      </c>
      <c r="C54" s="1">
        <f>SUM(C26:C53)</f>
        <v>0</v>
      </c>
      <c r="D54" s="1">
        <f>SUM(D26:D53)</f>
        <v>4666.2</v>
      </c>
      <c r="E54" s="1">
        <f>SUM(E27:E53)</f>
        <v>0</v>
      </c>
      <c r="F54" s="1"/>
      <c r="G54" s="1"/>
      <c r="H54" s="47"/>
      <c r="I54" s="1"/>
      <c r="K54"/>
      <c r="L54"/>
      <c r="M54" s="1"/>
      <c r="N54"/>
    </row>
    <row r="55" spans="1:14" s="3" customFormat="1" ht="15.75" thickBot="1" x14ac:dyDescent="0.3">
      <c r="A55" s="34"/>
      <c r="B55" s="35">
        <v>3501.45</v>
      </c>
      <c r="C55" s="35"/>
      <c r="D55" s="49"/>
      <c r="E55" s="35">
        <v>683.58</v>
      </c>
      <c r="F55" s="35"/>
      <c r="G55" s="35"/>
      <c r="H55" s="48"/>
      <c r="I55" s="35"/>
      <c r="J55" s="34"/>
      <c r="K55"/>
      <c r="L55"/>
      <c r="M55" s="1"/>
      <c r="N55"/>
    </row>
    <row r="56" spans="1:14" s="3" customFormat="1" ht="15.75" thickTop="1" x14ac:dyDescent="0.25">
      <c r="A56" s="50"/>
      <c r="B56" s="51">
        <f>B55-B54</f>
        <v>-3411.7800000000007</v>
      </c>
      <c r="C56" s="51">
        <f>C55-C54</f>
        <v>0</v>
      </c>
      <c r="D56" s="51">
        <f t="shared" ref="D56:E56" si="16">D55-D54</f>
        <v>-4666.2</v>
      </c>
      <c r="E56" s="51">
        <f t="shared" si="16"/>
        <v>683.58</v>
      </c>
      <c r="F56" s="51"/>
      <c r="G56" s="51"/>
      <c r="H56" s="54"/>
      <c r="I56" s="51"/>
      <c r="J56" s="50"/>
      <c r="K56"/>
      <c r="L56"/>
      <c r="M56" s="1"/>
      <c r="N56"/>
    </row>
    <row r="57" spans="1:14" s="53" customFormat="1" x14ac:dyDescent="0.25">
      <c r="A57" s="50"/>
      <c r="B57" s="51"/>
      <c r="C57" s="51"/>
      <c r="D57" s="52"/>
      <c r="F57" s="51"/>
      <c r="G57" s="51"/>
      <c r="H57" s="54"/>
      <c r="I57" s="51"/>
      <c r="J57" s="50"/>
      <c r="K57" s="50"/>
      <c r="L57" s="50"/>
      <c r="M57" s="51"/>
      <c r="N57" s="50"/>
    </row>
    <row r="58" spans="1:14" x14ac:dyDescent="0.25">
      <c r="A58" s="8" t="s">
        <v>40</v>
      </c>
      <c r="B58" s="9">
        <v>3889.12</v>
      </c>
      <c r="C58" s="9">
        <v>3889.12</v>
      </c>
      <c r="D58" s="28">
        <v>3889.12</v>
      </c>
      <c r="E58" s="3"/>
      <c r="F58" s="1"/>
      <c r="H58" s="47"/>
      <c r="I58" s="1"/>
      <c r="L58"/>
      <c r="M58" s="1"/>
    </row>
    <row r="59" spans="1:14" x14ac:dyDescent="0.25">
      <c r="A59" s="8" t="s">
        <v>129</v>
      </c>
      <c r="B59" s="9">
        <v>1802.23</v>
      </c>
      <c r="C59" s="9">
        <v>0</v>
      </c>
      <c r="D59" s="28"/>
      <c r="E59" s="3"/>
      <c r="F59" s="1"/>
      <c r="H59" s="47"/>
      <c r="I59" s="1"/>
      <c r="L59"/>
      <c r="M59" s="1"/>
    </row>
    <row r="60" spans="1:14" ht="15.75" thickBot="1" x14ac:dyDescent="0.3">
      <c r="A60" s="34"/>
      <c r="B60" s="35"/>
      <c r="C60" s="35"/>
      <c r="D60" s="43"/>
      <c r="E60" s="36"/>
      <c r="F60" s="35"/>
      <c r="G60" s="35"/>
      <c r="H60" s="48"/>
      <c r="I60" s="35"/>
      <c r="J60" s="34"/>
      <c r="L60"/>
      <c r="M60" s="1"/>
    </row>
    <row r="61" spans="1:14" ht="15.75" thickTop="1" x14ac:dyDescent="0.25">
      <c r="A61" t="s">
        <v>125</v>
      </c>
      <c r="B61" s="1">
        <f>SUM(B58:B60)-B54</f>
        <v>-1221.8800000000001</v>
      </c>
      <c r="C61" s="1">
        <f>SUM(C58:C60)-C54</f>
        <v>3889.12</v>
      </c>
      <c r="D61" s="1">
        <f>SUM(D58:D60)-D54</f>
        <v>-777.07999999999993</v>
      </c>
      <c r="E61" s="3"/>
      <c r="F61" s="1"/>
      <c r="H61" s="47"/>
      <c r="I61" s="1"/>
      <c r="L61"/>
      <c r="M61" s="1"/>
    </row>
    <row r="62" spans="1:14" x14ac:dyDescent="0.25">
      <c r="C62" s="1"/>
      <c r="D62"/>
      <c r="E62" s="3"/>
      <c r="F62" s="1"/>
      <c r="H62" s="47"/>
      <c r="I62" s="1"/>
      <c r="L62"/>
      <c r="M62" s="1"/>
    </row>
    <row r="63" spans="1:14" x14ac:dyDescent="0.25">
      <c r="C63" s="1"/>
      <c r="D63"/>
      <c r="E63" s="3"/>
      <c r="F63" s="1"/>
      <c r="H63" s="47"/>
      <c r="I63" s="1"/>
      <c r="L63"/>
      <c r="M63" s="1"/>
    </row>
    <row r="64" spans="1:14" x14ac:dyDescent="0.25">
      <c r="C64" s="1"/>
      <c r="D64"/>
      <c r="E64" s="3"/>
      <c r="F64" s="1"/>
      <c r="H64" s="47"/>
      <c r="I64" s="1"/>
      <c r="L64"/>
      <c r="M64" s="1"/>
    </row>
  </sheetData>
  <autoFilter ref="A1:M21" xr:uid="{2946977F-407D-456D-AD87-CDC6A67FE974}"/>
  <conditionalFormatting sqref="B27:B52 D27:D52">
    <cfRule type="cellIs" dxfId="25" priority="3" operator="equal">
      <formula>0</formula>
    </cfRule>
  </conditionalFormatting>
  <conditionalFormatting sqref="B19:C21 B18 B2:C9 C10 B11:C17">
    <cfRule type="cellIs" dxfId="24" priority="1" operator="equal">
      <formula>0</formula>
    </cfRule>
    <cfRule type="cellIs" dxfId="23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2CD0-9ABE-46DA-B221-3E678EA94D57}">
  <dimension ref="A1:M60"/>
  <sheetViews>
    <sheetView workbookViewId="0">
      <selection activeCell="E51" sqref="E51"/>
    </sheetView>
  </sheetViews>
  <sheetFormatPr defaultRowHeight="15" x14ac:dyDescent="0.25"/>
  <cols>
    <col min="1" max="1" width="12" bestFit="1" customWidth="1"/>
    <col min="2" max="2" width="12.5703125" style="1" bestFit="1" customWidth="1"/>
    <col min="3" max="3" width="18.5703125" customWidth="1"/>
    <col min="4" max="4" width="12.140625" style="3" bestFit="1" customWidth="1"/>
    <col min="5" max="5" width="10.5703125" style="1" bestFit="1" customWidth="1"/>
    <col min="6" max="6" width="12.5703125" style="47" bestFit="1" customWidth="1"/>
    <col min="7" max="7" width="12.140625" style="1" bestFit="1" customWidth="1"/>
    <col min="8" max="8" width="11.5703125" style="1" bestFit="1" customWidth="1"/>
    <col min="9" max="9" width="11.5703125" bestFit="1" customWidth="1"/>
    <col min="10" max="10" width="13.140625" bestFit="1" customWidth="1"/>
    <col min="11" max="11" width="12.140625" style="1" bestFit="1" customWidth="1"/>
    <col min="12" max="12" width="12.140625" bestFit="1" customWidth="1"/>
  </cols>
  <sheetData>
    <row r="1" spans="1:13" x14ac:dyDescent="0.25">
      <c r="A1" t="s">
        <v>0</v>
      </c>
      <c r="B1" s="1" t="s">
        <v>1</v>
      </c>
      <c r="C1" s="1" t="s">
        <v>50</v>
      </c>
      <c r="D1" s="5">
        <v>0</v>
      </c>
      <c r="E1" s="3" t="s">
        <v>2</v>
      </c>
      <c r="F1" s="47" t="s">
        <v>133</v>
      </c>
      <c r="G1" s="1" t="s">
        <v>134</v>
      </c>
      <c r="H1" s="1" t="s">
        <v>3</v>
      </c>
      <c r="I1" s="1" t="s">
        <v>4</v>
      </c>
      <c r="J1" t="s">
        <v>5</v>
      </c>
      <c r="K1" t="s">
        <v>7</v>
      </c>
      <c r="L1" s="1" t="s">
        <v>8</v>
      </c>
    </row>
    <row r="2" spans="1:13" x14ac:dyDescent="0.25">
      <c r="A2" t="s">
        <v>106</v>
      </c>
      <c r="B2" s="1">
        <v>15934.54</v>
      </c>
      <c r="C2" s="1">
        <v>161</v>
      </c>
      <c r="D2" s="22">
        <v>44105</v>
      </c>
      <c r="E2" s="3">
        <v>0</v>
      </c>
      <c r="F2" s="47">
        <f>IF(ISERROR(DATEDIF($A$23,D2,"m"))," ",DATEDIF($A$23,D2,"m"))</f>
        <v>0</v>
      </c>
      <c r="G2" s="1">
        <f t="shared" ref="G2:G17" si="0">IF(ISERROR(B2/(F2+1))," ",B2/(F2+1))</f>
        <v>15934.54</v>
      </c>
      <c r="H2" s="1">
        <v>541</v>
      </c>
      <c r="I2" s="1">
        <f t="shared" ref="I2:I20" si="1">B2/3</f>
        <v>5311.5133333333333</v>
      </c>
      <c r="J2" s="4">
        <f t="shared" ref="J2:J20" si="2">B2/6</f>
        <v>2655.7566666666667</v>
      </c>
      <c r="K2" s="4">
        <f t="shared" ref="K2:K20" si="3">B2/12</f>
        <v>1327.8783333333333</v>
      </c>
      <c r="L2" s="1">
        <f t="shared" ref="L2:L20" si="4">(B2*E2)/12</f>
        <v>0</v>
      </c>
    </row>
    <row r="3" spans="1:13" x14ac:dyDescent="0.25">
      <c r="A3" t="s">
        <v>132</v>
      </c>
      <c r="B3" s="1">
        <v>138.43</v>
      </c>
      <c r="C3" s="1">
        <v>0</v>
      </c>
      <c r="D3" s="42"/>
      <c r="E3" s="3"/>
      <c r="F3" s="47" t="str">
        <f>IF(ISERROR(DATEDIF($A$23,D3,"m"))," ",DATEDIF($A$23,D3,"m"))</f>
        <v xml:space="preserve"> </v>
      </c>
      <c r="G3" s="1" t="str">
        <f t="shared" si="0"/>
        <v xml:space="preserve"> </v>
      </c>
      <c r="I3" s="1">
        <f t="shared" si="1"/>
        <v>46.143333333333338</v>
      </c>
      <c r="J3" s="4">
        <f t="shared" si="2"/>
        <v>23.071666666666669</v>
      </c>
      <c r="K3" s="4">
        <f t="shared" si="3"/>
        <v>11.535833333333334</v>
      </c>
      <c r="L3" s="1">
        <f t="shared" si="4"/>
        <v>0</v>
      </c>
    </row>
    <row r="4" spans="1:13" x14ac:dyDescent="0.25">
      <c r="A4" t="s">
        <v>12</v>
      </c>
      <c r="B4" s="1">
        <v>12005</v>
      </c>
      <c r="C4" s="1">
        <v>121</v>
      </c>
      <c r="D4" s="22">
        <v>44211</v>
      </c>
      <c r="E4" s="3">
        <v>0</v>
      </c>
      <c r="F4" s="47">
        <f>IF(ISERROR(DATEDIF($A$23,D4,"m"))," ",DATEDIF($A$23,D4,"m"))</f>
        <v>3</v>
      </c>
      <c r="G4" s="1">
        <f>IF(ISERROR(B4/(F4+1))," ",B4/(F4+1))</f>
        <v>3001.25</v>
      </c>
      <c r="H4" s="1">
        <v>410</v>
      </c>
      <c r="I4" s="1">
        <f t="shared" si="1"/>
        <v>4001.6666666666665</v>
      </c>
      <c r="J4" s="4">
        <f t="shared" si="2"/>
        <v>2000.8333333333333</v>
      </c>
      <c r="K4" s="4">
        <f t="shared" si="3"/>
        <v>1000.4166666666666</v>
      </c>
      <c r="L4" s="1">
        <f t="shared" si="4"/>
        <v>0</v>
      </c>
    </row>
    <row r="5" spans="1:13" x14ac:dyDescent="0.25">
      <c r="A5" t="s">
        <v>14</v>
      </c>
      <c r="B5" s="1">
        <v>175.73</v>
      </c>
      <c r="C5" s="1">
        <v>138.43</v>
      </c>
      <c r="D5" s="2"/>
      <c r="E5" s="3"/>
      <c r="F5" s="47" t="str">
        <f t="shared" ref="F5:F7" si="5">IF(ISERROR(DATEDIF($A$23,D5,"m"))," ",DATEDIF($A$23,D5,"m"))</f>
        <v xml:space="preserve"> </v>
      </c>
      <c r="G5" s="1" t="str">
        <f t="shared" si="0"/>
        <v xml:space="preserve"> </v>
      </c>
      <c r="I5" s="1">
        <f t="shared" si="1"/>
        <v>58.576666666666661</v>
      </c>
      <c r="J5" s="4">
        <f t="shared" si="2"/>
        <v>29.28833333333333</v>
      </c>
      <c r="K5" s="4">
        <f t="shared" si="3"/>
        <v>14.644166666666665</v>
      </c>
      <c r="L5" s="1">
        <f t="shared" si="4"/>
        <v>0</v>
      </c>
    </row>
    <row r="6" spans="1:13" x14ac:dyDescent="0.25">
      <c r="A6" t="s">
        <v>15</v>
      </c>
      <c r="B6" s="1">
        <v>0</v>
      </c>
      <c r="C6" s="1">
        <v>0</v>
      </c>
      <c r="D6" s="2"/>
      <c r="E6" s="3"/>
      <c r="F6" s="47" t="str">
        <f t="shared" si="5"/>
        <v xml:space="preserve"> </v>
      </c>
      <c r="G6" s="1" t="str">
        <f t="shared" si="0"/>
        <v xml:space="preserve"> </v>
      </c>
      <c r="I6" s="1">
        <f t="shared" si="1"/>
        <v>0</v>
      </c>
      <c r="J6" s="4">
        <f t="shared" si="2"/>
        <v>0</v>
      </c>
      <c r="K6" s="4">
        <f t="shared" si="3"/>
        <v>0</v>
      </c>
      <c r="L6" s="1">
        <f t="shared" si="4"/>
        <v>0</v>
      </c>
    </row>
    <row r="7" spans="1:13" x14ac:dyDescent="0.25">
      <c r="A7" t="s">
        <v>16</v>
      </c>
      <c r="B7" s="1">
        <v>10955.57</v>
      </c>
      <c r="C7" s="1">
        <v>112</v>
      </c>
      <c r="D7" s="2">
        <v>44209</v>
      </c>
      <c r="E7" s="3">
        <v>0</v>
      </c>
      <c r="F7" s="47">
        <f t="shared" si="5"/>
        <v>3</v>
      </c>
      <c r="G7" s="1">
        <f t="shared" si="0"/>
        <v>2738.8924999999999</v>
      </c>
      <c r="H7" s="1">
        <v>426</v>
      </c>
      <c r="I7" s="1">
        <f t="shared" si="1"/>
        <v>3651.8566666666666</v>
      </c>
      <c r="J7" s="4">
        <f t="shared" si="2"/>
        <v>1825.9283333333333</v>
      </c>
      <c r="K7" s="4">
        <f t="shared" si="3"/>
        <v>912.96416666666664</v>
      </c>
      <c r="L7" s="1">
        <f t="shared" si="4"/>
        <v>0</v>
      </c>
    </row>
    <row r="8" spans="1:13" x14ac:dyDescent="0.25">
      <c r="A8" t="s">
        <v>17</v>
      </c>
      <c r="B8" s="1">
        <v>1545.44</v>
      </c>
      <c r="C8" s="1">
        <v>36</v>
      </c>
      <c r="D8" s="2"/>
      <c r="E8" s="3">
        <v>0.15240000000000001</v>
      </c>
      <c r="F8" s="47" t="str">
        <f>IF(ISERROR(DATEDIF($A$23,D8,"m"))," ",DATEDIF($A$23,D8,"m"))</f>
        <v xml:space="preserve"> </v>
      </c>
      <c r="G8" s="1" t="str">
        <f t="shared" si="0"/>
        <v xml:space="preserve"> </v>
      </c>
      <c r="H8" s="1">
        <v>54</v>
      </c>
      <c r="I8" s="1">
        <f t="shared" si="1"/>
        <v>515.14666666666665</v>
      </c>
      <c r="J8" s="4">
        <f t="shared" si="2"/>
        <v>257.57333333333332</v>
      </c>
      <c r="K8" s="4">
        <f t="shared" si="3"/>
        <v>128.78666666666666</v>
      </c>
      <c r="L8" s="1">
        <f t="shared" si="4"/>
        <v>19.627088000000001</v>
      </c>
      <c r="M8" s="4"/>
    </row>
    <row r="9" spans="1:13" x14ac:dyDescent="0.25">
      <c r="A9" t="s">
        <v>18</v>
      </c>
      <c r="B9" s="1">
        <v>423.02</v>
      </c>
      <c r="C9" s="1">
        <v>36</v>
      </c>
      <c r="D9" s="2"/>
      <c r="E9" s="3"/>
      <c r="F9" s="47" t="str">
        <f t="shared" ref="F9:F20" si="6">IF(ISERROR(DATEDIF($A$23,D9,"m"))," ",DATEDIF($A$23,D9,"m"))</f>
        <v xml:space="preserve"> </v>
      </c>
      <c r="G9" s="1" t="str">
        <f t="shared" si="0"/>
        <v xml:space="preserve"> </v>
      </c>
      <c r="I9" s="1">
        <f t="shared" si="1"/>
        <v>141.00666666666666</v>
      </c>
      <c r="J9" s="4">
        <f t="shared" si="2"/>
        <v>70.50333333333333</v>
      </c>
      <c r="K9" s="4">
        <f t="shared" si="3"/>
        <v>35.251666666666665</v>
      </c>
      <c r="L9" s="1">
        <f t="shared" si="4"/>
        <v>0</v>
      </c>
    </row>
    <row r="10" spans="1:13" x14ac:dyDescent="0.25">
      <c r="A10" t="s">
        <v>19</v>
      </c>
      <c r="B10" s="1">
        <v>18202.88</v>
      </c>
      <c r="C10" s="1">
        <v>250</v>
      </c>
      <c r="D10" s="2">
        <v>44306</v>
      </c>
      <c r="E10" s="3">
        <v>0</v>
      </c>
      <c r="F10" s="47">
        <f t="shared" si="6"/>
        <v>6</v>
      </c>
      <c r="G10" s="1">
        <f t="shared" si="0"/>
        <v>2600.4114285714286</v>
      </c>
      <c r="H10" s="1">
        <v>559</v>
      </c>
      <c r="I10" s="1">
        <f t="shared" si="1"/>
        <v>6067.626666666667</v>
      </c>
      <c r="J10" s="4">
        <f t="shared" si="2"/>
        <v>3033.8133333333335</v>
      </c>
      <c r="K10" s="4">
        <f t="shared" si="3"/>
        <v>1516.9066666666668</v>
      </c>
      <c r="L10" s="1">
        <f t="shared" si="4"/>
        <v>0</v>
      </c>
    </row>
    <row r="11" spans="1:13" x14ac:dyDescent="0.25">
      <c r="A11" t="s">
        <v>38</v>
      </c>
      <c r="B11" s="1">
        <v>0</v>
      </c>
      <c r="C11" s="1">
        <v>0</v>
      </c>
      <c r="D11" s="2"/>
      <c r="E11" s="3"/>
      <c r="F11" s="47" t="str">
        <f t="shared" si="6"/>
        <v xml:space="preserve"> </v>
      </c>
      <c r="G11" s="1" t="str">
        <f t="shared" si="0"/>
        <v xml:space="preserve"> </v>
      </c>
      <c r="I11" s="1">
        <f t="shared" si="1"/>
        <v>0</v>
      </c>
      <c r="J11" s="4">
        <f t="shared" si="2"/>
        <v>0</v>
      </c>
      <c r="K11" s="4">
        <f t="shared" si="3"/>
        <v>0</v>
      </c>
      <c r="L11" s="1">
        <f t="shared" si="4"/>
        <v>0</v>
      </c>
    </row>
    <row r="12" spans="1:13" x14ac:dyDescent="0.25">
      <c r="A12" t="s">
        <v>21</v>
      </c>
      <c r="B12" s="1">
        <v>352.09</v>
      </c>
      <c r="C12" s="1">
        <v>45</v>
      </c>
      <c r="D12" s="2">
        <v>44358</v>
      </c>
      <c r="E12" s="3">
        <v>0</v>
      </c>
      <c r="F12" s="47">
        <f t="shared" si="6"/>
        <v>8</v>
      </c>
      <c r="G12" s="1">
        <f t="shared" si="0"/>
        <v>39.121111111111105</v>
      </c>
      <c r="I12" s="1">
        <f t="shared" si="1"/>
        <v>117.36333333333333</v>
      </c>
      <c r="J12" s="4">
        <f t="shared" si="2"/>
        <v>58.681666666666665</v>
      </c>
      <c r="K12" s="4">
        <f t="shared" si="3"/>
        <v>29.340833333333332</v>
      </c>
      <c r="L12" s="1">
        <f t="shared" si="4"/>
        <v>0</v>
      </c>
    </row>
    <row r="13" spans="1:13" x14ac:dyDescent="0.25">
      <c r="A13" t="s">
        <v>10</v>
      </c>
      <c r="B13" s="1">
        <v>35415.67</v>
      </c>
      <c r="C13" s="1"/>
      <c r="D13" s="2"/>
      <c r="E13" s="3">
        <v>0.15989999999999999</v>
      </c>
      <c r="F13" s="47" t="str">
        <f t="shared" si="6"/>
        <v xml:space="preserve"> </v>
      </c>
      <c r="G13" s="1" t="str">
        <f t="shared" si="0"/>
        <v xml:space="preserve"> </v>
      </c>
      <c r="I13" s="1">
        <f t="shared" si="1"/>
        <v>11805.223333333333</v>
      </c>
      <c r="J13" s="4">
        <f t="shared" si="2"/>
        <v>5902.6116666666667</v>
      </c>
      <c r="K13" s="4">
        <f t="shared" si="3"/>
        <v>2951.3058333333333</v>
      </c>
      <c r="L13" s="1">
        <f t="shared" si="4"/>
        <v>471.91380274999989</v>
      </c>
    </row>
    <row r="14" spans="1:13" x14ac:dyDescent="0.25">
      <c r="A14" t="s">
        <v>56</v>
      </c>
      <c r="C14" s="1"/>
      <c r="D14" s="2"/>
      <c r="E14" s="3"/>
      <c r="F14" s="47" t="str">
        <f t="shared" si="6"/>
        <v xml:space="preserve"> </v>
      </c>
      <c r="G14" s="1" t="str">
        <f t="shared" si="0"/>
        <v xml:space="preserve"> </v>
      </c>
      <c r="I14" s="1">
        <f t="shared" si="1"/>
        <v>0</v>
      </c>
      <c r="J14" s="4">
        <f t="shared" si="2"/>
        <v>0</v>
      </c>
      <c r="K14" s="4">
        <f t="shared" si="3"/>
        <v>0</v>
      </c>
      <c r="L14" s="1">
        <f t="shared" si="4"/>
        <v>0</v>
      </c>
    </row>
    <row r="15" spans="1:13" x14ac:dyDescent="0.25">
      <c r="A15" t="s">
        <v>35</v>
      </c>
      <c r="C15" s="1">
        <v>0</v>
      </c>
      <c r="D15" s="2"/>
      <c r="E15" s="3"/>
      <c r="F15" s="47" t="str">
        <f t="shared" si="6"/>
        <v xml:space="preserve"> </v>
      </c>
      <c r="G15" s="1" t="str">
        <f t="shared" si="0"/>
        <v xml:space="preserve"> </v>
      </c>
      <c r="I15" s="1">
        <f t="shared" si="1"/>
        <v>0</v>
      </c>
      <c r="J15" s="4">
        <f t="shared" si="2"/>
        <v>0</v>
      </c>
      <c r="K15" s="4">
        <f t="shared" si="3"/>
        <v>0</v>
      </c>
      <c r="L15" s="1">
        <f t="shared" si="4"/>
        <v>0</v>
      </c>
    </row>
    <row r="16" spans="1:13" x14ac:dyDescent="0.25">
      <c r="A16" t="s">
        <v>52</v>
      </c>
      <c r="B16" s="1">
        <v>168.59</v>
      </c>
      <c r="C16" s="1">
        <f>B16</f>
        <v>168.59</v>
      </c>
      <c r="D16" s="2"/>
      <c r="E16" s="3"/>
      <c r="F16" s="47" t="str">
        <f t="shared" si="6"/>
        <v xml:space="preserve"> </v>
      </c>
      <c r="G16" s="1" t="str">
        <f t="shared" si="0"/>
        <v xml:space="preserve"> </v>
      </c>
      <c r="I16" s="1">
        <f t="shared" si="1"/>
        <v>56.196666666666665</v>
      </c>
      <c r="J16" s="4">
        <f t="shared" si="2"/>
        <v>28.098333333333333</v>
      </c>
      <c r="K16" s="4">
        <f t="shared" si="3"/>
        <v>14.049166666666666</v>
      </c>
      <c r="L16" s="1">
        <f t="shared" si="4"/>
        <v>0</v>
      </c>
    </row>
    <row r="17" spans="1:12" x14ac:dyDescent="0.25">
      <c r="A17" t="s">
        <v>57</v>
      </c>
      <c r="B17" s="1">
        <v>39457.25</v>
      </c>
      <c r="C17" s="1">
        <v>1382.89</v>
      </c>
      <c r="D17" s="2"/>
      <c r="E17" s="3"/>
      <c r="F17" s="47" t="str">
        <f t="shared" si="6"/>
        <v xml:space="preserve"> </v>
      </c>
      <c r="G17" s="1" t="str">
        <f t="shared" si="0"/>
        <v xml:space="preserve"> </v>
      </c>
      <c r="I17" s="1">
        <f t="shared" si="1"/>
        <v>13152.416666666666</v>
      </c>
      <c r="J17" s="4">
        <f t="shared" si="2"/>
        <v>6576.208333333333</v>
      </c>
      <c r="K17" s="4">
        <f t="shared" si="3"/>
        <v>3288.1041666666665</v>
      </c>
      <c r="L17" s="1">
        <f t="shared" si="4"/>
        <v>0</v>
      </c>
    </row>
    <row r="18" spans="1:12" x14ac:dyDescent="0.25">
      <c r="A18" t="s">
        <v>124</v>
      </c>
      <c r="B18" s="1">
        <v>302.55</v>
      </c>
      <c r="C18" s="1">
        <v>76</v>
      </c>
      <c r="D18" s="2">
        <v>44211</v>
      </c>
      <c r="E18" s="3"/>
      <c r="F18" s="47">
        <f t="shared" si="6"/>
        <v>3</v>
      </c>
      <c r="G18" s="1">
        <f>IF(ISERROR(B18/(F18+1))," ",B18/(F18+1))</f>
        <v>75.637500000000003</v>
      </c>
      <c r="I18" s="1">
        <f t="shared" si="1"/>
        <v>100.85000000000001</v>
      </c>
      <c r="J18" s="4">
        <f t="shared" si="2"/>
        <v>50.425000000000004</v>
      </c>
      <c r="K18" s="4">
        <f t="shared" si="3"/>
        <v>25.212500000000002</v>
      </c>
      <c r="L18" s="1">
        <f t="shared" si="4"/>
        <v>0</v>
      </c>
    </row>
    <row r="19" spans="1:12" x14ac:dyDescent="0.25">
      <c r="A19" t="s">
        <v>107</v>
      </c>
      <c r="B19" s="1">
        <v>1036</v>
      </c>
      <c r="C19" s="1">
        <v>346</v>
      </c>
      <c r="D19" s="2">
        <v>44176</v>
      </c>
      <c r="E19" s="3">
        <v>0</v>
      </c>
      <c r="F19" s="47">
        <f>IF(ISERROR(DATEDIF($A$23,D19,"m"))," ",DATEDIF($A$23,D19,"m"))</f>
        <v>2</v>
      </c>
      <c r="G19" s="1">
        <f>IF(ISERROR(B19/(F19+1))," ",B19/(F19+1))</f>
        <v>345.33333333333331</v>
      </c>
      <c r="I19" s="1">
        <f t="shared" si="1"/>
        <v>345.33333333333331</v>
      </c>
      <c r="J19" s="4">
        <f t="shared" si="2"/>
        <v>172.66666666666666</v>
      </c>
      <c r="K19" s="4">
        <f t="shared" si="3"/>
        <v>86.333333333333329</v>
      </c>
      <c r="L19" s="1">
        <f t="shared" si="4"/>
        <v>0</v>
      </c>
    </row>
    <row r="20" spans="1:12" x14ac:dyDescent="0.25">
      <c r="A20" t="s">
        <v>46</v>
      </c>
      <c r="B20" s="1">
        <v>39062.47</v>
      </c>
      <c r="C20" s="1">
        <v>847.62</v>
      </c>
      <c r="D20" s="2"/>
      <c r="E20" s="3"/>
      <c r="F20" s="47" t="str">
        <f t="shared" si="6"/>
        <v xml:space="preserve"> </v>
      </c>
      <c r="G20" s="1" t="str">
        <f t="shared" ref="G20" si="7">IF(ISERROR(B20/F20)," ",B20/F20)</f>
        <v xml:space="preserve"> </v>
      </c>
      <c r="I20" s="1">
        <f t="shared" si="1"/>
        <v>13020.823333333334</v>
      </c>
      <c r="J20" s="4">
        <f t="shared" si="2"/>
        <v>6510.4116666666669</v>
      </c>
      <c r="K20" s="4">
        <f t="shared" si="3"/>
        <v>3255.2058333333334</v>
      </c>
      <c r="L20" s="1">
        <f t="shared" si="4"/>
        <v>0</v>
      </c>
    </row>
    <row r="21" spans="1:12" ht="15.75" thickBot="1" x14ac:dyDescent="0.3">
      <c r="A21" s="34"/>
      <c r="B21" s="35"/>
      <c r="C21" s="35"/>
      <c r="D21" s="34"/>
      <c r="E21" s="36"/>
      <c r="F21" s="48"/>
      <c r="G21" s="35"/>
      <c r="H21" s="35"/>
      <c r="I21" s="35"/>
      <c r="J21" s="34"/>
      <c r="K21" s="34"/>
      <c r="L21" s="35"/>
    </row>
    <row r="22" spans="1:12" ht="15.75" thickTop="1" x14ac:dyDescent="0.25">
      <c r="B22" s="1">
        <f>SUM(B2:B21)</f>
        <v>175175.22999999998</v>
      </c>
      <c r="C22" s="1">
        <f>SUM(C2:C21)</f>
        <v>3720.5299999999997</v>
      </c>
      <c r="D22"/>
      <c r="E22" s="3">
        <f>AVERAGE(E2:E21)</f>
        <v>3.9037500000000003E-2</v>
      </c>
      <c r="H22" s="1">
        <f>SUM(H2:H21)</f>
        <v>1990</v>
      </c>
      <c r="I22" s="1">
        <f>SUM(I2:I21)</f>
        <v>58391.743333333339</v>
      </c>
      <c r="J22" s="1">
        <f>SUM(J2:J21)</f>
        <v>29195.87166666667</v>
      </c>
      <c r="K22" s="1">
        <f t="shared" ref="K22:L22" si="8">SUM(K2:K21)</f>
        <v>14597.935833333335</v>
      </c>
      <c r="L22" s="1">
        <f t="shared" si="8"/>
        <v>491.5408907499999</v>
      </c>
    </row>
    <row r="23" spans="1:12" x14ac:dyDescent="0.25">
      <c r="A23" s="46">
        <v>44105</v>
      </c>
      <c r="C23" s="1"/>
      <c r="D23"/>
      <c r="E23" s="3"/>
      <c r="I23" s="1"/>
      <c r="K23"/>
      <c r="L23" s="1">
        <f>(B22*E22)/12</f>
        <v>569.86692009374997</v>
      </c>
    </row>
    <row r="24" spans="1:12" x14ac:dyDescent="0.25">
      <c r="C24" s="1"/>
      <c r="D24"/>
      <c r="E24" s="3"/>
      <c r="F24" s="1"/>
      <c r="G24" s="47"/>
      <c r="I24" s="1"/>
      <c r="K24"/>
      <c r="L24" s="1"/>
    </row>
    <row r="25" spans="1:12" x14ac:dyDescent="0.25">
      <c r="A25" s="8" t="s">
        <v>36</v>
      </c>
      <c r="B25" s="18"/>
      <c r="C25" s="18"/>
      <c r="D25" s="15"/>
      <c r="F25" s="1"/>
      <c r="G25" s="47"/>
      <c r="H25" s="6"/>
      <c r="I25" s="6"/>
      <c r="K25"/>
      <c r="L25" s="1"/>
    </row>
    <row r="26" spans="1:12" x14ac:dyDescent="0.25">
      <c r="A26" s="8" t="s">
        <v>24</v>
      </c>
      <c r="B26" s="15">
        <f>$C$20</f>
        <v>847.62</v>
      </c>
      <c r="C26" s="18"/>
      <c r="D26" s="18"/>
      <c r="E26" s="18">
        <f>D26</f>
        <v>0</v>
      </c>
      <c r="F26" s="12"/>
      <c r="G26" s="47"/>
      <c r="H26" s="7"/>
      <c r="I26" s="7"/>
      <c r="K26"/>
      <c r="L26" s="1"/>
    </row>
    <row r="27" spans="1:12" x14ac:dyDescent="0.25">
      <c r="A27" s="8" t="s">
        <v>57</v>
      </c>
      <c r="B27" s="15">
        <f>$C$17</f>
        <v>1382.89</v>
      </c>
      <c r="C27" s="18"/>
      <c r="D27" s="18"/>
      <c r="E27" s="18">
        <f t="shared" ref="E27:E48" si="9">D27</f>
        <v>0</v>
      </c>
      <c r="F27" s="1"/>
      <c r="G27" s="47"/>
      <c r="I27" s="1"/>
      <c r="K27"/>
      <c r="L27" s="1"/>
    </row>
    <row r="28" spans="1:12" x14ac:dyDescent="0.25">
      <c r="A28" s="8" t="s">
        <v>106</v>
      </c>
      <c r="B28" s="15">
        <f>$C$2</f>
        <v>161</v>
      </c>
      <c r="C28" s="18"/>
      <c r="D28" s="18"/>
      <c r="E28" s="18">
        <f t="shared" si="9"/>
        <v>0</v>
      </c>
      <c r="F28" s="1"/>
      <c r="G28" s="47"/>
      <c r="I28" s="1"/>
      <c r="K28"/>
      <c r="L28" s="1"/>
    </row>
    <row r="29" spans="1:12" x14ac:dyDescent="0.25">
      <c r="A29" s="8" t="s">
        <v>132</v>
      </c>
      <c r="B29" s="18">
        <f>$C$3</f>
        <v>0</v>
      </c>
      <c r="C29" s="18">
        <f>$C$3</f>
        <v>0</v>
      </c>
      <c r="D29" s="18"/>
      <c r="E29" s="18">
        <f t="shared" si="9"/>
        <v>0</v>
      </c>
      <c r="F29" s="1"/>
      <c r="G29" s="47"/>
      <c r="I29" s="1"/>
      <c r="K29"/>
      <c r="L29" s="1"/>
    </row>
    <row r="30" spans="1:12" x14ac:dyDescent="0.25">
      <c r="A30" s="8" t="s">
        <v>12</v>
      </c>
      <c r="B30" s="15">
        <f>$C$4</f>
        <v>121</v>
      </c>
      <c r="C30" s="18"/>
      <c r="D30" s="18"/>
      <c r="E30" s="18">
        <f t="shared" si="9"/>
        <v>0</v>
      </c>
      <c r="F30" s="1"/>
      <c r="G30" s="47"/>
      <c r="I30" s="1"/>
      <c r="K30"/>
      <c r="L30" s="1"/>
    </row>
    <row r="31" spans="1:12" x14ac:dyDescent="0.25">
      <c r="A31" s="8" t="s">
        <v>14</v>
      </c>
      <c r="B31" s="15">
        <f>$C$5</f>
        <v>138.43</v>
      </c>
      <c r="C31" s="18"/>
      <c r="D31" s="18"/>
      <c r="E31" s="18">
        <f t="shared" si="9"/>
        <v>0</v>
      </c>
      <c r="F31" s="1"/>
      <c r="G31" s="47"/>
      <c r="I31" s="1"/>
      <c r="K31"/>
      <c r="L31" s="1"/>
    </row>
    <row r="32" spans="1:12" x14ac:dyDescent="0.25">
      <c r="A32" s="8" t="s">
        <v>15</v>
      </c>
      <c r="B32" s="18">
        <f>$C$6</f>
        <v>0</v>
      </c>
      <c r="C32" s="18">
        <f>$C$6</f>
        <v>0</v>
      </c>
      <c r="D32" s="18"/>
      <c r="E32" s="18">
        <f t="shared" si="9"/>
        <v>0</v>
      </c>
      <c r="F32" s="1"/>
      <c r="G32" s="47"/>
      <c r="I32" s="1"/>
      <c r="K32"/>
      <c r="L32" s="13"/>
    </row>
    <row r="33" spans="1:13" x14ac:dyDescent="0.25">
      <c r="A33" s="8" t="s">
        <v>16</v>
      </c>
      <c r="B33" s="15">
        <f>$C$7</f>
        <v>112</v>
      </c>
      <c r="C33" s="18"/>
      <c r="D33" s="18"/>
      <c r="E33" s="18">
        <f t="shared" si="9"/>
        <v>0</v>
      </c>
      <c r="F33" s="1"/>
      <c r="G33" s="47"/>
      <c r="I33" s="1"/>
      <c r="J33" s="1"/>
      <c r="K33"/>
      <c r="L33" s="1"/>
    </row>
    <row r="34" spans="1:13" x14ac:dyDescent="0.25">
      <c r="A34" s="8" t="s">
        <v>17</v>
      </c>
      <c r="B34" s="15">
        <f>$C$8</f>
        <v>36</v>
      </c>
      <c r="C34" s="18"/>
      <c r="D34" s="18"/>
      <c r="E34" s="18">
        <f t="shared" si="9"/>
        <v>0</v>
      </c>
      <c r="F34" s="1"/>
      <c r="G34" s="47"/>
      <c r="I34" s="1"/>
      <c r="K34"/>
      <c r="L34" s="1"/>
    </row>
    <row r="35" spans="1:13" x14ac:dyDescent="0.25">
      <c r="A35" s="8" t="s">
        <v>18</v>
      </c>
      <c r="B35" s="15">
        <f>$C$9</f>
        <v>36</v>
      </c>
      <c r="C35" s="18"/>
      <c r="D35" s="18"/>
      <c r="E35" s="18">
        <f t="shared" si="9"/>
        <v>0</v>
      </c>
      <c r="F35" s="1"/>
      <c r="G35" s="47"/>
      <c r="I35" s="1"/>
      <c r="J35" s="13"/>
      <c r="K35"/>
      <c r="L35" s="1"/>
    </row>
    <row r="36" spans="1:13" x14ac:dyDescent="0.25">
      <c r="A36" s="8" t="s">
        <v>19</v>
      </c>
      <c r="B36" s="15">
        <v>250</v>
      </c>
      <c r="C36" s="18"/>
      <c r="D36" s="15">
        <v>250</v>
      </c>
      <c r="E36" s="18">
        <v>0</v>
      </c>
      <c r="F36" s="1"/>
      <c r="G36" s="47"/>
      <c r="I36" s="1"/>
      <c r="J36" s="1"/>
      <c r="K36"/>
      <c r="L36" s="1"/>
    </row>
    <row r="37" spans="1:13" x14ac:dyDescent="0.25">
      <c r="A37" s="8" t="s">
        <v>38</v>
      </c>
      <c r="B37" s="18">
        <f>$C$11</f>
        <v>0</v>
      </c>
      <c r="C37" s="18">
        <f>$C$11</f>
        <v>0</v>
      </c>
      <c r="D37" s="18"/>
      <c r="E37" s="18">
        <f t="shared" si="9"/>
        <v>0</v>
      </c>
      <c r="F37" s="1"/>
      <c r="G37" s="47"/>
      <c r="I37" s="1"/>
      <c r="J37" s="1"/>
      <c r="K37"/>
      <c r="L37" s="1"/>
    </row>
    <row r="38" spans="1:13" x14ac:dyDescent="0.25">
      <c r="A38" s="8" t="s">
        <v>21</v>
      </c>
      <c r="B38" s="15">
        <f>$C$12</f>
        <v>45</v>
      </c>
      <c r="C38" s="18"/>
      <c r="D38" s="18"/>
      <c r="E38" s="18">
        <f t="shared" si="9"/>
        <v>0</v>
      </c>
      <c r="F38" s="1"/>
      <c r="G38" s="47"/>
      <c r="I38" s="1"/>
      <c r="K38"/>
      <c r="L38" s="1"/>
    </row>
    <row r="39" spans="1:13" x14ac:dyDescent="0.25">
      <c r="A39" s="8" t="s">
        <v>10</v>
      </c>
      <c r="B39" s="18">
        <f>$C$13</f>
        <v>0</v>
      </c>
      <c r="C39" s="18">
        <f>$C$13</f>
        <v>0</v>
      </c>
      <c r="D39" s="18"/>
      <c r="E39" s="18">
        <f t="shared" si="9"/>
        <v>0</v>
      </c>
      <c r="F39" s="1"/>
      <c r="G39" s="47"/>
      <c r="I39" s="1"/>
      <c r="K39"/>
      <c r="L39" s="1"/>
    </row>
    <row r="40" spans="1:13" s="3" customFormat="1" x14ac:dyDescent="0.25">
      <c r="A40" s="8" t="s">
        <v>35</v>
      </c>
      <c r="B40" s="18">
        <f>$C$15</f>
        <v>0</v>
      </c>
      <c r="C40" s="18">
        <f>$C$15</f>
        <v>0</v>
      </c>
      <c r="D40" s="18"/>
      <c r="E40" s="18">
        <f t="shared" si="9"/>
        <v>0</v>
      </c>
      <c r="F40" s="1"/>
      <c r="G40" s="47"/>
      <c r="H40" s="1"/>
      <c r="I40" s="1"/>
      <c r="J40" s="4"/>
      <c r="K40"/>
      <c r="L40" s="1"/>
      <c r="M40"/>
    </row>
    <row r="41" spans="1:13" s="3" customFormat="1" x14ac:dyDescent="0.25">
      <c r="A41" s="8" t="s">
        <v>33</v>
      </c>
      <c r="B41" s="15">
        <v>253</v>
      </c>
      <c r="C41" s="18"/>
      <c r="D41" s="18"/>
      <c r="E41" s="18">
        <f t="shared" si="9"/>
        <v>0</v>
      </c>
      <c r="F41" s="1"/>
      <c r="G41" s="47"/>
      <c r="H41" s="1"/>
      <c r="I41" s="1"/>
      <c r="J41"/>
      <c r="K41"/>
      <c r="L41" s="1"/>
      <c r="M41"/>
    </row>
    <row r="42" spans="1:13" s="3" customFormat="1" x14ac:dyDescent="0.25">
      <c r="A42" s="8" t="s">
        <v>44</v>
      </c>
      <c r="B42" s="18"/>
      <c r="C42" s="18"/>
      <c r="D42" s="18"/>
      <c r="E42" s="18">
        <f t="shared" si="9"/>
        <v>0</v>
      </c>
      <c r="F42" s="1"/>
      <c r="G42" s="47"/>
      <c r="H42" s="1"/>
      <c r="I42" s="1"/>
      <c r="J42"/>
      <c r="K42"/>
      <c r="M42"/>
    </row>
    <row r="43" spans="1:13" x14ac:dyDescent="0.25">
      <c r="A43" s="8" t="s">
        <v>45</v>
      </c>
      <c r="B43" s="18">
        <v>126.4</v>
      </c>
      <c r="C43" s="18"/>
      <c r="D43" s="18"/>
      <c r="E43" s="18">
        <f t="shared" si="9"/>
        <v>0</v>
      </c>
      <c r="F43" s="1"/>
      <c r="G43" s="47"/>
      <c r="I43" s="1"/>
      <c r="K43"/>
      <c r="L43" s="1"/>
    </row>
    <row r="44" spans="1:13" s="3" customFormat="1" x14ac:dyDescent="0.25">
      <c r="A44" s="8" t="s">
        <v>52</v>
      </c>
      <c r="B44" s="18"/>
      <c r="C44" s="18"/>
      <c r="D44" s="15">
        <v>297.33</v>
      </c>
      <c r="E44" s="18"/>
      <c r="F44" s="1"/>
      <c r="G44" s="47"/>
      <c r="H44" s="1"/>
      <c r="I44" s="1"/>
      <c r="J44"/>
      <c r="K44"/>
      <c r="L44" s="1"/>
      <c r="M44"/>
    </row>
    <row r="45" spans="1:13" s="3" customFormat="1" x14ac:dyDescent="0.25">
      <c r="A45" s="8" t="s">
        <v>55</v>
      </c>
      <c r="B45" s="18">
        <f>B14</f>
        <v>0</v>
      </c>
      <c r="C45" s="18">
        <f>C14</f>
        <v>0</v>
      </c>
      <c r="E45" s="18">
        <f t="shared" si="9"/>
        <v>0</v>
      </c>
      <c r="F45" s="1"/>
      <c r="G45" s="47"/>
      <c r="H45" s="1"/>
      <c r="I45" s="1"/>
      <c r="K45"/>
      <c r="L45" s="1"/>
      <c r="M45"/>
    </row>
    <row r="46" spans="1:13" s="3" customFormat="1" x14ac:dyDescent="0.25">
      <c r="A46" s="8" t="s">
        <v>124</v>
      </c>
      <c r="B46" s="15">
        <f>$C$18</f>
        <v>76</v>
      </c>
      <c r="C46" s="18"/>
      <c r="E46" s="18">
        <f t="shared" si="9"/>
        <v>0</v>
      </c>
      <c r="F46" s="1"/>
      <c r="G46" s="47"/>
      <c r="H46" s="1"/>
      <c r="I46" s="1"/>
      <c r="K46"/>
      <c r="L46" s="1"/>
      <c r="M46"/>
    </row>
    <row r="47" spans="1:13" s="3" customFormat="1" x14ac:dyDescent="0.25">
      <c r="A47" s="8" t="s">
        <v>107</v>
      </c>
      <c r="B47" s="15">
        <f>$C$19</f>
        <v>346</v>
      </c>
      <c r="C47" s="18"/>
      <c r="E47" s="18">
        <f t="shared" si="9"/>
        <v>0</v>
      </c>
      <c r="F47" s="1"/>
      <c r="G47" s="47"/>
      <c r="H47" s="1"/>
      <c r="I47" s="1"/>
      <c r="K47"/>
      <c r="L47" s="1"/>
      <c r="M47"/>
    </row>
    <row r="48" spans="1:13" s="3" customFormat="1" x14ac:dyDescent="0.25">
      <c r="A48" s="8" t="s">
        <v>120</v>
      </c>
      <c r="C48" s="18"/>
      <c r="D48" s="18">
        <v>200</v>
      </c>
      <c r="E48" s="18">
        <f t="shared" si="9"/>
        <v>200</v>
      </c>
      <c r="F48" s="1"/>
      <c r="G48" s="47"/>
      <c r="H48" s="1"/>
      <c r="I48" s="1"/>
      <c r="K48"/>
      <c r="L48" s="1"/>
      <c r="M48"/>
    </row>
    <row r="49" spans="1:13" s="3" customFormat="1" x14ac:dyDescent="0.25">
      <c r="A49" s="8" t="s">
        <v>131</v>
      </c>
      <c r="B49" s="15"/>
      <c r="C49" s="18"/>
      <c r="D49" s="15">
        <v>79.989999999999995</v>
      </c>
      <c r="E49" s="18"/>
      <c r="F49" s="1"/>
      <c r="G49" s="47"/>
      <c r="H49" s="1"/>
      <c r="I49" s="1"/>
      <c r="K49"/>
      <c r="L49" s="1"/>
      <c r="M49"/>
    </row>
    <row r="50" spans="1:13" s="3" customFormat="1" x14ac:dyDescent="0.25">
      <c r="A50" s="8" t="s">
        <v>130</v>
      </c>
      <c r="B50" s="18"/>
      <c r="C50" s="18"/>
      <c r="D50" s="15">
        <v>500</v>
      </c>
      <c r="E50" s="18"/>
      <c r="F50" s="1"/>
      <c r="G50" s="47"/>
      <c r="H50" s="1"/>
      <c r="I50" s="1"/>
      <c r="K50"/>
      <c r="L50" s="1"/>
      <c r="M50"/>
    </row>
    <row r="51" spans="1:13" s="3" customFormat="1" x14ac:dyDescent="0.25">
      <c r="A51" s="8" t="s">
        <v>135</v>
      </c>
      <c r="B51" s="18"/>
      <c r="C51" s="18"/>
      <c r="D51" s="1">
        <v>500</v>
      </c>
      <c r="E51" s="18"/>
      <c r="F51" s="1"/>
      <c r="G51" s="47"/>
      <c r="H51" s="1"/>
      <c r="I51" s="1"/>
      <c r="K51"/>
      <c r="L51" s="1"/>
      <c r="M51"/>
    </row>
    <row r="52" spans="1:13" s="3" customFormat="1" ht="15.75" thickBot="1" x14ac:dyDescent="0.3">
      <c r="A52" s="37"/>
      <c r="B52" s="35"/>
      <c r="C52" s="35"/>
      <c r="D52" s="35"/>
      <c r="E52" s="36"/>
      <c r="F52" s="35"/>
      <c r="G52" s="48"/>
      <c r="H52" s="35"/>
      <c r="I52" s="35"/>
      <c r="J52" s="36"/>
      <c r="K52"/>
      <c r="L52" s="1"/>
      <c r="M52"/>
    </row>
    <row r="53" spans="1:13" s="3" customFormat="1" ht="15.75" thickTop="1" x14ac:dyDescent="0.25">
      <c r="A53" s="8" t="s">
        <v>41</v>
      </c>
      <c r="B53" s="1">
        <f>SUM(B25:B52)</f>
        <v>3931.34</v>
      </c>
      <c r="C53" s="1">
        <f>SUM(C25:C52)</f>
        <v>0</v>
      </c>
      <c r="D53" s="1">
        <f>SUM(D25:D52)</f>
        <v>1827.32</v>
      </c>
      <c r="E53" s="1">
        <f>SUM(E25:E52)</f>
        <v>200</v>
      </c>
      <c r="F53" s="1"/>
      <c r="G53" s="47"/>
      <c r="H53" s="1"/>
      <c r="I53" s="1"/>
      <c r="K53"/>
      <c r="L53" s="1"/>
      <c r="M53"/>
    </row>
    <row r="54" spans="1:13" s="3" customFormat="1" x14ac:dyDescent="0.25">
      <c r="A54"/>
      <c r="B54" s="1"/>
      <c r="C54" s="1"/>
      <c r="D54" s="1">
        <f>SUM(D26:D52)</f>
        <v>1827.32</v>
      </c>
      <c r="F54" s="1"/>
      <c r="G54" s="47"/>
      <c r="H54" s="1"/>
      <c r="I54" s="1"/>
      <c r="J54"/>
      <c r="K54"/>
      <c r="L54" s="1"/>
      <c r="M54"/>
    </row>
    <row r="55" spans="1:13" s="3" customFormat="1" ht="15.75" thickBot="1" x14ac:dyDescent="0.3">
      <c r="A55" s="34"/>
      <c r="B55" s="35"/>
      <c r="C55" s="35"/>
      <c r="D55" s="43"/>
      <c r="E55" s="36"/>
      <c r="F55" s="35"/>
      <c r="G55" s="48"/>
      <c r="H55" s="35"/>
      <c r="I55" s="35"/>
      <c r="J55" s="34"/>
      <c r="K55"/>
      <c r="L55" s="1"/>
      <c r="M55"/>
    </row>
    <row r="56" spans="1:13" ht="15.75" thickTop="1" x14ac:dyDescent="0.25">
      <c r="A56" s="8" t="s">
        <v>40</v>
      </c>
      <c r="B56" s="9">
        <v>3965.42</v>
      </c>
      <c r="C56" s="9">
        <v>2407.65</v>
      </c>
      <c r="D56" s="28">
        <f>4040.95+998.21</f>
        <v>5039.16</v>
      </c>
      <c r="E56" s="28">
        <v>3889.12</v>
      </c>
      <c r="F56" s="1"/>
      <c r="G56" s="47"/>
      <c r="I56" s="1"/>
      <c r="K56"/>
      <c r="L56" s="1"/>
    </row>
    <row r="57" spans="1:13" x14ac:dyDescent="0.25">
      <c r="A57" s="8" t="s">
        <v>129</v>
      </c>
      <c r="B57" s="9">
        <v>0</v>
      </c>
      <c r="C57" s="9">
        <v>0</v>
      </c>
      <c r="D57" s="28"/>
      <c r="E57" s="3"/>
      <c r="F57" s="1"/>
      <c r="G57" s="47"/>
      <c r="I57" s="1"/>
      <c r="K57"/>
      <c r="L57" s="1"/>
    </row>
    <row r="58" spans="1:13" ht="15.75" thickBot="1" x14ac:dyDescent="0.3">
      <c r="A58" s="34"/>
      <c r="B58" s="35"/>
      <c r="C58" s="35"/>
      <c r="D58" s="43"/>
      <c r="E58" s="36"/>
      <c r="F58" s="35"/>
      <c r="G58" s="48"/>
      <c r="H58" s="35"/>
      <c r="I58" s="35"/>
      <c r="J58" s="34"/>
      <c r="K58"/>
      <c r="L58" s="1"/>
    </row>
    <row r="59" spans="1:13" ht="15.75" thickTop="1" x14ac:dyDescent="0.25">
      <c r="A59" t="s">
        <v>125</v>
      </c>
      <c r="B59" s="1">
        <f>SUM(B56:B58)-B53</f>
        <v>34.079999999999927</v>
      </c>
      <c r="C59" s="1">
        <f>SUM(C56:C58)-C53</f>
        <v>2407.65</v>
      </c>
      <c r="D59" s="1">
        <f>SUM(D56:D58)-D53</f>
        <v>3211.84</v>
      </c>
      <c r="E59" s="1">
        <f>SUM(E56:E58)-E53</f>
        <v>3689.12</v>
      </c>
      <c r="F59" s="1"/>
      <c r="G59" s="47"/>
      <c r="I59" s="1"/>
      <c r="K59"/>
      <c r="L59" s="1"/>
    </row>
    <row r="60" spans="1:13" x14ac:dyDescent="0.25">
      <c r="C60" s="1"/>
      <c r="D60"/>
      <c r="E60" s="3"/>
      <c r="F60" s="1"/>
      <c r="G60" s="47"/>
      <c r="I60" s="1"/>
      <c r="K60"/>
      <c r="L60" s="1"/>
    </row>
  </sheetData>
  <autoFilter ref="A1:L20" xr:uid="{2946977F-407D-456D-AD87-CDC6A67FE974}"/>
  <conditionalFormatting sqref="B26:B47 B49:B51 D26:D51">
    <cfRule type="cellIs" dxfId="22" priority="4" operator="equal">
      <formula>0</formula>
    </cfRule>
  </conditionalFormatting>
  <conditionalFormatting sqref="B2:C16 B18:C20 B17">
    <cfRule type="cellIs" dxfId="21" priority="2" operator="equal">
      <formula>0</formula>
    </cfRule>
    <cfRule type="cellIs" dxfId="20" priority="3" operator="equal">
      <formula>0</formula>
    </cfRule>
  </conditionalFormatting>
  <conditionalFormatting sqref="E50:E51">
    <cfRule type="cellIs" dxfId="19" priority="1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A6BD82B08F5848B01EADA83BF8DD9C" ma:contentTypeVersion="13" ma:contentTypeDescription="Create a new document." ma:contentTypeScope="" ma:versionID="570d1da2ddf56afb5f474f67e6081713">
  <xsd:schema xmlns:xsd="http://www.w3.org/2001/XMLSchema" xmlns:xs="http://www.w3.org/2001/XMLSchema" xmlns:p="http://schemas.microsoft.com/office/2006/metadata/properties" xmlns:ns3="deb0fe97-2a8f-4080-ad73-f4659fa85109" xmlns:ns4="b9e343c8-ec61-4017-abdb-56f444f5a159" targetNamespace="http://schemas.microsoft.com/office/2006/metadata/properties" ma:root="true" ma:fieldsID="ec68a6311ff442000b756d4324ba3beb" ns3:_="" ns4:_="">
    <xsd:import namespace="deb0fe97-2a8f-4080-ad73-f4659fa85109"/>
    <xsd:import namespace="b9e343c8-ec61-4017-abdb-56f444f5a1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0fe97-2a8f-4080-ad73-f4659fa85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343c8-ec61-4017-abdb-56f444f5a1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C52425-22D4-47F4-882F-885098287841}">
  <ds:schemaRefs>
    <ds:schemaRef ds:uri="deb0fe97-2a8f-4080-ad73-f4659fa85109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b9e343c8-ec61-4017-abdb-56f444f5a159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B663662-DBBC-4826-9BF6-FD56334D40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9104DE-2D15-43BA-993C-1ACF77D1B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b0fe97-2a8f-4080-ad73-f4659fa85109"/>
    <ds:schemaRef ds:uri="b9e343c8-ec61-4017-abdb-56f444f5a1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Template</vt:lpstr>
      <vt:lpstr>ATT</vt:lpstr>
      <vt:lpstr>Chase</vt:lpstr>
      <vt:lpstr>Checks</vt:lpstr>
      <vt:lpstr>Interest</vt:lpstr>
      <vt:lpstr>2021-01-04</vt:lpstr>
      <vt:lpstr>2020-12-04</vt:lpstr>
      <vt:lpstr>2020-11-04</vt:lpstr>
      <vt:lpstr>2020-10-04</vt:lpstr>
      <vt:lpstr>2020-09-04</vt:lpstr>
      <vt:lpstr>2020-08-04</vt:lpstr>
      <vt:lpstr>2020-07-04</vt:lpstr>
      <vt:lpstr>2020-06-04</vt:lpstr>
      <vt:lpstr>2020-05-03</vt:lpstr>
      <vt:lpstr>2020-04-03</vt:lpstr>
      <vt:lpstr>2020-03-05</vt:lpstr>
      <vt:lpstr>2020-02-05</vt:lpstr>
      <vt:lpstr>2020-01-05</vt:lpstr>
      <vt:lpstr>2019-12-05</vt:lpstr>
      <vt:lpstr>2019-11-05</vt:lpstr>
      <vt:lpstr>2019-10-05</vt:lpstr>
      <vt:lpstr>2019-09-05</vt:lpstr>
      <vt:lpstr>2019-08-05</vt:lpstr>
      <vt:lpstr>2019-07-05</vt:lpstr>
      <vt:lpstr>2019-06-05</vt:lpstr>
      <vt:lpstr>2019-05-05</vt:lpstr>
      <vt:lpstr>2019-04-05</vt:lpstr>
      <vt:lpstr>2019-03-05</vt:lpstr>
      <vt:lpstr>2019-02-05</vt:lpstr>
      <vt:lpstr>2018-12-05</vt:lpstr>
      <vt:lpstr>2018-11-14</vt:lpstr>
      <vt:lpstr>2018-10-14</vt:lpstr>
      <vt:lpstr>2018-09-14</vt:lpstr>
      <vt:lpstr>Sheet1 (3)</vt:lpstr>
      <vt:lpstr>Sheet1 (2)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Chan (AVANADE INC)</dc:creator>
  <cp:keywords/>
  <dc:description/>
  <cp:lastModifiedBy>Alexander Chan</cp:lastModifiedBy>
  <cp:revision/>
  <dcterms:created xsi:type="dcterms:W3CDTF">2018-02-07T23:23:20Z</dcterms:created>
  <dcterms:modified xsi:type="dcterms:W3CDTF">2021-01-22T05:58:08Z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alexander.chan@avanade.com</vt:lpwstr>
  </property>
  <property fmtid="{D5CDD505-2E9C-101B-9397-08002B2CF9AE}" pid="5" name="MSIP_Label_236020b0-6d69-48c1-9bb5-c586c1062b70_SetDate">
    <vt:lpwstr>2020-02-05T20:46:34.8394247Z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5a80aee0-1ef4-43ca-a084-64986275d579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Owner">
    <vt:lpwstr>alexander.chan@avanade.com</vt:lpwstr>
  </property>
  <property fmtid="{D5CDD505-2E9C-101B-9397-08002B2CF9AE}" pid="13" name="MSIP_Label_5fae8262-b78e-4366-8929-a5d6aac95320_SetDate">
    <vt:lpwstr>2020-02-05T20:46:34.8394247Z</vt:lpwstr>
  </property>
  <property fmtid="{D5CDD505-2E9C-101B-9397-08002B2CF9AE}" pid="14" name="MSIP_Label_5fae8262-b78e-4366-8929-a5d6aac95320_Name">
    <vt:lpwstr>Recipients Have Full Control</vt:lpwstr>
  </property>
  <property fmtid="{D5CDD505-2E9C-101B-9397-08002B2CF9AE}" pid="15" name="MSIP_Label_5fae8262-b78e-4366-8929-a5d6aac95320_Application">
    <vt:lpwstr>Microsoft Azure Information Protection</vt:lpwstr>
  </property>
  <property fmtid="{D5CDD505-2E9C-101B-9397-08002B2CF9AE}" pid="16" name="MSIP_Label_5fae8262-b78e-4366-8929-a5d6aac95320_ActionId">
    <vt:lpwstr>5a80aee0-1ef4-43ca-a084-64986275d579</vt:lpwstr>
  </property>
  <property fmtid="{D5CDD505-2E9C-101B-9397-08002B2CF9AE}" pid="17" name="MSIP_Label_5fae8262-b78e-4366-8929-a5d6aac95320_Parent">
    <vt:lpwstr>236020b0-6d69-48c1-9bb5-c586c1062b70</vt:lpwstr>
  </property>
  <property fmtid="{D5CDD505-2E9C-101B-9397-08002B2CF9AE}" pid="18" name="MSIP_Label_5fae8262-b78e-4366-8929-a5d6aac95320_Extended_MSFT_Method">
    <vt:lpwstr>Automatic</vt:lpwstr>
  </property>
  <property fmtid="{D5CDD505-2E9C-101B-9397-08002B2CF9AE}" pid="19" name="MSIP_Label_f42aa342-8706-4288-bd11-ebb85995028c_Enabled">
    <vt:lpwstr>True</vt:lpwstr>
  </property>
  <property fmtid="{D5CDD505-2E9C-101B-9397-08002B2CF9AE}" pid="20" name="MSIP_Label_f42aa342-8706-4288-bd11-ebb85995028c_SiteId">
    <vt:lpwstr>72f988bf-86f1-41af-91ab-2d7cd011db47</vt:lpwstr>
  </property>
  <property fmtid="{D5CDD505-2E9C-101B-9397-08002B2CF9AE}" pid="21" name="MSIP_Label_f42aa342-8706-4288-bd11-ebb85995028c_Owner">
    <vt:lpwstr>v-chaal@microsoft.com</vt:lpwstr>
  </property>
  <property fmtid="{D5CDD505-2E9C-101B-9397-08002B2CF9AE}" pid="22" name="MSIP_Label_f42aa342-8706-4288-bd11-ebb85995028c_SetDate">
    <vt:lpwstr>2018-02-09T04:43:29.8020885Z</vt:lpwstr>
  </property>
  <property fmtid="{D5CDD505-2E9C-101B-9397-08002B2CF9AE}" pid="23" name="MSIP_Label_f42aa342-8706-4288-bd11-ebb85995028c_Name">
    <vt:lpwstr>General</vt:lpwstr>
  </property>
  <property fmtid="{D5CDD505-2E9C-101B-9397-08002B2CF9AE}" pid="24" name="MSIP_Label_f42aa342-8706-4288-bd11-ebb85995028c_Application">
    <vt:lpwstr>Microsoft Azure Information Protection</vt:lpwstr>
  </property>
  <property fmtid="{D5CDD505-2E9C-101B-9397-08002B2CF9AE}" pid="25" name="MSIP_Label_f42aa342-8706-4288-bd11-ebb85995028c_Extended_MSFT_Method">
    <vt:lpwstr>Automatic</vt:lpwstr>
  </property>
  <property fmtid="{D5CDD505-2E9C-101B-9397-08002B2CF9AE}" pid="26" name="Sensitivity">
    <vt:lpwstr>Confidential Recipients Have Full Control General</vt:lpwstr>
  </property>
  <property fmtid="{D5CDD505-2E9C-101B-9397-08002B2CF9AE}" pid="27" name="ContentTypeId">
    <vt:lpwstr>0x010100F4A6BD82B08F5848B01EADA83BF8DD9C</vt:lpwstr>
  </property>
</Properties>
</file>