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825" windowWidth="14805" windowHeight="7290" tabRatio="899" activeTab="10"/>
  </bookViews>
  <sheets>
    <sheet name="-History-" sheetId="13" r:id="rId1"/>
    <sheet name="US testing" sheetId="14" r:id="rId2"/>
    <sheet name="PreConditions" sheetId="8" r:id="rId3"/>
    <sheet name="General" sheetId="4" r:id="rId4"/>
    <sheet name="Risk Information" sheetId="3" r:id="rId5"/>
    <sheet name="Sum Insured" sheetId="5" r:id="rId6"/>
    <sheet name="Options" sheetId="6" r:id="rId7"/>
    <sheet name="Premium" sheetId="7" r:id="rId8"/>
    <sheet name="House" sheetId="1" r:id="rId9"/>
    <sheet name="Integration test" sheetId="10" r:id="rId10"/>
    <sheet name="Integration test Data" sheetId="11" r:id="rId11"/>
    <sheet name="Environment" sheetId="12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E57" i="7" l="1"/>
  <c r="E61" i="7" s="1"/>
  <c r="A57" i="7"/>
  <c r="E56" i="7"/>
  <c r="A56" i="7"/>
  <c r="E55" i="7"/>
  <c r="A55" i="7"/>
  <c r="E54" i="7"/>
  <c r="A54" i="7"/>
  <c r="E53" i="7"/>
  <c r="A53" i="7"/>
  <c r="E52" i="7"/>
  <c r="A52" i="7"/>
  <c r="E51" i="7"/>
  <c r="A51" i="7"/>
  <c r="A49" i="7"/>
  <c r="B16" i="8" l="1"/>
  <c r="B26" i="7" l="1"/>
  <c r="B25" i="7"/>
  <c r="B24" i="7"/>
  <c r="J41" i="7" l="1"/>
  <c r="C56" i="7" s="1"/>
  <c r="B22" i="7"/>
  <c r="B21" i="7"/>
  <c r="B19" i="7"/>
  <c r="B18" i="7"/>
  <c r="B16" i="7"/>
  <c r="B15" i="7"/>
  <c r="B12" i="7"/>
  <c r="J38" i="7" l="1"/>
  <c r="C53" i="7" s="1"/>
  <c r="J40" i="7"/>
  <c r="C55" i="7" s="1"/>
  <c r="J39" i="7"/>
  <c r="C54" i="7" s="1"/>
  <c r="B12" i="8"/>
  <c r="B14" i="5"/>
  <c r="B13" i="7" l="1"/>
  <c r="B10" i="7"/>
  <c r="B9" i="7"/>
  <c r="B8" i="7"/>
  <c r="J42" i="7" l="1"/>
  <c r="C57" i="7" s="1"/>
  <c r="J36" i="7"/>
  <c r="A33" i="7"/>
  <c r="J37" i="7"/>
  <c r="C52" i="7" s="1"/>
  <c r="C33" i="7"/>
  <c r="B4" i="7"/>
  <c r="B3" i="7"/>
  <c r="B14" i="6"/>
  <c r="B13" i="6"/>
  <c r="B12" i="6"/>
  <c r="B11" i="6"/>
  <c r="B10" i="6"/>
  <c r="B9" i="6"/>
  <c r="B8" i="6"/>
  <c r="B4" i="6"/>
  <c r="B3" i="6"/>
  <c r="B25" i="5"/>
  <c r="B24" i="5"/>
  <c r="B21" i="5"/>
  <c r="B20" i="5"/>
  <c r="I14" i="5"/>
  <c r="I13" i="5"/>
  <c r="H14" i="5"/>
  <c r="H13" i="5"/>
  <c r="G14" i="5"/>
  <c r="G13" i="5"/>
  <c r="F14" i="5"/>
  <c r="F13" i="5"/>
  <c r="E14" i="5"/>
  <c r="E13" i="5"/>
  <c r="D14" i="5"/>
  <c r="D13" i="5"/>
  <c r="C14" i="5"/>
  <c r="C13" i="5"/>
  <c r="B13" i="5"/>
  <c r="B10" i="5"/>
  <c r="B6" i="5"/>
  <c r="B5" i="5"/>
  <c r="B4" i="5"/>
  <c r="B26" i="3"/>
  <c r="B20" i="3"/>
  <c r="B19" i="3"/>
  <c r="B18" i="3"/>
  <c r="B17" i="3"/>
  <c r="B16" i="3"/>
  <c r="B13" i="3"/>
  <c r="B12" i="3"/>
  <c r="B11" i="3"/>
  <c r="B10" i="3"/>
  <c r="B9" i="3"/>
  <c r="B6" i="3"/>
  <c r="B5" i="3"/>
  <c r="B4" i="3"/>
  <c r="B9" i="4"/>
  <c r="B5" i="4"/>
  <c r="B3" i="4"/>
  <c r="B2" i="4"/>
  <c r="B9" i="8"/>
  <c r="B7" i="8"/>
  <c r="C51" i="7" l="1"/>
  <c r="J33" i="7"/>
  <c r="C61" i="7" s="1"/>
</calcChain>
</file>

<file path=xl/comments1.xml><?xml version="1.0" encoding="utf-8"?>
<comments xmlns="http://schemas.openxmlformats.org/spreadsheetml/2006/main">
  <authors>
    <author>Author</author>
  </authors>
  <commentList>
    <comment ref="F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Insert Taxes and Fees amount from UI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coverageCd = BASE_UI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coverageCd = NEGSFC_UI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coverageCd = LSREN_UI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coverageCd = THDDT_UI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coverageCd = TEVWN_UI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coverageCd = LDCON_UI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coverageCd = ACCT</t>
        </r>
      </text>
    </comment>
  </commentList>
</comments>
</file>

<file path=xl/sharedStrings.xml><?xml version="1.0" encoding="utf-8"?>
<sst xmlns="http://schemas.openxmlformats.org/spreadsheetml/2006/main" count="2287" uniqueCount="493">
  <si>
    <t>Policy Class</t>
  </si>
  <si>
    <t>Transaction Type</t>
  </si>
  <si>
    <t>Effective Date</t>
  </si>
  <si>
    <t>Excess</t>
  </si>
  <si>
    <t>Payment Option</t>
  </si>
  <si>
    <t>Customer Date of Birth</t>
  </si>
  <si>
    <t>Location-Rating Area</t>
  </si>
  <si>
    <t>Location-PostCode</t>
  </si>
  <si>
    <t>No. Dwellings</t>
  </si>
  <si>
    <t>Storeys</t>
  </si>
  <si>
    <t>Wall Construction</t>
  </si>
  <si>
    <t>Roof Construction</t>
  </si>
  <si>
    <t>Slope</t>
  </si>
  <si>
    <t>Year of Construction</t>
  </si>
  <si>
    <t>House Area</t>
  </si>
  <si>
    <t>Garage Area</t>
  </si>
  <si>
    <t>Building Type</t>
  </si>
  <si>
    <t>Standard</t>
  </si>
  <si>
    <t>Occupancy</t>
  </si>
  <si>
    <t>Total (House + Extensions)</t>
  </si>
  <si>
    <t>Retaining Walls</t>
  </si>
  <si>
    <t>Recreational Structures</t>
  </si>
  <si>
    <t>SF_Type1</t>
  </si>
  <si>
    <t>SF_Amount1</t>
  </si>
  <si>
    <t>SF_Type2</t>
  </si>
  <si>
    <t>SF_Amount2</t>
  </si>
  <si>
    <t>SF_Type3</t>
  </si>
  <si>
    <t>SF_Amount3</t>
  </si>
  <si>
    <t>SF_Type4</t>
  </si>
  <si>
    <t>SF_Amount4</t>
  </si>
  <si>
    <t>SF_Type5</t>
  </si>
  <si>
    <t>SF_Amount5</t>
  </si>
  <si>
    <t>SF_Type6</t>
  </si>
  <si>
    <t>SF_Amount6</t>
  </si>
  <si>
    <t>SF_Type7</t>
  </si>
  <si>
    <t>SF_Amount7</t>
  </si>
  <si>
    <t>SF_Type8</t>
  </si>
  <si>
    <t>SF_Amount8</t>
  </si>
  <si>
    <t>Paid Last Year</t>
  </si>
  <si>
    <t>Rental Contents Sum Insured</t>
  </si>
  <si>
    <t>Glass/Sanitary Fixtures</t>
  </si>
  <si>
    <t>Number of Loss of Rent Dwellings</t>
  </si>
  <si>
    <t>Tenant Malicious Damage</t>
  </si>
  <si>
    <t>Tenants Vacating Without Notice</t>
  </si>
  <si>
    <t>Campaign/Promo</t>
  </si>
  <si>
    <t>Staff</t>
  </si>
  <si>
    <t>Multi Saver Discount</t>
  </si>
  <si>
    <t>Cable Car</t>
  </si>
  <si>
    <t>Submersible Pump</t>
  </si>
  <si>
    <t>NEW BUSINESS</t>
  </si>
  <si>
    <t/>
  </si>
  <si>
    <t>Y</t>
  </si>
  <si>
    <t>N</t>
  </si>
  <si>
    <t>Policy Type</t>
  </si>
  <si>
    <t>House</t>
  </si>
  <si>
    <t>House Details</t>
  </si>
  <si>
    <t>Risk Address</t>
  </si>
  <si>
    <t>Risk Information</t>
  </si>
  <si>
    <t>Year Built</t>
  </si>
  <si>
    <t>Number of Storeys</t>
  </si>
  <si>
    <t>How many self contained dwellings are you insuring?</t>
  </si>
  <si>
    <t>Floor Area (in metres) of Dwelling Including Basement/Attached Garage</t>
  </si>
  <si>
    <t>Floor Area (in metres) of Detached Garage and Outbuildings</t>
  </si>
  <si>
    <t>Construction Information</t>
  </si>
  <si>
    <t>Policy Inception Date</t>
  </si>
  <si>
    <t>Marketing Promotion</t>
  </si>
  <si>
    <t>Additional Policy Information</t>
  </si>
  <si>
    <t>Standard of House</t>
  </si>
  <si>
    <t>Slope of Location</t>
  </si>
  <si>
    <t>Condition and Use</t>
  </si>
  <si>
    <t>Property Use</t>
  </si>
  <si>
    <t>Sum Insured Details</t>
  </si>
  <si>
    <t>What settlement basis is desired?</t>
  </si>
  <si>
    <t>House Sum Insured</t>
  </si>
  <si>
    <t>Special Features</t>
  </si>
  <si>
    <t>Does the property have any private utility plant, bridge, culvert, permanent dam, permanent ford, jetty/wharf, cable car or submersible pump for which you would like cover under this policy?</t>
  </si>
  <si>
    <t>Feature Type</t>
  </si>
  <si>
    <t>Sum Insured</t>
  </si>
  <si>
    <t>Sub Limits</t>
  </si>
  <si>
    <t>Recreational Features</t>
  </si>
  <si>
    <t>Does your property have Recreational Features (swimming pool, spa pool or tennis court)?</t>
  </si>
  <si>
    <t>Does your property have any retaining walls?</t>
  </si>
  <si>
    <t>Discounts</t>
  </si>
  <si>
    <t>Multi Saver Discoun</t>
  </si>
  <si>
    <t>Staff Discount</t>
  </si>
  <si>
    <t>Options</t>
  </si>
  <si>
    <t>Do you want no excess on claims for breakage of glass or sanitary fixtures?</t>
  </si>
  <si>
    <t>Date of Birth</t>
  </si>
  <si>
    <t>Total Recreational Features Sum Insured</t>
  </si>
  <si>
    <t>Total Retaining Walls Sum Insured</t>
  </si>
  <si>
    <t>How many units require Lost rent cover?</t>
  </si>
  <si>
    <t>Do you require cover for theft or deliberate damage by tenants?</t>
  </si>
  <si>
    <t>Do you require cover for tenants vacating without notice?</t>
  </si>
  <si>
    <t>Rental Property Contents Sum Insured</t>
  </si>
  <si>
    <t>Optional Excess</t>
  </si>
  <si>
    <t>Payment Plan</t>
  </si>
  <si>
    <t xml:space="preserve">Paid Last Year </t>
  </si>
  <si>
    <t>Case #</t>
  </si>
  <si>
    <t xml:space="preserve">Select case # from the dropdown  </t>
  </si>
  <si>
    <t>Special Features ?</t>
  </si>
  <si>
    <t>Recreational Features?</t>
  </si>
  <si>
    <t>Retaining Walls?</t>
  </si>
  <si>
    <t>Note: If property has Recreational Features, add items by one to get appropriate Total Sum Insured</t>
  </si>
  <si>
    <t>Note: If property has Retaining Walls, add items by one to get appropriate Total Sum Insured</t>
  </si>
  <si>
    <t>Note: To get Date of Birth set up Customer</t>
  </si>
  <si>
    <t>What Policy Term?</t>
  </si>
  <si>
    <t>Annual</t>
  </si>
  <si>
    <t>N/A</t>
  </si>
  <si>
    <t>Freestanding House</t>
  </si>
  <si>
    <t>Retirement Unit</t>
  </si>
  <si>
    <t>Semi-detached House/Terrace</t>
  </si>
  <si>
    <t>Apartment</t>
  </si>
  <si>
    <t>Boarding House</t>
  </si>
  <si>
    <t>Other</t>
  </si>
  <si>
    <t>Brick Veneer</t>
  </si>
  <si>
    <t>Concrete Block Veneer</t>
  </si>
  <si>
    <t>Fibre Cement</t>
  </si>
  <si>
    <t>Metal</t>
  </si>
  <si>
    <t>Mud Brick</t>
  </si>
  <si>
    <t>Stucco</t>
  </si>
  <si>
    <t>Concrete</t>
  </si>
  <si>
    <t>Cement Tiles</t>
  </si>
  <si>
    <t>Fibro</t>
  </si>
  <si>
    <t>Shingles</t>
  </si>
  <si>
    <t>Tin/Colourbond</t>
  </si>
  <si>
    <t>Flat/Gentle</t>
  </si>
  <si>
    <t>Moderate</t>
  </si>
  <si>
    <t>Severe</t>
  </si>
  <si>
    <t>Ordinary</t>
  </si>
  <si>
    <t>Quality</t>
  </si>
  <si>
    <t>Prestige</t>
  </si>
  <si>
    <t>Owner Occupied</t>
  </si>
  <si>
    <t>Owner + Boarder</t>
  </si>
  <si>
    <t>Let to Tenants</t>
  </si>
  <si>
    <t>Holiday Home</t>
  </si>
  <si>
    <t>Overcap Discount</t>
  </si>
  <si>
    <t>Settlement basis?</t>
  </si>
  <si>
    <t>Replacement</t>
  </si>
  <si>
    <t>Market Value</t>
  </si>
  <si>
    <t>Market Value House</t>
  </si>
  <si>
    <t>Premier House</t>
  </si>
  <si>
    <t>Premier Rental Property</t>
  </si>
  <si>
    <t>None</t>
  </si>
  <si>
    <t>MSD2</t>
  </si>
  <si>
    <t>MSD3</t>
  </si>
  <si>
    <t>No Discount</t>
  </si>
  <si>
    <t>AMI Staff</t>
  </si>
  <si>
    <t>First Assistance</t>
  </si>
  <si>
    <t>Quarterly</t>
  </si>
  <si>
    <t>Monthly</t>
  </si>
  <si>
    <t>Bridge</t>
  </si>
  <si>
    <t>Culvert</t>
  </si>
  <si>
    <t>Permanent Ford</t>
  </si>
  <si>
    <t>Permanent Dam</t>
  </si>
  <si>
    <t>Jetty/Wharf</t>
  </si>
  <si>
    <t>Private Utility Plant</t>
  </si>
  <si>
    <t xml:space="preserve">Do you require Lost rent cover? </t>
  </si>
  <si>
    <t>Do you want to have cover for your Rental Property Contents?</t>
  </si>
  <si>
    <t>Cover for your Rental Property Contents?</t>
  </si>
  <si>
    <t>Address Line 1</t>
  </si>
  <si>
    <t>Town / City</t>
  </si>
  <si>
    <t>Postcode</t>
  </si>
  <si>
    <t>policy1</t>
  </si>
  <si>
    <t>policy2</t>
  </si>
  <si>
    <t>policy3</t>
  </si>
  <si>
    <t>policy4</t>
  </si>
  <si>
    <t>policy5</t>
  </si>
  <si>
    <t>policy11</t>
  </si>
  <si>
    <t>policy12</t>
  </si>
  <si>
    <t>policy13</t>
  </si>
  <si>
    <t>policy14</t>
  </si>
  <si>
    <t>policy7</t>
  </si>
  <si>
    <t>policy9</t>
  </si>
  <si>
    <t>policy15</t>
  </si>
  <si>
    <t>policy6</t>
  </si>
  <si>
    <t>policy8</t>
  </si>
  <si>
    <t>policy10</t>
  </si>
  <si>
    <t>policy16</t>
  </si>
  <si>
    <t>RENEWAL</t>
  </si>
  <si>
    <t>policy17</t>
  </si>
  <si>
    <t>policy19</t>
  </si>
  <si>
    <t>policy21</t>
  </si>
  <si>
    <t>policy18</t>
  </si>
  <si>
    <t>policy20</t>
  </si>
  <si>
    <t>policy22</t>
  </si>
  <si>
    <t>Market Value Rental Property</t>
  </si>
  <si>
    <t>Slate</t>
  </si>
  <si>
    <t>Flat or Unit</t>
  </si>
  <si>
    <t>Employee/Relative</t>
  </si>
  <si>
    <t>policy23</t>
  </si>
  <si>
    <t>policy24</t>
  </si>
  <si>
    <t>policy25</t>
  </si>
  <si>
    <t>policy26</t>
  </si>
  <si>
    <t>policy27</t>
  </si>
  <si>
    <t>policy28</t>
  </si>
  <si>
    <t>policy29</t>
  </si>
  <si>
    <t>policy30</t>
  </si>
  <si>
    <t>Russell Street</t>
  </si>
  <si>
    <t>Westport</t>
  </si>
  <si>
    <t>Hurricane Way</t>
  </si>
  <si>
    <t>Christchurch</t>
  </si>
  <si>
    <t>026</t>
  </si>
  <si>
    <t>054</t>
  </si>
  <si>
    <t>109 Haigh Access Road</t>
  </si>
  <si>
    <t>Auckland</t>
  </si>
  <si>
    <t>080</t>
  </si>
  <si>
    <t>54/56 Russell Street</t>
  </si>
  <si>
    <t>Buller</t>
  </si>
  <si>
    <t>068</t>
  </si>
  <si>
    <t>47 London Street</t>
  </si>
  <si>
    <t>046</t>
  </si>
  <si>
    <t>12 Clonbern Place</t>
  </si>
  <si>
    <t>8042 when LIMS are not responding</t>
  </si>
  <si>
    <t>8023 when LIMS are not responding</t>
  </si>
  <si>
    <t>056</t>
  </si>
  <si>
    <t>8 Rotherham Street</t>
  </si>
  <si>
    <t>4/32 Lyndon Street</t>
  </si>
  <si>
    <t>4 Hurricane Way</t>
  </si>
  <si>
    <t>084</t>
  </si>
  <si>
    <t>Napier</t>
  </si>
  <si>
    <t> 1114.78</t>
  </si>
  <si>
    <t>riskItem</t>
  </si>
  <si>
    <t>&gt;riskItemDataIntegration</t>
  </si>
  <si>
    <t>Risk Item</t>
  </si>
  <si>
    <t>Result</t>
  </si>
  <si>
    <r>
      <t xml:space="preserve">Data </t>
    </r>
    <r>
      <rPr>
        <b/>
        <sz val="9"/>
        <color theme="1"/>
        <rFont val="Franklin Gothic Book"/>
        <family val="2"/>
      </rPr>
      <t>RiskItem</t>
    </r>
    <r>
      <rPr>
        <sz val="9"/>
        <color theme="1"/>
        <rFont val="Franklin Gothic Book"/>
        <family val="2"/>
      </rPr>
      <t xml:space="preserve"> riskItemDataIntegration</t>
    </r>
  </si>
  <si>
    <t>policyID</t>
  </si>
  <si>
    <t>classCode</t>
  </si>
  <si>
    <t>PRDW</t>
  </si>
  <si>
    <t>MVDW</t>
  </si>
  <si>
    <t>PRRE</t>
  </si>
  <si>
    <t>MVRT</t>
  </si>
  <si>
    <t>transaction</t>
  </si>
  <si>
    <t>NewBusiness</t>
  </si>
  <si>
    <t>Renewal</t>
  </si>
  <si>
    <t>policyForm</t>
  </si>
  <si>
    <t>HOUSE</t>
  </si>
  <si>
    <t>effectiveDate</t>
  </si>
  <si>
    <t>transactionEffectiveDate</t>
  </si>
  <si>
    <t>excess</t>
  </si>
  <si>
    <t>paymentOption</t>
  </si>
  <si>
    <t>A</t>
  </si>
  <si>
    <t>M</t>
  </si>
  <si>
    <t>Q</t>
  </si>
  <si>
    <t>customerDateOfBirth</t>
  </si>
  <si>
    <t>ratingArea</t>
  </si>
  <si>
    <t>postCode</t>
  </si>
  <si>
    <t>noDwellings</t>
  </si>
  <si>
    <t>storey</t>
  </si>
  <si>
    <t>wallConstruction</t>
  </si>
  <si>
    <t>BRKVEN</t>
  </si>
  <si>
    <t>CBLCKVEN</t>
  </si>
  <si>
    <t>FCEMENT</t>
  </si>
  <si>
    <t>MBRICK</t>
  </si>
  <si>
    <t>METAL</t>
  </si>
  <si>
    <t>STUCCO</t>
  </si>
  <si>
    <t>OTH</t>
  </si>
  <si>
    <t>roofConstruction</t>
  </si>
  <si>
    <t>CTILES</t>
  </si>
  <si>
    <t>CONCRETE</t>
  </si>
  <si>
    <t>FIBRO</t>
  </si>
  <si>
    <t>SHINGLES</t>
  </si>
  <si>
    <t>TIN</t>
  </si>
  <si>
    <t>SLAT</t>
  </si>
  <si>
    <t>slope</t>
  </si>
  <si>
    <t>FLAT</t>
  </si>
  <si>
    <t>MODERATE</t>
  </si>
  <si>
    <t>SEVERE</t>
  </si>
  <si>
    <t>yearOfConstruction</t>
  </si>
  <si>
    <t>area</t>
  </si>
  <si>
    <t>buildingType</t>
  </si>
  <si>
    <t>FREE</t>
  </si>
  <si>
    <t>RTRMNT</t>
  </si>
  <si>
    <t>DETACH</t>
  </si>
  <si>
    <t>BOARD</t>
  </si>
  <si>
    <t>APT</t>
  </si>
  <si>
    <t>standard</t>
  </si>
  <si>
    <t>PRSTG</t>
  </si>
  <si>
    <t>ORDN</t>
  </si>
  <si>
    <t>QLTY</t>
  </si>
  <si>
    <t>occupancy</t>
  </si>
  <si>
    <t>OWNOCC</t>
  </si>
  <si>
    <t>HLDHM</t>
  </si>
  <si>
    <t>OWNBRD</t>
  </si>
  <si>
    <t>LETTENT</t>
  </si>
  <si>
    <t>EMPL</t>
  </si>
  <si>
    <t>sumInsured</t>
  </si>
  <si>
    <t xml:space="preserve">paidLastYear </t>
  </si>
  <si>
    <t>rentalContentsSumInsured</t>
  </si>
  <si>
    <t>glassSanitaryFixtures</t>
  </si>
  <si>
    <t>numberOfLossOfRentDwellings</t>
  </si>
  <si>
    <t>tenantMaliciousDamage</t>
  </si>
  <si>
    <t>tenantsVacatingWithoutNotice</t>
  </si>
  <si>
    <t>campaign</t>
  </si>
  <si>
    <t>NA</t>
  </si>
  <si>
    <t>OCD</t>
  </si>
  <si>
    <t>staff</t>
  </si>
  <si>
    <t>NONE</t>
  </si>
  <si>
    <t>AMIS</t>
  </si>
  <si>
    <t>TELE</t>
  </si>
  <si>
    <t>msdLevel</t>
  </si>
  <si>
    <t>MSD 3</t>
  </si>
  <si>
    <t>MSD 2</t>
  </si>
  <si>
    <t>alarm</t>
  </si>
  <si>
    <t>customerAge</t>
  </si>
  <si>
    <t>minPremium</t>
  </si>
  <si>
    <t>&gt;minPremiumDataIntegration</t>
  </si>
  <si>
    <t>specialFeatures</t>
  </si>
  <si>
    <t>&gt;specialFeatureDataIntegration</t>
  </si>
  <si>
    <t>specialFeature1,
specialFeature2, specialFeature3, specialFeature4, specialFeature5, specialFeature6</t>
  </si>
  <si>
    <t>specialFeature7,
specialFeature8,
specialFeature9,
specialFeature10,
specialFeature11,
specialFeature12,
specialFeature13,
specialFeature14</t>
  </si>
  <si>
    <t>specialFeature33,
specialFeature34</t>
  </si>
  <si>
    <t>specialFeature105, specialFeature106</t>
  </si>
  <si>
    <t>specialFeature107, specialFeature108, specialFeature109</t>
  </si>
  <si>
    <t>specialFeature110, specialFeature111, specialFeature112, specialFeature113</t>
  </si>
  <si>
    <t>extensions</t>
  </si>
  <si>
    <t>&gt;extensionDataIntegration</t>
  </si>
  <si>
    <t>extension1,
extension2</t>
  </si>
  <si>
    <t>extension3</t>
  </si>
  <si>
    <t>extension4</t>
  </si>
  <si>
    <t>extension5,
extension6</t>
  </si>
  <si>
    <t>extension13,
extension14</t>
  </si>
  <si>
    <t>extension15</t>
  </si>
  <si>
    <t>extension28, extension29</t>
  </si>
  <si>
    <t>extension30</t>
  </si>
  <si>
    <t>specifiedItems</t>
  </si>
  <si>
    <r>
      <t xml:space="preserve">Data </t>
    </r>
    <r>
      <rPr>
        <b/>
        <sz val="9"/>
        <color theme="1"/>
        <rFont val="Franklin Gothic Book"/>
        <family val="2"/>
      </rPr>
      <t>MinPremium</t>
    </r>
    <r>
      <rPr>
        <sz val="9"/>
        <color theme="1"/>
        <rFont val="Franklin Gothic Book"/>
        <family val="2"/>
      </rPr>
      <t xml:space="preserve"> minPremiumDataIntegration</t>
    </r>
  </si>
  <si>
    <t>minPremium1</t>
  </si>
  <si>
    <t>minPremium2</t>
  </si>
  <si>
    <t>minPremium3</t>
  </si>
  <si>
    <r>
      <t xml:space="preserve">Data </t>
    </r>
    <r>
      <rPr>
        <b/>
        <sz val="9"/>
        <color theme="1"/>
        <rFont val="Franklin Gothic Book"/>
        <family val="2"/>
      </rPr>
      <t>SpecialFeature</t>
    </r>
    <r>
      <rPr>
        <sz val="9"/>
        <color theme="1"/>
        <rFont val="Franklin Gothic Book"/>
        <family val="2"/>
      </rPr>
      <t xml:space="preserve"> specialFeatureDataIntegration</t>
    </r>
  </si>
  <si>
    <r>
      <t xml:space="preserve">Data </t>
    </r>
    <r>
      <rPr>
        <b/>
        <sz val="9"/>
        <color theme="1"/>
        <rFont val="Franklin Gothic Book"/>
        <family val="2"/>
      </rPr>
      <t>Extension</t>
    </r>
    <r>
      <rPr>
        <sz val="9"/>
        <color theme="1"/>
        <rFont val="Franklin Gothic Book"/>
        <family val="2"/>
      </rPr>
      <t xml:space="preserve"> extensionDataIntegration</t>
    </r>
  </si>
  <si>
    <t>specialFeatureID</t>
  </si>
  <si>
    <t>specialFeatureType</t>
  </si>
  <si>
    <t>extensionID</t>
  </si>
  <si>
    <t>extensionType</t>
  </si>
  <si>
    <t>specialFeature1</t>
  </si>
  <si>
    <t>BRIDGE</t>
  </si>
  <si>
    <t>extension1</t>
  </si>
  <si>
    <t>RTWLL</t>
  </si>
  <si>
    <t>specialFeature2</t>
  </si>
  <si>
    <t>CULVERT</t>
  </si>
  <si>
    <t>extension2</t>
  </si>
  <si>
    <t>RCFTR</t>
  </si>
  <si>
    <t>specialFeature3</t>
  </si>
  <si>
    <t>CABLE</t>
  </si>
  <si>
    <t>specialFeature4</t>
  </si>
  <si>
    <t>JETTY</t>
  </si>
  <si>
    <t>specialFeature5</t>
  </si>
  <si>
    <t>extension5</t>
  </si>
  <si>
    <t>specialFeature6</t>
  </si>
  <si>
    <t>DAM</t>
  </si>
  <si>
    <t>extension6</t>
  </si>
  <si>
    <t>specialFeature7</t>
  </si>
  <si>
    <t>extension13</t>
  </si>
  <si>
    <t>specialFeature8</t>
  </si>
  <si>
    <t>extension14</t>
  </si>
  <si>
    <t>specialFeature9</t>
  </si>
  <si>
    <t>UTILITY</t>
  </si>
  <si>
    <t>specialFeature10</t>
  </si>
  <si>
    <t>SPUMP</t>
  </si>
  <si>
    <t>extension28</t>
  </si>
  <si>
    <t>specialFeature11</t>
  </si>
  <si>
    <t>FORD</t>
  </si>
  <si>
    <t>extension29</t>
  </si>
  <si>
    <t>specialFeature12</t>
  </si>
  <si>
    <t>specialFeature13</t>
  </si>
  <si>
    <t>specialFeature14</t>
  </si>
  <si>
    <t>specialFeature33</t>
  </si>
  <si>
    <t>specialFeature34</t>
  </si>
  <si>
    <t>specialFeature105</t>
  </si>
  <si>
    <t>specialFeature106</t>
  </si>
  <si>
    <t>specialFeature107</t>
  </si>
  <si>
    <t>specialFeature108</t>
  </si>
  <si>
    <t>specialFeature109</t>
  </si>
  <si>
    <t>specialFeature110</t>
  </si>
  <si>
    <t>specialFeature111</t>
  </si>
  <si>
    <t>specialFeature112</t>
  </si>
  <si>
    <t>specialFeature113</t>
  </si>
  <si>
    <t>Environment</t>
  </si>
  <si>
    <t>dependency</t>
  </si>
  <si>
    <t>AMI House And Contents Algorithm</t>
  </si>
  <si>
    <t>MajorMidtermChange</t>
  </si>
  <si>
    <t>MinorMidtermChange</t>
  </si>
  <si>
    <t>policy4A</t>
  </si>
  <si>
    <t>policy4B</t>
  </si>
  <si>
    <t>policy4C</t>
  </si>
  <si>
    <t>Transaction effective date</t>
  </si>
  <si>
    <t>ENDORSEMENT</t>
  </si>
  <si>
    <t>policy5A</t>
  </si>
  <si>
    <t>policy5B</t>
  </si>
  <si>
    <t>policy5C</t>
  </si>
  <si>
    <t>Base Premium</t>
  </si>
  <si>
    <t>MSD on Base Premium</t>
  </si>
  <si>
    <t>Campaign Discount on Base Premium</t>
  </si>
  <si>
    <t>No Excess for Glass</t>
  </si>
  <si>
    <t>MSD on No Excess for Glass</t>
  </si>
  <si>
    <t>Lost Rent</t>
  </si>
  <si>
    <t>MSD on Lost Rent</t>
  </si>
  <si>
    <t>Theft or Deliberate Damage by Tenant</t>
  </si>
  <si>
    <t>MSD on Theft or Deliberate Damage by Tenant</t>
  </si>
  <si>
    <t>Tenants Vacating without Notice</t>
  </si>
  <si>
    <t>MSD on Tenants Vacating without Notice</t>
  </si>
  <si>
    <t>_res_.$Formula$CampaignPromotionalMult</t>
  </si>
  <si>
    <t>_res_.$Formula$CampaignPromotionalAddition</t>
  </si>
  <si>
    <t>_res_.$Formula$GlassBuyoutCampaignMult</t>
  </si>
  <si>
    <t>_res_.$Formula$LossOfRentCampaignMult</t>
  </si>
  <si>
    <t>_res_.$Formula$TenantsMaliciousDamageCampaignMult</t>
  </si>
  <si>
    <t>_res_.$Formula$TenantsVacatingWithoutNoticeCampaignMult</t>
  </si>
  <si>
    <r>
      <t xml:space="preserve">Test </t>
    </r>
    <r>
      <rPr>
        <b/>
        <sz val="12"/>
        <rFont val="Franklin Gothic Book"/>
        <family val="2"/>
      </rPr>
      <t>DetermineHouseBodyCorpsPremium</t>
    </r>
    <r>
      <rPr>
        <sz val="10"/>
        <rFont val="Franklin Gothic Book"/>
        <family val="2"/>
      </rPr>
      <t xml:space="preserve"> DetermineHouseBodyCorpsPremiumIntegrationTest</t>
    </r>
  </si>
  <si>
    <t>_res_.$Value$MSD</t>
  </si>
  <si>
    <t>_res_.$Value$GlassBuyoutMSD</t>
  </si>
  <si>
    <t>_res_.$Value$LossOfRentMSD</t>
  </si>
  <si>
    <t>_res_.$Value$TenantsMaliciousDamageMSD</t>
  </si>
  <si>
    <t>_res_.$Value$TenantsVacatingWithoutNoticeMSD</t>
  </si>
  <si>
    <t>Landlord's Contents</t>
  </si>
  <si>
    <t>MSD on Landlord's Contents</t>
  </si>
  <si>
    <t>Campaign Discount on Landlord's Contents</t>
  </si>
  <si>
    <t>renewalCycle</t>
  </si>
  <si>
    <t>Renewal Cycle</t>
  </si>
  <si>
    <t>History of Approvals and Revisions</t>
  </si>
  <si>
    <t>Date</t>
  </si>
  <si>
    <t>Name</t>
  </si>
  <si>
    <t>Changes</t>
  </si>
  <si>
    <t>Affected Tab</t>
  </si>
  <si>
    <t>Version</t>
  </si>
  <si>
    <t>Robertas Sulcas / Hanna Paliakova</t>
  </si>
  <si>
    <t>Initial draft</t>
  </si>
  <si>
    <t>00.09.01</t>
  </si>
  <si>
    <t>30/06/2014</t>
  </si>
  <si>
    <t>Arturas Kalesnykas</t>
  </si>
  <si>
    <t>Added Premium and consolidated view sections with details</t>
  </si>
  <si>
    <t>Premium</t>
  </si>
  <si>
    <t>00.10.01</t>
  </si>
  <si>
    <t>Updated Premium tab</t>
  </si>
  <si>
    <t>00.10.02</t>
  </si>
  <si>
    <t>Robertas Sulcas</t>
  </si>
  <si>
    <t>00.10.03</t>
  </si>
  <si>
    <t>Validation criteria from the user story have to be tested with these cases:</t>
  </si>
  <si>
    <t>VC #</t>
  </si>
  <si>
    <t>policy1, policy3, policy5, policy7, policy9, policy11, policy13, policy15, policy17, policy19, policy21, policy23, policy25, policy27, policy29</t>
  </si>
  <si>
    <t>policy4, policy4B, policy5, policy5A, policy5B</t>
  </si>
  <si>
    <t>policy4, policy4A, policy4C, policy5, policy5C</t>
  </si>
  <si>
    <t>policy1, policy2, policy3, policy4, policy5, policy6, policy7, policy8, policy9, policy10, policy11, policy12, policy13, policy14, policy15, policy16, policy17, policy18, policy19, policy20, policy21, policy22, policy23, policy24, policy25, policy26, policy27, policy28, policy29, policy30</t>
  </si>
  <si>
    <t>Premium Tab</t>
  </si>
  <si>
    <t>Summary Premium</t>
  </si>
  <si>
    <t>Options and Endorsements</t>
  </si>
  <si>
    <t>Taxes and Fees</t>
  </si>
  <si>
    <t>Transaction Amount</t>
  </si>
  <si>
    <t>Term Premium</t>
  </si>
  <si>
    <t>Billable Premium</t>
  </si>
  <si>
    <t>Not in scope</t>
  </si>
  <si>
    <t>Detailed Premium</t>
  </si>
  <si>
    <t>Description</t>
  </si>
  <si>
    <t>Limit</t>
  </si>
  <si>
    <t>Loss of Rent</t>
  </si>
  <si>
    <t>Malicious Damage by Tenants</t>
  </si>
  <si>
    <t>Rental Contents</t>
  </si>
  <si>
    <t>Fire Service Levy</t>
  </si>
  <si>
    <t>Covered by FR231-001</t>
  </si>
  <si>
    <t>Earthquake Commission Levy</t>
  </si>
  <si>
    <t>Covered by FR231-002</t>
  </si>
  <si>
    <t>Goods &amp; Services Tax</t>
  </si>
  <si>
    <t>Covered by FR231-003</t>
  </si>
  <si>
    <t>Premium Section in Quote/Policy Consolidated View</t>
  </si>
  <si>
    <t xml:space="preserve">Coverage </t>
  </si>
  <si>
    <t>Same as Fire Service Levy term premium on Premium tab</t>
  </si>
  <si>
    <t>Same as Fire Service Levy billable premium on Premium tab</t>
  </si>
  <si>
    <t>Same as Earthquake Commission Levy term premium on Premium tab</t>
  </si>
  <si>
    <t>Same as Earthquake Commission Levy billable premium on Premium tab</t>
  </si>
  <si>
    <t>Same as Goods &amp; Services Tax term premium on Premium tab</t>
  </si>
  <si>
    <t>Same as Goods &amp; Services Tax billable premium on Premium tab</t>
  </si>
  <si>
    <t>Policy Premium</t>
  </si>
  <si>
    <t>Hanna Paliakova</t>
  </si>
  <si>
    <t>Updated House</t>
  </si>
  <si>
    <r>
      <t>Test</t>
    </r>
    <r>
      <rPr>
        <b/>
        <sz val="10"/>
        <color theme="0" tint="-0.499984740745262"/>
        <rFont val="Franklin Gothic Book"/>
        <family val="2"/>
      </rPr>
      <t xml:space="preserve"> DeterminePolicyPremium</t>
    </r>
    <r>
      <rPr>
        <sz val="10"/>
        <color theme="0" tint="-0.499984740745262"/>
        <rFont val="Franklin Gothic Book"/>
        <family val="2"/>
        <charset val="204"/>
      </rPr>
      <t xml:space="preserve"> DeterminePolicyPremiumTest</t>
    </r>
  </si>
  <si>
    <t>_res_.$Formula$RiskItemPremium</t>
  </si>
  <si>
    <t>-101.80 </t>
  </si>
  <si>
    <t> -15.19</t>
  </si>
  <si>
    <t> 533.28</t>
  </si>
  <si>
    <t> -1.21</t>
  </si>
  <si>
    <t>469.24 </t>
  </si>
  <si>
    <t> -32.85</t>
  </si>
  <si>
    <t>548.03 </t>
  </si>
  <si>
    <t>-19.98 </t>
  </si>
  <si>
    <t>468.40 </t>
  </si>
  <si>
    <t> 800.00 </t>
  </si>
  <si>
    <t>Data Extension extensionDataIntegration1</t>
  </si>
  <si>
    <t>&gt;extensionDataIntegration1</t>
  </si>
  <si>
    <t>Data RiskItem riskItemDataIntegration1</t>
  </si>
  <si>
    <t>&gt;riskItemDataIntegration1</t>
  </si>
  <si>
    <t>Data MinPremium minPremiumDataIntegration1</t>
  </si>
  <si>
    <t>&gt;minPremiumDataIntegration1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</si>
</sst>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d/mm/yyyy;@"/>
    <numFmt numFmtId="165" formatCode="_-* #,##0.00_-;\-* #,##0.00_-;_-* &quot;-&quot;??_-;_-@_-"/>
    <numFmt numFmtId="166" formatCode="m/d/yyyy;@"/>
    <numFmt numFmtId="167" formatCode="&quot;$&quot;#,##0.00"/>
  </numFmts>
  <fonts count="30" x14ac:knownFonts="1">
    <font>
      <sz val="11"/>
      <color theme="1" rgb="000000"/>
      <name val="Calibri"/>
      <family val="2"/>
      <scheme val="minor"/>
    </font>
    <font>
      <sz val="10"/>
      <color theme="1"/>
      <name val="Franklin Gothic Book"/>
      <family val="2"/>
    </font>
    <font>
      <sz val="9"/>
      <color rgb="FFC75B12"/>
      <name val="Verdana"/>
      <family val="2"/>
    </font>
    <font>
      <sz val="9"/>
      <color rgb="FF333333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 rgb="000000"/>
      <name val="Franklin Gothic Book"/>
      <family val="2"/>
    </font>
    <font>
      <i/>
      <sz val="8"/>
      <color theme="1"/>
      <name val="Franklin Gothic Book"/>
      <family val="2"/>
    </font>
    <font>
      <sz val="10"/>
      <name val="Arial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Franklin Gothic Book"/>
      <family val="2"/>
    </font>
    <font>
      <sz val="10"/>
      <name val="Franklin Gothic Book"/>
      <family val="2"/>
    </font>
    <font>
      <b/>
      <sz val="12"/>
      <name val="Franklin Gothic Book"/>
      <family val="2"/>
    </font>
    <font>
      <sz val="10"/>
      <color theme="0" tint="-0.499984740745262" rgb="FFFFFF"/>
      <name val="Franklin Gothic Book"/>
      <family val="2"/>
      <charset val="204"/>
    </font>
    <font>
      <sz val="10"/>
      <name val="Arial"/>
      <family val="2"/>
      <charset val="204"/>
    </font>
    <font>
      <b/>
      <sz val="10"/>
      <name val="Franklin Gothic Book"/>
      <family val="2"/>
    </font>
    <font>
      <b/>
      <sz val="9"/>
      <color theme="1" rgb="000000"/>
      <name val="Franklin Gothic Book"/>
      <family val="2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charset val="186"/>
    </font>
    <font>
      <b/>
      <sz val="9"/>
      <color theme="1" tint="4.9989318521683403E-2"/>
      <name val="Arial"/>
      <family val="2"/>
    </font>
    <font>
      <sz val="9"/>
      <name val="Arial"/>
      <family val="2"/>
    </font>
    <font>
      <b/>
      <sz val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rgb="FFFF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 tint="-0.499984740745262"/>
      <name val="Franklin Gothic Book"/>
      <family val="2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E9B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rgb="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2C5CA"/>
        <bgColor rgb="FF000000"/>
      </patternFill>
    </fill>
    <fill>
      <patternFill patternType="solid">
        <fgColor rgb="FFE4E4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theme="0" tint="-0.499984740745262"/>
        <bgColor rgb="FF000000"/>
      </patternFill>
    </fill>
  </fills>
  <borders count="28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rgb="FFC2C5CA"/>
      </bottom>
      <diagonal/>
    </border>
    <border>
      <left style="thin">
        <color rgb="FFC2C5CA"/>
      </left>
      <right/>
      <top style="thin">
        <color rgb="FFC2C5CA"/>
      </top>
      <bottom/>
      <diagonal/>
    </border>
    <border>
      <left/>
      <right/>
      <top style="thin">
        <color rgb="FFC2C5CA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2C5CA"/>
      </left>
      <right/>
      <top style="thin">
        <color rgb="FFC2C5CA"/>
      </top>
      <bottom style="thin">
        <color rgb="FFC2C5CA"/>
      </bottom>
      <diagonal/>
    </border>
    <border>
      <left/>
      <right style="thin">
        <color rgb="FFC2C5CA"/>
      </right>
      <top style="thin">
        <color rgb="FFC2C5CA"/>
      </top>
      <bottom style="thin">
        <color rgb="FFC2C5CA"/>
      </bottom>
      <diagonal/>
    </border>
    <border>
      <left style="thin">
        <color rgb="FFC2C5CA"/>
      </left>
      <right/>
      <top/>
      <bottom style="thin">
        <color rgb="FFC2C5CA"/>
      </bottom>
      <diagonal/>
    </border>
    <border>
      <left/>
      <right/>
      <top style="thin">
        <color rgb="FFC0C0C0"/>
      </top>
      <bottom style="thin">
        <color rgb="FFC2C5CA"/>
      </bottom>
      <diagonal/>
    </border>
    <border>
      <left/>
      <right/>
      <top style="thin">
        <color rgb="FFC2C5CA"/>
      </top>
      <bottom style="thin">
        <color rgb="FFC2C5CA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xfId="0"/>
    <xf numFmtId="0" fontId="7" fillId="20" borderId="0" xfId="1">
      <alignment horizontal="left"/>
    </xf>
    <xf numFmtId="0" fontId="16" fillId="0" borderId="0" xfId="2"/>
    <xf numFmtId="0" fontId="19" fillId="0" borderId="15" applyNumberFormat="0" applyFill="0" applyAlignment="0" applyProtection="0" xfId="3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0" fillId="4" borderId="0" xfId="0" applyNumberFormat="1" applyFill="1" applyBorder="1" applyAlignment="1">
      <alignment horizontal="center"/>
    </xf>
    <xf numFmtId="49" fontId="0" fillId="0" borderId="0" xfId="0" applyNumberFormat="1"/>
    <xf numFmtId="0" fontId="0" fillId="4" borderId="0" xfId="0" applyFill="1" applyBorder="1" applyAlignment="1">
      <alignment horizontal="center" vertical="center"/>
    </xf>
    <xf numFmtId="0" fontId="5" fillId="0" borderId="0" xfId="0" applyFont="1"/>
    <xf numFmtId="164" fontId="0" fillId="4" borderId="0" xfId="0" applyNumberFormat="1" applyFill="1" applyBorder="1" applyAlignment="1">
      <alignment horizontal="center"/>
    </xf>
    <xf numFmtId="164" fontId="0" fillId="0" borderId="0" xfId="0" applyNumberFormat="1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0" fillId="6" borderId="0" xfId="0" applyFill="1" applyBorder="1" applyAlignment="1">
      <alignment horizontal="center"/>
    </xf>
    <xf numFmtId="0" fontId="0" fillId="0" borderId="0" xfId="0" quotePrefix="1"/>
    <xf numFmtId="0" fontId="10" fillId="0" borderId="3" xfId="0" applyFont="1" applyFill="1" applyBorder="1" applyAlignment="1" applyProtection="1">
      <alignment vertical="center" wrapText="1"/>
    </xf>
    <xf numFmtId="0" fontId="10" fillId="0" borderId="3" xfId="0" quotePrefix="1" applyFont="1" applyFill="1" applyBorder="1" applyAlignment="1" applyProtection="1">
      <alignment vertical="center" wrapText="1"/>
    </xf>
    <xf numFmtId="0" fontId="11" fillId="0" borderId="3" xfId="0" applyFont="1" applyFill="1" applyBorder="1" applyAlignment="1" applyProtection="1">
      <alignment vertical="center" wrapText="1"/>
    </xf>
    <xf numFmtId="0" fontId="12" fillId="0" borderId="0" xfId="0" applyFont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7" fillId="20" borderId="0" xfId="1" applyAlignment="1">
      <alignment horizontal="left"/>
    </xf>
    <xf numFmtId="0" fontId="7" fillId="20" borderId="11" xfId="1" applyBorder="1" applyAlignment="1">
      <alignment horizontal="left"/>
    </xf>
    <xf numFmtId="0" fontId="7" fillId="20" borderId="8" xfId="1" applyBorder="1" applyAlignment="1">
      <alignment horizontal="left"/>
    </xf>
    <xf numFmtId="0" fontId="7" fillId="20" borderId="9" xfId="1" applyBorder="1" applyAlignment="1">
      <alignment horizontal="left"/>
    </xf>
    <xf numFmtId="0" fontId="7" fillId="20" borderId="10" xfId="1" applyBorder="1" applyAlignment="1">
      <alignment horizontal="left"/>
    </xf>
    <xf numFmtId="0" fontId="7" fillId="20" borderId="0" xfId="1" applyBorder="1" applyAlignment="1">
      <alignment horizontal="left"/>
    </xf>
    <xf numFmtId="0" fontId="1" fillId="0" borderId="4" xfId="0" applyFont="1" applyBorder="1"/>
    <xf numFmtId="0" fontId="15" fillId="20" borderId="4" xfId="0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7" fillId="6" borderId="7" xfId="2" applyFont="1" applyFill="1" applyBorder="1" applyAlignment="1">
      <alignment horizontal="center"/>
    </xf>
    <xf numFmtId="0" fontId="0" fillId="0" borderId="14" xfId="0" applyNumberForma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center"/>
    </xf>
    <xf numFmtId="0" fontId="5" fillId="21" borderId="12" xfId="0" applyFont="1" applyFill="1" applyBorder="1" applyAlignment="1">
      <alignment horizontal="center" vertical="center"/>
    </xf>
    <xf numFmtId="0" fontId="7" fillId="0" borderId="4" xfId="1" applyFill="1" applyBorder="1" applyAlignment="1">
      <alignment horizontal="left"/>
    </xf>
    <xf numFmtId="0" fontId="7" fillId="0" borderId="4" xfId="1" applyFill="1" applyBorder="1" applyAlignment="1">
      <alignment horizontal="left" vertical="top"/>
    </xf>
    <xf numFmtId="0" fontId="7" fillId="0" borderId="4" xfId="1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7" fillId="0" borderId="4" xfId="1" applyFill="1" applyBorder="1" applyAlignment="1">
      <alignment horizontal="left" vertical="center"/>
    </xf>
    <xf numFmtId="0" fontId="18" fillId="0" borderId="4" xfId="1" applyFont="1" applyFill="1" applyBorder="1" applyAlignment="1">
      <alignment horizontal="left" vertical="center"/>
    </xf>
    <xf numFmtId="0" fontId="18" fillId="0" borderId="4" xfId="1" applyFont="1" applyFill="1" applyBorder="1" applyAlignment="1">
      <alignment horizontal="left"/>
    </xf>
    <xf numFmtId="0" fontId="18" fillId="0" borderId="4" xfId="1" applyFont="1" applyFill="1" applyBorder="1" applyAlignment="1">
      <alignment horizontal="left" vertical="top"/>
    </xf>
    <xf numFmtId="0" fontId="7" fillId="0" borderId="4" xfId="1" applyFont="1" applyFill="1" applyBorder="1" applyAlignment="1">
      <alignment horizontal="left" vertical="top"/>
    </xf>
    <xf numFmtId="164" fontId="7" fillId="0" borderId="4" xfId="0" applyNumberFormat="1" applyFont="1" applyFill="1" applyBorder="1" applyAlignment="1">
      <alignment horizontal="left" vertical="top"/>
    </xf>
    <xf numFmtId="0" fontId="7" fillId="0" borderId="4" xfId="0" quotePrefix="1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4" xfId="0" applyFont="1" applyFill="1" applyBorder="1" applyAlignment="1">
      <alignment horizontal="left" vertical="top"/>
    </xf>
    <xf numFmtId="2" fontId="7" fillId="0" borderId="4" xfId="0" applyNumberFormat="1" applyFont="1" applyFill="1" applyBorder="1" applyAlignment="1">
      <alignment horizontal="left" vertical="top"/>
    </xf>
    <xf numFmtId="14" fontId="7" fillId="0" borderId="4" xfId="0" applyNumberFormat="1" applyFont="1" applyFill="1" applyBorder="1" applyAlignment="1">
      <alignment horizontal="left" vertical="top"/>
    </xf>
    <xf numFmtId="0" fontId="5" fillId="22" borderId="0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0" applyFill="1" applyAlignment="1">
      <alignment horizontal="center"/>
    </xf>
    <xf numFmtId="0" fontId="20" fillId="0" borderId="0" xfId="3" applyFont="1" applyBorder="1"/>
    <xf numFmtId="166" fontId="21" fillId="23" borderId="0" xfId="0" applyNumberFormat="1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164" fontId="22" fillId="0" borderId="0" xfId="0" applyNumberFormat="1" applyFont="1" applyBorder="1" applyAlignment="1">
      <alignment horizontal="left"/>
    </xf>
    <xf numFmtId="0" fontId="22" fillId="0" borderId="0" xfId="0" applyFont="1" applyBorder="1"/>
    <xf numFmtId="0" fontId="22" fillId="0" borderId="0" xfId="0" applyNumberFormat="1" applyFont="1" applyBorder="1"/>
    <xf numFmtId="0" fontId="23" fillId="24" borderId="17" xfId="0" applyFont="1" applyFill="1" applyBorder="1" applyAlignment="1">
      <alignment vertical="center"/>
    </xf>
    <xf numFmtId="0" fontId="23" fillId="24" borderId="18" xfId="0" applyFont="1" applyFill="1" applyBorder="1" applyAlignment="1">
      <alignment vertical="center"/>
    </xf>
    <xf numFmtId="0" fontId="23" fillId="24" borderId="18" xfId="0" applyFont="1" applyFill="1" applyBorder="1" applyAlignment="1">
      <alignment horizontal="center" vertical="center"/>
    </xf>
    <xf numFmtId="0" fontId="23" fillId="24" borderId="24" xfId="0" applyFont="1" applyFill="1" applyBorder="1" applyAlignment="1">
      <alignment vertical="center"/>
    </xf>
    <xf numFmtId="0" fontId="23" fillId="24" borderId="16" xfId="0" applyFont="1" applyFill="1" applyBorder="1" applyAlignment="1">
      <alignment vertical="center"/>
    </xf>
    <xf numFmtId="0" fontId="23" fillId="24" borderId="25" xfId="0" applyFont="1" applyFill="1" applyBorder="1" applyAlignment="1">
      <alignment horizontal="center" vertical="center"/>
    </xf>
    <xf numFmtId="0" fontId="24" fillId="25" borderId="22" xfId="0" applyFont="1" applyFill="1" applyBorder="1" applyAlignment="1">
      <alignment vertical="center"/>
    </xf>
    <xf numFmtId="0" fontId="24" fillId="25" borderId="26" xfId="0" applyFont="1" applyFill="1" applyBorder="1" applyAlignment="1">
      <alignment vertical="center"/>
    </xf>
    <xf numFmtId="0" fontId="25" fillId="26" borderId="22" xfId="0" applyFont="1" applyFill="1" applyBorder="1" applyAlignment="1">
      <alignment vertical="center"/>
    </xf>
    <xf numFmtId="0" fontId="25" fillId="26" borderId="26" xfId="0" applyFont="1" applyFill="1" applyBorder="1" applyAlignment="1">
      <alignment vertical="center"/>
    </xf>
    <xf numFmtId="8" fontId="25" fillId="26" borderId="22" xfId="0" applyNumberFormat="1" applyFont="1" applyFill="1" applyBorder="1" applyAlignment="1">
      <alignment horizontal="center" vertical="center"/>
    </xf>
    <xf numFmtId="8" fontId="25" fillId="26" borderId="23" xfId="0" applyNumberFormat="1" applyFont="1" applyFill="1" applyBorder="1" applyAlignment="1">
      <alignment horizontal="center" vertical="center"/>
    </xf>
    <xf numFmtId="0" fontId="25" fillId="28" borderId="22" xfId="0" applyFont="1" applyFill="1" applyBorder="1" applyAlignment="1">
      <alignment vertical="center"/>
    </xf>
    <xf numFmtId="0" fontId="25" fillId="28" borderId="26" xfId="0" applyFont="1" applyFill="1" applyBorder="1" applyAlignment="1">
      <alignment vertical="center"/>
    </xf>
    <xf numFmtId="8" fontId="25" fillId="28" borderId="22" xfId="0" applyNumberFormat="1" applyFont="1" applyFill="1" applyBorder="1" applyAlignment="1">
      <alignment horizontal="center" vertical="center"/>
    </xf>
    <xf numFmtId="8" fontId="25" fillId="28" borderId="23" xfId="0" applyNumberFormat="1" applyFont="1" applyFill="1" applyBorder="1" applyAlignment="1">
      <alignment horizontal="center" vertical="center"/>
    </xf>
    <xf numFmtId="0" fontId="24" fillId="29" borderId="16" xfId="0" applyFont="1" applyFill="1" applyBorder="1" applyAlignment="1">
      <alignment vertical="center"/>
    </xf>
    <xf numFmtId="0" fontId="24" fillId="25" borderId="26" xfId="0" applyFont="1" applyFill="1" applyBorder="1" applyAlignment="1">
      <alignment horizontal="left" vertical="center"/>
    </xf>
    <xf numFmtId="0" fontId="25" fillId="26" borderId="22" xfId="0" applyFont="1" applyFill="1" applyBorder="1" applyAlignment="1">
      <alignment horizontal="center" vertical="center"/>
    </xf>
    <xf numFmtId="167" fontId="25" fillId="26" borderId="22" xfId="0" applyNumberFormat="1" applyFont="1" applyFill="1" applyBorder="1" applyAlignment="1">
      <alignment horizontal="left" vertical="center"/>
    </xf>
    <xf numFmtId="167" fontId="26" fillId="26" borderId="23" xfId="0" applyNumberFormat="1" applyFont="1" applyFill="1" applyBorder="1" applyAlignment="1">
      <alignment horizontal="left" vertical="center"/>
    </xf>
    <xf numFmtId="0" fontId="24" fillId="26" borderId="26" xfId="0" applyFont="1" applyFill="1" applyBorder="1" applyAlignment="1">
      <alignment vertical="center"/>
    </xf>
    <xf numFmtId="164" fontId="0" fillId="0" borderId="0" xfId="0" applyNumberFormat="1" applyFill="1" applyAlignment="1"/>
    <xf numFmtId="0" fontId="11" fillId="0" borderId="3" xfId="0" quotePrefix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/>
    <xf numFmtId="164" fontId="7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right"/>
    </xf>
    <xf numFmtId="167" fontId="25" fillId="26" borderId="22" xfId="0" applyNumberFormat="1" applyFont="1" applyFill="1" applyBorder="1" applyAlignment="1">
      <alignment horizontal="left" vertical="center"/>
    </xf>
    <xf numFmtId="167" fontId="25" fillId="26" borderId="23" xfId="0" applyNumberFormat="1" applyFont="1" applyFill="1" applyBorder="1" applyAlignment="1">
      <alignment horizontal="left" vertical="center"/>
    </xf>
    <xf numFmtId="8" fontId="25" fillId="26" borderId="22" xfId="0" applyNumberFormat="1" applyFont="1" applyFill="1" applyBorder="1" applyAlignment="1">
      <alignment horizontal="left" vertical="center"/>
    </xf>
    <xf numFmtId="8" fontId="25" fillId="26" borderId="23" xfId="0" applyNumberFormat="1" applyFont="1" applyFill="1" applyBorder="1" applyAlignment="1">
      <alignment horizontal="left" vertical="center"/>
    </xf>
    <xf numFmtId="8" fontId="24" fillId="26" borderId="22" xfId="0" applyNumberFormat="1" applyFont="1" applyFill="1" applyBorder="1" applyAlignment="1">
      <alignment horizontal="left" vertical="center"/>
    </xf>
    <xf numFmtId="8" fontId="24" fillId="26" borderId="23" xfId="0" applyNumberFormat="1" applyFont="1" applyFill="1" applyBorder="1" applyAlignment="1">
      <alignment horizontal="left" vertical="center"/>
    </xf>
    <xf numFmtId="0" fontId="25" fillId="28" borderId="22" xfId="0" applyFont="1" applyFill="1" applyBorder="1" applyAlignment="1">
      <alignment horizontal="center" vertical="center"/>
    </xf>
    <xf numFmtId="0" fontId="25" fillId="28" borderId="23" xfId="0" applyFont="1" applyFill="1" applyBorder="1" applyAlignment="1">
      <alignment horizontal="center" vertical="center"/>
    </xf>
    <xf numFmtId="8" fontId="25" fillId="28" borderId="22" xfId="0" applyNumberFormat="1" applyFont="1" applyFill="1" applyBorder="1" applyAlignment="1">
      <alignment horizontal="left" vertical="center"/>
    </xf>
    <xf numFmtId="8" fontId="25" fillId="28" borderId="23" xfId="0" applyNumberFormat="1" applyFont="1" applyFill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0" fontId="24" fillId="25" borderId="22" xfId="0" applyFont="1" applyFill="1" applyBorder="1" applyAlignment="1">
      <alignment horizontal="left" vertical="center"/>
    </xf>
    <xf numFmtId="0" fontId="24" fillId="25" borderId="23" xfId="0" applyFont="1" applyFill="1" applyBorder="1" applyAlignment="1">
      <alignment horizontal="left" vertical="center"/>
    </xf>
    <xf numFmtId="0" fontId="25" fillId="26" borderId="22" xfId="0" applyFont="1" applyFill="1" applyBorder="1" applyAlignment="1">
      <alignment horizontal="center" vertical="center"/>
    </xf>
    <xf numFmtId="0" fontId="25" fillId="26" borderId="23" xfId="0" applyFont="1" applyFill="1" applyBorder="1" applyAlignment="1">
      <alignment horizontal="center" vertical="center"/>
    </xf>
    <xf numFmtId="8" fontId="25" fillId="26" borderId="19" xfId="0" applyNumberFormat="1" applyFont="1" applyFill="1" applyBorder="1" applyAlignment="1">
      <alignment horizontal="left" vertical="center" wrapText="1"/>
    </xf>
    <xf numFmtId="8" fontId="25" fillId="26" borderId="20" xfId="0" applyNumberFormat="1" applyFont="1" applyFill="1" applyBorder="1" applyAlignment="1">
      <alignment horizontal="left" vertical="center" wrapText="1"/>
    </xf>
    <xf numFmtId="0" fontId="24" fillId="25" borderId="19" xfId="0" applyFont="1" applyFill="1" applyBorder="1" applyAlignment="1">
      <alignment horizontal="left" vertical="center"/>
    </xf>
    <xf numFmtId="0" fontId="24" fillId="25" borderId="20" xfId="0" applyFont="1" applyFill="1" applyBorder="1" applyAlignment="1">
      <alignment horizontal="left" vertical="center"/>
    </xf>
    <xf numFmtId="0" fontId="24" fillId="25" borderId="21" xfId="0" applyFont="1" applyFill="1" applyBorder="1" applyAlignment="1">
      <alignment horizontal="left" vertical="center"/>
    </xf>
    <xf numFmtId="8" fontId="25" fillId="26" borderId="21" xfId="0" applyNumberFormat="1" applyFont="1" applyFill="1" applyBorder="1" applyAlignment="1">
      <alignment horizontal="left" vertical="center" wrapText="1"/>
    </xf>
    <xf numFmtId="8" fontId="25" fillId="27" borderId="19" xfId="0" applyNumberFormat="1" applyFont="1" applyFill="1" applyBorder="1" applyAlignment="1">
      <alignment horizontal="left" vertical="center" wrapText="1"/>
    </xf>
    <xf numFmtId="8" fontId="25" fillId="27" borderId="20" xfId="0" applyNumberFormat="1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horizontal="left" vertical="center"/>
    </xf>
    <xf numFmtId="0" fontId="13" fillId="20" borderId="6" xfId="0" applyFont="1" applyFill="1" applyBorder="1" applyAlignment="1">
      <alignment horizontal="left" vertical="center"/>
    </xf>
    <xf numFmtId="0" fontId="15" fillId="20" borderId="13" xfId="0" applyFont="1" applyFill="1" applyBorder="1" applyAlignment="1">
      <alignment horizontal="left" vertical="center"/>
    </xf>
    <xf numFmtId="0" fontId="15" fillId="20" borderId="27" xfId="0" applyFont="1" applyFill="1" applyBorder="1" applyAlignment="1">
      <alignment horizontal="left" vertical="center"/>
    </xf>
    <xf numFmtId="0" fontId="7" fillId="20" borderId="6" xfId="1" applyBorder="1" applyAlignment="1">
      <alignment horizontal="left"/>
    </xf>
    <xf numFmtId="0" fontId="7" fillId="20" borderId="5" xfId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7" fillId="20" borderId="6" xfId="1" applyBorder="1" applyAlignment="1"/>
    <xf numFmtId="0" fontId="7" fillId="20" borderId="6" xfId="1" applyBorder="1" applyAlignment="1">
      <alignment horizontal="center"/>
    </xf>
  </cellXfs>
  <cellStyles count="4">
    <cellStyle name="Normal" xfId="0" builtinId="0"/>
    <cellStyle name="Datatype" xfId="1"/>
    <cellStyle name="Normal_EPLI rater" xfId="2"/>
    <cellStyle name="Heading 2 2" xfId="3"/>
  </cellStyles>
  <dxfs count="0"/>
  <tableStyles count="0" defaultTableStyle="TableStyleMedium2" defaultPivotStyle="PivotStyleMedium9"/>
  <colors>
    <mruColors>
      <color rgb="FFFBE9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paliakova/Downloads/Test%20cases%20House%20(1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History-"/>
      <sheetName val="US testing"/>
      <sheetName val="PreConditions"/>
      <sheetName val="General"/>
      <sheetName val="Risk Information"/>
      <sheetName val="Sum Insured"/>
      <sheetName val="Options"/>
      <sheetName val="Premium"/>
      <sheetName val="House"/>
      <sheetName val="Integration test"/>
      <sheetName val="Integration test Data"/>
      <sheetName val="Environme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4 Hurricane Way</v>
          </cell>
        </row>
        <row r="5">
          <cell r="B5" t="str">
            <v>Christchurch</v>
          </cell>
        </row>
        <row r="6">
          <cell r="B6" t="str">
            <v/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2" sqref="E12"/>
    </sheetView>
  </sheetViews>
  <sheetFormatPr defaultRowHeight="15" x14ac:dyDescent="0.25"/>
  <cols>
    <col min="1" max="1" customWidth="true" width="12.140625" collapsed="true"/>
    <col min="2" max="2" bestFit="true" customWidth="true" width="29.28515625" collapsed="true"/>
    <col min="3" max="3" bestFit="true" customWidth="true" width="50.7109375" collapsed="true"/>
    <col min="4" max="4" bestFit="true" customWidth="true" width="11.28515625" collapsed="true"/>
    <col min="5" max="5" bestFit="true" customWidth="true" width="7.85546875" collapsed="true"/>
  </cols>
  <sheetData>
    <row r="1" spans="1:5" ht="17.25" x14ac:dyDescent="0.3">
      <c r="A1" s="66" t="s">
        <v>420</v>
      </c>
    </row>
    <row r="2" spans="1:5" x14ac:dyDescent="0.25">
      <c r="A2" s="67" t="s">
        <v>421</v>
      </c>
      <c r="B2" s="68" t="s">
        <v>422</v>
      </c>
      <c r="C2" s="68" t="s">
        <v>423</v>
      </c>
      <c r="D2" s="68" t="s">
        <v>424</v>
      </c>
      <c r="E2" s="68" t="s">
        <v>425</v>
      </c>
    </row>
    <row r="3" spans="1:5" x14ac:dyDescent="0.25">
      <c r="A3" s="69"/>
      <c r="B3" s="70" t="s">
        <v>426</v>
      </c>
      <c r="C3" s="71" t="s">
        <v>427</v>
      </c>
      <c r="D3" s="71"/>
      <c r="E3" s="70" t="s">
        <v>428</v>
      </c>
    </row>
    <row r="4" spans="1:5" x14ac:dyDescent="0.25">
      <c r="A4" s="69" t="s">
        <v>429</v>
      </c>
      <c r="B4" s="70" t="s">
        <v>430</v>
      </c>
      <c r="C4" s="71" t="s">
        <v>431</v>
      </c>
      <c r="D4" s="71" t="s">
        <v>432</v>
      </c>
      <c r="E4" s="70" t="s">
        <v>433</v>
      </c>
    </row>
    <row r="5" spans="1:5" x14ac:dyDescent="0.25">
      <c r="A5" s="69">
        <v>41821</v>
      </c>
      <c r="B5" s="70" t="s">
        <v>430</v>
      </c>
      <c r="C5" s="71" t="s">
        <v>434</v>
      </c>
      <c r="D5" s="71" t="s">
        <v>432</v>
      </c>
      <c r="E5" s="70" t="s">
        <v>435</v>
      </c>
    </row>
    <row r="6" spans="1:5" x14ac:dyDescent="0.25">
      <c r="A6" s="69">
        <v>41821</v>
      </c>
      <c r="B6" s="70" t="s">
        <v>436</v>
      </c>
      <c r="C6" s="71" t="s">
        <v>434</v>
      </c>
      <c r="D6" s="71" t="s">
        <v>432</v>
      </c>
      <c r="E6" s="70" t="s">
        <v>437</v>
      </c>
    </row>
    <row r="7" spans="1:5" x14ac:dyDescent="0.25">
      <c r="A7" s="69">
        <v>41821</v>
      </c>
      <c r="B7" s="70" t="s">
        <v>473</v>
      </c>
      <c r="C7" s="96" t="s">
        <v>474</v>
      </c>
      <c r="D7" s="71" t="s">
        <v>54</v>
      </c>
      <c r="E7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M89"/>
  <sheetViews>
    <sheetView topLeftCell="A38" workbookViewId="0">
      <selection activeCell="E63" sqref="E63"/>
    </sheetView>
  </sheetViews>
  <sheetFormatPr defaultRowHeight="15" x14ac:dyDescent="0.25"/>
  <cols>
    <col min="2" max="2" customWidth="true" width="42.28515625" collapsed="true"/>
    <col min="3" max="3" customWidth="true" width="24.85546875" collapsed="true"/>
    <col min="4" max="4" bestFit="true" customWidth="true" width="18.7109375" collapsed="true"/>
    <col min="5" max="5" customWidth="true" width="23.7109375" collapsed="true"/>
    <col min="6" max="6" bestFit="true" customWidth="true" width="32.28515625" collapsed="true"/>
    <col min="7" max="7" bestFit="true" customWidth="true" width="28.7109375" collapsed="true"/>
    <col min="8" max="8" bestFit="true" customWidth="true" width="36.140625" collapsed="true"/>
    <col min="9" max="9" bestFit="true" customWidth="true" width="28.0" collapsed="true"/>
    <col min="10" max="10" bestFit="true" customWidth="true" width="35.0" collapsed="true"/>
    <col min="11" max="11" bestFit="true" customWidth="true" width="28.7109375" collapsed="true"/>
  </cols>
  <sheetData>
    <row r="4" spans="2:13" ht="16.5" x14ac:dyDescent="0.25">
      <c r="B4" s="122" t="s">
        <v>409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</row>
    <row r="5" spans="2:13" x14ac:dyDescent="0.25">
      <c r="B5" s="41" t="s">
        <v>221</v>
      </c>
      <c r="C5" s="41" t="s">
        <v>403</v>
      </c>
      <c r="D5" s="41" t="s">
        <v>410</v>
      </c>
      <c r="E5" s="41" t="s">
        <v>404</v>
      </c>
      <c r="F5" s="41" t="s">
        <v>405</v>
      </c>
      <c r="G5" s="41" t="s">
        <v>411</v>
      </c>
      <c r="H5" s="41" t="s">
        <v>406</v>
      </c>
      <c r="I5" s="41" t="s">
        <v>412</v>
      </c>
      <c r="J5" s="41" t="s">
        <v>407</v>
      </c>
      <c r="K5" s="41" t="s">
        <v>413</v>
      </c>
      <c r="L5" s="41" t="s">
        <v>408</v>
      </c>
      <c r="M5" s="41" t="s">
        <v>414</v>
      </c>
    </row>
    <row r="6" spans="2:13" x14ac:dyDescent="0.25">
      <c r="B6" s="42" t="s">
        <v>490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2:13" x14ac:dyDescent="0.25">
      <c r="B7" s="43" t="s">
        <v>223</v>
      </c>
      <c r="C7" s="45" t="s">
        <v>224</v>
      </c>
      <c r="D7" s="45" t="s">
        <v>224</v>
      </c>
      <c r="E7" s="45" t="s">
        <v>224</v>
      </c>
      <c r="F7" s="45" t="s">
        <v>224</v>
      </c>
      <c r="G7" s="45" t="s">
        <v>224</v>
      </c>
      <c r="H7" s="45" t="s">
        <v>224</v>
      </c>
      <c r="I7" s="45" t="s">
        <v>224</v>
      </c>
      <c r="J7" s="45" t="s">
        <v>224</v>
      </c>
      <c r="K7" s="45" t="s">
        <v>224</v>
      </c>
      <c r="L7" s="45" t="s">
        <v>224</v>
      </c>
      <c r="M7" s="45" t="s">
        <v>224</v>
      </c>
    </row>
    <row r="8" spans="2:13" x14ac:dyDescent="0.25">
      <c r="B8" s="31" t="s">
        <v>162</v>
      </c>
      <c r="C8" s="44">
        <v>1</v>
      </c>
      <c r="D8" s="44">
        <v>1</v>
      </c>
      <c r="E8" s="44">
        <v>1</v>
      </c>
      <c r="F8" s="44">
        <v>1</v>
      </c>
      <c r="G8" s="44">
        <v>1</v>
      </c>
      <c r="H8" s="44">
        <v>1</v>
      </c>
      <c r="I8" s="44">
        <v>1</v>
      </c>
      <c r="J8" s="44">
        <v>1</v>
      </c>
      <c r="K8" s="44">
        <v>1</v>
      </c>
      <c r="L8" s="44">
        <v>1</v>
      </c>
      <c r="M8" s="44">
        <v>1</v>
      </c>
    </row>
    <row r="9" spans="2:13" x14ac:dyDescent="0.25">
      <c r="B9" s="31" t="s">
        <v>163</v>
      </c>
      <c r="C9" s="44">
        <v>1</v>
      </c>
      <c r="D9" s="44">
        <v>1</v>
      </c>
      <c r="E9" s="44">
        <v>1</v>
      </c>
      <c r="F9" s="44">
        <v>1</v>
      </c>
      <c r="G9" s="44">
        <v>1</v>
      </c>
      <c r="H9" s="44"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</row>
    <row r="10" spans="2:13" x14ac:dyDescent="0.25">
      <c r="B10" s="31" t="s">
        <v>164</v>
      </c>
      <c r="C10" s="44">
        <v>1</v>
      </c>
      <c r="D10" s="44">
        <v>1</v>
      </c>
      <c r="E10" s="44">
        <v>1</v>
      </c>
      <c r="F10" s="44">
        <v>1</v>
      </c>
      <c r="G10" s="44">
        <v>1</v>
      </c>
      <c r="H10" s="44">
        <v>1</v>
      </c>
      <c r="I10" s="44">
        <v>1</v>
      </c>
      <c r="J10" s="44">
        <v>1</v>
      </c>
      <c r="K10" s="44">
        <v>1</v>
      </c>
      <c r="L10" s="44">
        <v>1</v>
      </c>
      <c r="M10" s="44">
        <v>1</v>
      </c>
    </row>
    <row r="11" spans="2:13" x14ac:dyDescent="0.25">
      <c r="B11" s="31" t="s">
        <v>165</v>
      </c>
      <c r="C11" s="44">
        <v>1</v>
      </c>
      <c r="D11" s="44">
        <v>1</v>
      </c>
      <c r="E11" s="44">
        <v>1</v>
      </c>
      <c r="F11" s="44">
        <v>1</v>
      </c>
      <c r="G11" s="44">
        <v>1</v>
      </c>
      <c r="H11" s="44">
        <v>1</v>
      </c>
      <c r="I11" s="44">
        <v>1</v>
      </c>
      <c r="J11" s="44">
        <v>1</v>
      </c>
      <c r="K11" s="44">
        <v>1</v>
      </c>
      <c r="L11" s="44">
        <v>1</v>
      </c>
      <c r="M11" s="44">
        <v>1</v>
      </c>
    </row>
    <row r="12" spans="2:13" x14ac:dyDescent="0.25">
      <c r="B12" s="31" t="s">
        <v>384</v>
      </c>
      <c r="C12" s="44">
        <v>1</v>
      </c>
      <c r="D12" s="44">
        <v>1</v>
      </c>
      <c r="E12" s="44">
        <v>1</v>
      </c>
      <c r="F12" s="44">
        <v>1</v>
      </c>
      <c r="G12" s="44">
        <v>1</v>
      </c>
      <c r="H12" s="44">
        <v>1</v>
      </c>
      <c r="I12" s="44">
        <v>1</v>
      </c>
      <c r="J12" s="44">
        <v>1</v>
      </c>
      <c r="K12" s="44">
        <v>1</v>
      </c>
      <c r="L12" s="44">
        <v>1</v>
      </c>
      <c r="M12" s="44">
        <v>1</v>
      </c>
    </row>
    <row r="13" spans="2:13" x14ac:dyDescent="0.25">
      <c r="B13" s="31" t="s">
        <v>385</v>
      </c>
      <c r="C13" s="44">
        <v>1</v>
      </c>
      <c r="D13" s="44">
        <v>1</v>
      </c>
      <c r="E13" s="44">
        <v>1</v>
      </c>
      <c r="F13" s="44">
        <v>1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</row>
    <row r="14" spans="2:13" x14ac:dyDescent="0.25">
      <c r="B14" s="31" t="s">
        <v>386</v>
      </c>
      <c r="C14" s="44">
        <v>1</v>
      </c>
      <c r="D14" s="44">
        <v>1</v>
      </c>
      <c r="E14" s="44">
        <v>1</v>
      </c>
      <c r="F14" s="44">
        <v>1</v>
      </c>
      <c r="G14" s="44">
        <v>1</v>
      </c>
      <c r="H14" s="44">
        <v>1</v>
      </c>
      <c r="I14" s="44">
        <v>1</v>
      </c>
      <c r="J14" s="44">
        <v>1</v>
      </c>
      <c r="K14" s="44">
        <v>1</v>
      </c>
      <c r="L14" s="44">
        <v>1</v>
      </c>
      <c r="M14" s="44">
        <v>1</v>
      </c>
    </row>
    <row r="15" spans="2:13" x14ac:dyDescent="0.25">
      <c r="B15" s="31" t="s">
        <v>166</v>
      </c>
      <c r="C15" s="44">
        <v>1</v>
      </c>
      <c r="D15" s="44">
        <v>1</v>
      </c>
      <c r="E15" s="44">
        <v>1</v>
      </c>
      <c r="F15" s="44">
        <v>1</v>
      </c>
      <c r="G15" s="44">
        <v>1</v>
      </c>
      <c r="H15" s="44">
        <v>1</v>
      </c>
      <c r="I15" s="44">
        <v>1</v>
      </c>
      <c r="J15" s="44">
        <v>1</v>
      </c>
      <c r="K15" s="44">
        <v>1</v>
      </c>
      <c r="L15" s="44">
        <v>1</v>
      </c>
      <c r="M15" s="44">
        <v>1</v>
      </c>
    </row>
    <row r="16" spans="2:13" x14ac:dyDescent="0.25">
      <c r="B16" s="31" t="s">
        <v>389</v>
      </c>
      <c r="C16" s="44">
        <v>1</v>
      </c>
      <c r="D16" s="44">
        <v>1</v>
      </c>
      <c r="E16" s="44">
        <v>1</v>
      </c>
      <c r="F16" s="44">
        <v>1</v>
      </c>
      <c r="G16" s="44">
        <v>1</v>
      </c>
      <c r="H16" s="44">
        <v>1</v>
      </c>
      <c r="I16" s="44">
        <v>1</v>
      </c>
      <c r="J16" s="44">
        <v>1</v>
      </c>
      <c r="K16" s="44">
        <v>1</v>
      </c>
      <c r="L16" s="44">
        <v>1</v>
      </c>
      <c r="M16" s="44">
        <v>1</v>
      </c>
    </row>
    <row r="17" spans="2:13" x14ac:dyDescent="0.25">
      <c r="B17" s="31" t="s">
        <v>390</v>
      </c>
      <c r="C17" s="44">
        <v>1</v>
      </c>
      <c r="D17" s="44">
        <v>1</v>
      </c>
      <c r="E17" s="44">
        <v>1</v>
      </c>
      <c r="F17" s="44">
        <v>1</v>
      </c>
      <c r="G17" s="44">
        <v>1</v>
      </c>
      <c r="H17" s="44">
        <v>1</v>
      </c>
      <c r="I17" s="44">
        <v>1</v>
      </c>
      <c r="J17" s="44">
        <v>1</v>
      </c>
      <c r="K17" s="44">
        <v>1</v>
      </c>
      <c r="L17" s="44">
        <v>1</v>
      </c>
      <c r="M17" s="44">
        <v>1</v>
      </c>
    </row>
    <row r="18" spans="2:13" x14ac:dyDescent="0.25">
      <c r="B18" s="31" t="s">
        <v>391</v>
      </c>
      <c r="C18" s="44">
        <v>1</v>
      </c>
      <c r="D18" s="44">
        <v>1</v>
      </c>
      <c r="E18" s="44">
        <v>1</v>
      </c>
      <c r="F18" s="44">
        <v>1</v>
      </c>
      <c r="G18" s="44">
        <v>1</v>
      </c>
      <c r="H18" s="44">
        <v>1</v>
      </c>
      <c r="I18" s="44">
        <v>1</v>
      </c>
      <c r="J18" s="44">
        <v>1</v>
      </c>
      <c r="K18" s="44">
        <v>1</v>
      </c>
      <c r="L18" s="44">
        <v>1</v>
      </c>
      <c r="M18" s="44">
        <v>1</v>
      </c>
    </row>
    <row r="19" spans="2:13" x14ac:dyDescent="0.25">
      <c r="B19" s="31" t="s">
        <v>174</v>
      </c>
      <c r="C19" s="44">
        <v>1</v>
      </c>
      <c r="D19" s="44">
        <v>1</v>
      </c>
      <c r="E19" s="44">
        <v>1</v>
      </c>
      <c r="F19" s="44">
        <v>1</v>
      </c>
      <c r="G19" s="44">
        <v>1</v>
      </c>
      <c r="H19" s="44">
        <v>1</v>
      </c>
      <c r="I19" s="44">
        <v>1</v>
      </c>
      <c r="J19" s="44">
        <v>1</v>
      </c>
      <c r="K19" s="44">
        <v>1</v>
      </c>
      <c r="L19" s="44">
        <v>1</v>
      </c>
      <c r="M19" s="44">
        <v>1</v>
      </c>
    </row>
    <row r="20" spans="2:13" x14ac:dyDescent="0.25">
      <c r="B20" s="31" t="s">
        <v>171</v>
      </c>
      <c r="C20" s="44">
        <v>1</v>
      </c>
      <c r="D20" s="44">
        <v>1</v>
      </c>
      <c r="E20" s="44">
        <v>1</v>
      </c>
      <c r="F20" s="44">
        <v>1</v>
      </c>
      <c r="G20" s="44">
        <v>1</v>
      </c>
      <c r="H20" s="44">
        <v>1</v>
      </c>
      <c r="I20" s="44">
        <v>1</v>
      </c>
      <c r="J20" s="44">
        <v>1</v>
      </c>
      <c r="K20" s="44">
        <v>1</v>
      </c>
      <c r="L20" s="44">
        <v>1</v>
      </c>
      <c r="M20" s="44">
        <v>1</v>
      </c>
    </row>
    <row r="21" spans="2:13" x14ac:dyDescent="0.25">
      <c r="B21" s="31" t="s">
        <v>175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44">
        <v>1</v>
      </c>
      <c r="I21" s="44">
        <v>1</v>
      </c>
      <c r="J21" s="44">
        <v>1</v>
      </c>
      <c r="K21" s="44">
        <v>1</v>
      </c>
      <c r="L21" s="44">
        <v>1</v>
      </c>
      <c r="M21" s="44">
        <v>1</v>
      </c>
    </row>
    <row r="22" spans="2:13" x14ac:dyDescent="0.25">
      <c r="B22" s="31" t="s">
        <v>172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44">
        <v>1</v>
      </c>
      <c r="I22" s="44">
        <v>1</v>
      </c>
      <c r="J22" s="44">
        <v>1</v>
      </c>
      <c r="K22" s="44">
        <v>1</v>
      </c>
      <c r="L22" s="44">
        <v>1</v>
      </c>
      <c r="M22" s="44">
        <v>1</v>
      </c>
    </row>
    <row r="23" spans="2:13" x14ac:dyDescent="0.25">
      <c r="B23" s="31" t="s">
        <v>176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</row>
    <row r="24" spans="2:13" x14ac:dyDescent="0.25">
      <c r="B24" s="31" t="s">
        <v>167</v>
      </c>
      <c r="C24" s="44">
        <v>1</v>
      </c>
      <c r="D24" s="44">
        <v>1</v>
      </c>
      <c r="E24" s="44">
        <v>1</v>
      </c>
      <c r="F24" s="44">
        <v>1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</row>
    <row r="25" spans="2:13" x14ac:dyDescent="0.25">
      <c r="B25" s="31" t="s">
        <v>168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  <c r="H25" s="44">
        <v>1</v>
      </c>
      <c r="I25" s="44">
        <v>1</v>
      </c>
      <c r="J25" s="44">
        <v>1</v>
      </c>
      <c r="K25" s="44">
        <v>1</v>
      </c>
      <c r="L25" s="44">
        <v>1</v>
      </c>
      <c r="M25" s="44">
        <v>1</v>
      </c>
    </row>
    <row r="26" spans="2:13" x14ac:dyDescent="0.25">
      <c r="B26" s="31" t="s">
        <v>169</v>
      </c>
      <c r="C26" s="44">
        <v>1</v>
      </c>
      <c r="D26" s="44">
        <v>1</v>
      </c>
      <c r="E26" s="44">
        <v>1</v>
      </c>
      <c r="F26" s="44">
        <v>1</v>
      </c>
      <c r="G26" s="44">
        <v>1</v>
      </c>
      <c r="H26" s="44">
        <v>1</v>
      </c>
      <c r="I26" s="44">
        <v>1</v>
      </c>
      <c r="J26" s="44">
        <v>1</v>
      </c>
      <c r="K26" s="44">
        <v>1</v>
      </c>
      <c r="L26" s="44">
        <v>1</v>
      </c>
      <c r="M26" s="44">
        <v>1</v>
      </c>
    </row>
    <row r="27" spans="2:13" x14ac:dyDescent="0.25">
      <c r="B27" s="31" t="s">
        <v>170</v>
      </c>
      <c r="C27" s="44">
        <v>1</v>
      </c>
      <c r="D27" s="44">
        <v>1</v>
      </c>
      <c r="E27" s="44">
        <v>1</v>
      </c>
      <c r="F27" s="44">
        <v>1</v>
      </c>
      <c r="G27" s="44">
        <v>1</v>
      </c>
      <c r="H27" s="44">
        <v>1</v>
      </c>
      <c r="I27" s="44">
        <v>1</v>
      </c>
      <c r="J27" s="44">
        <v>1</v>
      </c>
      <c r="K27" s="44">
        <v>1</v>
      </c>
      <c r="L27" s="44">
        <v>1</v>
      </c>
      <c r="M27" s="44">
        <v>1</v>
      </c>
    </row>
    <row r="28" spans="2:13" x14ac:dyDescent="0.25">
      <c r="B28" s="31" t="s">
        <v>173</v>
      </c>
      <c r="C28" s="44">
        <v>1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1</v>
      </c>
      <c r="J28" s="44">
        <v>1</v>
      </c>
      <c r="K28" s="44">
        <v>1</v>
      </c>
      <c r="L28" s="44">
        <v>1</v>
      </c>
      <c r="M28" s="44">
        <v>1</v>
      </c>
    </row>
    <row r="29" spans="2:13" x14ac:dyDescent="0.25">
      <c r="B29" s="31" t="s">
        <v>177</v>
      </c>
      <c r="C29" s="44">
        <v>1</v>
      </c>
      <c r="D29" s="44">
        <v>1</v>
      </c>
      <c r="E29" s="44">
        <v>1</v>
      </c>
      <c r="F29" s="44">
        <v>1</v>
      </c>
      <c r="G29" s="44">
        <v>1</v>
      </c>
      <c r="H29" s="44">
        <v>1</v>
      </c>
      <c r="I29" s="44">
        <v>1</v>
      </c>
      <c r="J29" s="44">
        <v>1</v>
      </c>
      <c r="K29" s="44">
        <v>1</v>
      </c>
      <c r="L29" s="44">
        <v>1</v>
      </c>
      <c r="M29" s="44">
        <v>1</v>
      </c>
    </row>
    <row r="30" spans="2:13" x14ac:dyDescent="0.25">
      <c r="B30" s="31" t="s">
        <v>179</v>
      </c>
      <c r="C30" s="44">
        <v>1</v>
      </c>
      <c r="D30" s="44">
        <v>1</v>
      </c>
      <c r="E30" s="44">
        <v>1</v>
      </c>
      <c r="F30" s="44">
        <v>1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</row>
    <row r="31" spans="2:13" x14ac:dyDescent="0.25">
      <c r="B31" s="31" t="s">
        <v>182</v>
      </c>
      <c r="C31" s="44">
        <v>1</v>
      </c>
      <c r="D31" s="44">
        <v>1</v>
      </c>
      <c r="E31" s="44">
        <v>1</v>
      </c>
      <c r="F31" s="44">
        <v>1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</row>
    <row r="32" spans="2:13" x14ac:dyDescent="0.25">
      <c r="B32" s="31" t="s">
        <v>180</v>
      </c>
      <c r="C32" s="44">
        <v>1</v>
      </c>
      <c r="D32" s="44">
        <v>1</v>
      </c>
      <c r="E32" s="44">
        <v>1</v>
      </c>
      <c r="F32" s="44">
        <v>1</v>
      </c>
      <c r="G32" s="44">
        <v>1</v>
      </c>
      <c r="H32" s="44">
        <v>1</v>
      </c>
      <c r="I32" s="44">
        <v>1</v>
      </c>
      <c r="J32" s="44">
        <v>1</v>
      </c>
      <c r="K32" s="44">
        <v>1</v>
      </c>
      <c r="L32" s="44">
        <v>1</v>
      </c>
      <c r="M32" s="44">
        <v>1</v>
      </c>
    </row>
    <row r="33" spans="2:13" x14ac:dyDescent="0.25">
      <c r="B33" s="31" t="s">
        <v>183</v>
      </c>
      <c r="C33" s="44">
        <v>1</v>
      </c>
      <c r="D33" s="44">
        <v>1</v>
      </c>
      <c r="E33" s="44">
        <v>1</v>
      </c>
      <c r="F33" s="44">
        <v>1</v>
      </c>
      <c r="G33" s="44">
        <v>1</v>
      </c>
      <c r="H33" s="44">
        <v>1</v>
      </c>
      <c r="I33" s="44">
        <v>1</v>
      </c>
      <c r="J33" s="44">
        <v>1</v>
      </c>
      <c r="K33" s="44">
        <v>1</v>
      </c>
      <c r="L33" s="44">
        <v>1</v>
      </c>
      <c r="M33" s="44">
        <v>1</v>
      </c>
    </row>
    <row r="34" spans="2:13" x14ac:dyDescent="0.25">
      <c r="B34" s="31" t="s">
        <v>181</v>
      </c>
      <c r="C34" s="44">
        <v>1</v>
      </c>
      <c r="D34" s="44">
        <v>1</v>
      </c>
      <c r="E34" s="44">
        <v>1</v>
      </c>
      <c r="F34" s="44">
        <v>1</v>
      </c>
      <c r="G34" s="44">
        <v>1</v>
      </c>
      <c r="H34" s="44">
        <v>1</v>
      </c>
      <c r="I34" s="44">
        <v>1</v>
      </c>
      <c r="J34" s="44">
        <v>1</v>
      </c>
      <c r="K34" s="44">
        <v>1</v>
      </c>
      <c r="L34" s="44">
        <v>1</v>
      </c>
      <c r="M34" s="44">
        <v>1</v>
      </c>
    </row>
    <row r="35" spans="2:13" x14ac:dyDescent="0.25">
      <c r="B35" s="31" t="s">
        <v>184</v>
      </c>
      <c r="C35" s="44">
        <v>1</v>
      </c>
      <c r="D35" s="44">
        <v>1</v>
      </c>
      <c r="E35" s="44">
        <v>1</v>
      </c>
      <c r="F35" s="44">
        <v>1</v>
      </c>
      <c r="G35" s="44">
        <v>1</v>
      </c>
      <c r="H35" s="44">
        <v>1</v>
      </c>
      <c r="I35" s="44">
        <v>1</v>
      </c>
      <c r="J35" s="44">
        <v>1</v>
      </c>
      <c r="K35" s="44">
        <v>1</v>
      </c>
      <c r="L35" s="44">
        <v>1</v>
      </c>
      <c r="M35" s="44">
        <v>1</v>
      </c>
    </row>
    <row r="36" spans="2:13" x14ac:dyDescent="0.25">
      <c r="B36" s="31" t="s">
        <v>189</v>
      </c>
      <c r="C36" s="44">
        <v>1</v>
      </c>
      <c r="D36" s="44">
        <v>1</v>
      </c>
      <c r="E36" s="44">
        <v>1</v>
      </c>
      <c r="F36" s="44">
        <v>1</v>
      </c>
      <c r="G36" s="44">
        <v>1</v>
      </c>
      <c r="H36" s="44">
        <v>1</v>
      </c>
      <c r="I36" s="44">
        <v>1</v>
      </c>
      <c r="J36" s="44">
        <v>1</v>
      </c>
      <c r="K36" s="44">
        <v>1</v>
      </c>
      <c r="L36" s="44">
        <v>1</v>
      </c>
      <c r="M36" s="44">
        <v>1</v>
      </c>
    </row>
    <row r="37" spans="2:13" x14ac:dyDescent="0.25">
      <c r="B37" s="31" t="s">
        <v>190</v>
      </c>
      <c r="C37" s="44">
        <v>1</v>
      </c>
      <c r="D37" s="44">
        <v>1</v>
      </c>
      <c r="E37" s="44">
        <v>1</v>
      </c>
      <c r="F37" s="44">
        <v>1</v>
      </c>
      <c r="G37" s="44">
        <v>1</v>
      </c>
      <c r="H37" s="44">
        <v>1</v>
      </c>
      <c r="I37" s="44">
        <v>1</v>
      </c>
      <c r="J37" s="44">
        <v>1</v>
      </c>
      <c r="K37" s="44">
        <v>1</v>
      </c>
      <c r="L37" s="44">
        <v>1</v>
      </c>
      <c r="M37" s="44">
        <v>1</v>
      </c>
    </row>
    <row r="38" spans="2:13" x14ac:dyDescent="0.25">
      <c r="B38" s="31" t="s">
        <v>191</v>
      </c>
      <c r="C38" s="44">
        <v>1</v>
      </c>
      <c r="D38" s="44">
        <v>1</v>
      </c>
      <c r="E38" s="44">
        <v>1</v>
      </c>
      <c r="F38" s="44">
        <v>1</v>
      </c>
      <c r="G38" s="44">
        <v>1</v>
      </c>
      <c r="H38" s="44">
        <v>1</v>
      </c>
      <c r="I38" s="44">
        <v>1</v>
      </c>
      <c r="J38" s="44">
        <v>1</v>
      </c>
      <c r="K38" s="44">
        <v>1</v>
      </c>
      <c r="L38" s="44">
        <v>1</v>
      </c>
      <c r="M38" s="44">
        <v>1</v>
      </c>
    </row>
    <row r="39" spans="2:13" x14ac:dyDescent="0.25">
      <c r="B39" s="31" t="s">
        <v>192</v>
      </c>
      <c r="C39" s="44">
        <v>1</v>
      </c>
      <c r="D39" s="44">
        <v>1</v>
      </c>
      <c r="E39" s="44">
        <v>1</v>
      </c>
      <c r="F39" s="44">
        <v>1</v>
      </c>
      <c r="G39" s="44">
        <v>1</v>
      </c>
      <c r="H39" s="44">
        <v>1</v>
      </c>
      <c r="I39" s="44">
        <v>1</v>
      </c>
      <c r="J39" s="44">
        <v>1</v>
      </c>
      <c r="K39" s="44">
        <v>1</v>
      </c>
      <c r="L39" s="44">
        <v>1</v>
      </c>
      <c r="M39" s="44">
        <v>1</v>
      </c>
    </row>
    <row r="40" spans="2:13" x14ac:dyDescent="0.25">
      <c r="B40" s="31" t="s">
        <v>193</v>
      </c>
      <c r="C40" s="44">
        <v>1</v>
      </c>
      <c r="D40" s="44">
        <v>1</v>
      </c>
      <c r="E40" s="44">
        <v>1</v>
      </c>
      <c r="F40" s="44">
        <v>1</v>
      </c>
      <c r="G40" s="44">
        <v>1</v>
      </c>
      <c r="H40" s="44">
        <v>1</v>
      </c>
      <c r="I40" s="44">
        <v>1</v>
      </c>
      <c r="J40" s="44">
        <v>1</v>
      </c>
      <c r="K40" s="44">
        <v>1</v>
      </c>
      <c r="L40" s="44">
        <v>1</v>
      </c>
      <c r="M40" s="44">
        <v>1</v>
      </c>
    </row>
    <row r="41" spans="2:13" x14ac:dyDescent="0.25">
      <c r="B41" s="31" t="s">
        <v>194</v>
      </c>
      <c r="C41" s="44">
        <v>1</v>
      </c>
      <c r="D41" s="44">
        <v>1</v>
      </c>
      <c r="E41" s="44">
        <v>1</v>
      </c>
      <c r="F41" s="44">
        <v>1</v>
      </c>
      <c r="G41" s="44">
        <v>1</v>
      </c>
      <c r="H41" s="44">
        <v>1</v>
      </c>
      <c r="I41" s="44">
        <v>1</v>
      </c>
      <c r="J41" s="44">
        <v>1</v>
      </c>
      <c r="K41" s="44">
        <v>1</v>
      </c>
      <c r="L41" s="44">
        <v>1</v>
      </c>
      <c r="M41" s="44">
        <v>1</v>
      </c>
    </row>
    <row r="42" spans="2:13" x14ac:dyDescent="0.25">
      <c r="B42" s="31" t="s">
        <v>195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</row>
    <row r="43" spans="2:13" x14ac:dyDescent="0.25">
      <c r="B43" s="31" t="s">
        <v>196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</row>
    <row r="50" spans="2:3" x14ac:dyDescent="0.25">
      <c r="B50" s="124" t="s">
        <v>475</v>
      </c>
      <c r="C50" s="125"/>
    </row>
    <row r="51" spans="2:3" x14ac:dyDescent="0.25">
      <c r="B51" s="41" t="s">
        <v>221</v>
      </c>
      <c r="C51" s="41" t="s">
        <v>476</v>
      </c>
    </row>
    <row r="52" spans="2:3" x14ac:dyDescent="0.25">
      <c r="B52" s="42" t="s">
        <v>490</v>
      </c>
      <c r="C52" s="41"/>
    </row>
    <row r="53" spans="2:3" x14ac:dyDescent="0.25">
      <c r="B53" s="43" t="s">
        <v>223</v>
      </c>
      <c r="C53" s="45" t="s">
        <v>224</v>
      </c>
    </row>
    <row r="54" spans="2:3" x14ac:dyDescent="0.25">
      <c r="B54" s="31" t="s">
        <v>162</v>
      </c>
      <c r="C54" s="31">
        <v>1255.3699999999999</v>
      </c>
    </row>
    <row r="55" spans="2:3" x14ac:dyDescent="0.25">
      <c r="B55" s="31" t="s">
        <v>163</v>
      </c>
      <c r="C55" s="31">
        <v>1443.39</v>
      </c>
    </row>
    <row r="56" spans="2:3" x14ac:dyDescent="0.25">
      <c r="B56" s="31" t="s">
        <v>164</v>
      </c>
      <c r="C56" s="31">
        <v>152.94</v>
      </c>
    </row>
    <row r="57" spans="2:3" x14ac:dyDescent="0.25">
      <c r="B57" s="31" t="s">
        <v>165</v>
      </c>
      <c r="C57" s="31">
        <v>171.01</v>
      </c>
    </row>
    <row r="58" spans="2:3" x14ac:dyDescent="0.25">
      <c r="B58" s="31" t="s">
        <v>384</v>
      </c>
      <c r="C58" s="31">
        <v>175.32</v>
      </c>
    </row>
    <row r="59" spans="2:3" x14ac:dyDescent="0.25">
      <c r="B59" s="31" t="s">
        <v>385</v>
      </c>
      <c r="C59" s="31">
        <v>168.92</v>
      </c>
    </row>
    <row r="60" spans="2:3" x14ac:dyDescent="0.25">
      <c r="B60" s="31" t="s">
        <v>386</v>
      </c>
      <c r="C60" s="31">
        <v>171.01</v>
      </c>
    </row>
    <row r="61" spans="2:3" x14ac:dyDescent="0.25">
      <c r="B61" s="31" t="s">
        <v>166</v>
      </c>
      <c r="C61" s="31">
        <v>201.79</v>
      </c>
    </row>
    <row r="62" spans="2:3" x14ac:dyDescent="0.25">
      <c r="B62" s="31" t="s">
        <v>389</v>
      </c>
      <c r="C62" s="31">
        <v>230.04</v>
      </c>
    </row>
    <row r="63" spans="2:3" x14ac:dyDescent="0.25">
      <c r="B63" s="31" t="s">
        <v>390</v>
      </c>
      <c r="C63" s="31">
        <v>219.82</v>
      </c>
    </row>
    <row r="64" spans="2:3" x14ac:dyDescent="0.25">
      <c r="B64" s="31" t="s">
        <v>391</v>
      </c>
      <c r="C64" s="31">
        <v>216.93</v>
      </c>
    </row>
    <row r="65" spans="2:3" x14ac:dyDescent="0.25">
      <c r="B65" s="31" t="s">
        <v>174</v>
      </c>
      <c r="C65" s="31">
        <v>253.01</v>
      </c>
    </row>
    <row r="66" spans="2:3" x14ac:dyDescent="0.25">
      <c r="B66" s="31" t="s">
        <v>171</v>
      </c>
      <c r="C66" s="31">
        <v>5248.23</v>
      </c>
    </row>
    <row r="67" spans="2:3" x14ac:dyDescent="0.25">
      <c r="B67" s="31" t="s">
        <v>175</v>
      </c>
      <c r="C67" s="31">
        <v>5768.26</v>
      </c>
    </row>
    <row r="68" spans="2:3" x14ac:dyDescent="0.25">
      <c r="B68" s="31" t="s">
        <v>172</v>
      </c>
      <c r="C68" s="31">
        <v>322.75</v>
      </c>
    </row>
    <row r="69" spans="2:3" x14ac:dyDescent="0.25">
      <c r="B69" s="31" t="s">
        <v>176</v>
      </c>
      <c r="C69" s="31">
        <v>374.39</v>
      </c>
    </row>
    <row r="70" spans="2:3" x14ac:dyDescent="0.25">
      <c r="B70" s="31" t="s">
        <v>167</v>
      </c>
      <c r="C70" s="31">
        <v>865.67</v>
      </c>
    </row>
    <row r="71" spans="2:3" x14ac:dyDescent="0.25">
      <c r="B71" s="31" t="s">
        <v>168</v>
      </c>
      <c r="C71" s="31">
        <v>999.1</v>
      </c>
    </row>
    <row r="72" spans="2:3" x14ac:dyDescent="0.25">
      <c r="B72" s="31" t="s">
        <v>169</v>
      </c>
      <c r="C72" s="31">
        <v>717.74</v>
      </c>
    </row>
    <row r="73" spans="2:3" x14ac:dyDescent="0.25">
      <c r="B73" s="31" t="s">
        <v>170</v>
      </c>
      <c r="C73" s="31">
        <v>822.54</v>
      </c>
    </row>
    <row r="74" spans="2:3" x14ac:dyDescent="0.25">
      <c r="B74" s="31" t="s">
        <v>173</v>
      </c>
      <c r="C74" s="31">
        <v>839.95</v>
      </c>
    </row>
    <row r="75" spans="2:3" x14ac:dyDescent="0.25">
      <c r="B75" s="31" t="s">
        <v>177</v>
      </c>
      <c r="C75" s="31">
        <v>968.52</v>
      </c>
    </row>
    <row r="76" spans="2:3" x14ac:dyDescent="0.25">
      <c r="B76" s="31" t="s">
        <v>179</v>
      </c>
      <c r="C76" s="31">
        <v>1972.56</v>
      </c>
    </row>
    <row r="77" spans="2:3" x14ac:dyDescent="0.25">
      <c r="B77" s="31" t="s">
        <v>182</v>
      </c>
      <c r="C77" s="31">
        <v>2159.34</v>
      </c>
    </row>
    <row r="78" spans="2:3" x14ac:dyDescent="0.25">
      <c r="B78" s="31" t="s">
        <v>180</v>
      </c>
      <c r="C78" s="31">
        <v>913.97</v>
      </c>
    </row>
    <row r="79" spans="2:3" x14ac:dyDescent="0.25">
      <c r="B79" s="31" t="s">
        <v>183</v>
      </c>
      <c r="C79" s="31">
        <v>987.25</v>
      </c>
    </row>
    <row r="80" spans="2:3" x14ac:dyDescent="0.25">
      <c r="B80" s="31" t="s">
        <v>181</v>
      </c>
      <c r="C80" s="31">
        <v>596.74</v>
      </c>
    </row>
    <row r="81" spans="2:3" x14ac:dyDescent="0.25">
      <c r="B81" s="31" t="s">
        <v>184</v>
      </c>
      <c r="C81" s="31">
        <v>663.05</v>
      </c>
    </row>
    <row r="82" spans="2:3" x14ac:dyDescent="0.25">
      <c r="B82" s="31" t="s">
        <v>189</v>
      </c>
      <c r="C82" s="31">
        <v>5279.89</v>
      </c>
    </row>
    <row r="83" spans="2:3" x14ac:dyDescent="0.25">
      <c r="B83" s="31" t="s">
        <v>190</v>
      </c>
      <c r="C83" s="31">
        <v>5850.6</v>
      </c>
    </row>
    <row r="84" spans="2:3" x14ac:dyDescent="0.25">
      <c r="B84" s="31" t="s">
        <v>191</v>
      </c>
      <c r="C84" s="31">
        <v>238.2</v>
      </c>
    </row>
    <row r="85" spans="2:3" x14ac:dyDescent="0.25">
      <c r="B85" s="31" t="s">
        <v>192</v>
      </c>
      <c r="C85" s="31">
        <v>278.29000000000002</v>
      </c>
    </row>
    <row r="86" spans="2:3" x14ac:dyDescent="0.25">
      <c r="B86" s="31" t="s">
        <v>193</v>
      </c>
      <c r="C86" s="31">
        <v>201.79</v>
      </c>
    </row>
    <row r="87" spans="2:3" x14ac:dyDescent="0.25">
      <c r="B87" s="31" t="s">
        <v>194</v>
      </c>
      <c r="C87" s="31">
        <v>235.47</v>
      </c>
    </row>
    <row r="88" spans="2:3" x14ac:dyDescent="0.25">
      <c r="B88" s="31" t="s">
        <v>195</v>
      </c>
      <c r="C88" s="31">
        <v>5427.15</v>
      </c>
    </row>
    <row r="89" spans="2:3" x14ac:dyDescent="0.25">
      <c r="B89" s="31" t="s">
        <v>196</v>
      </c>
      <c r="C89" s="31">
        <v>5978.76</v>
      </c>
    </row>
  </sheetData>
  <mergeCells count="2">
    <mergeCell ref="B4:M4"/>
    <mergeCell ref="B50:C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AM80"/>
  <sheetViews>
    <sheetView tabSelected="1" topLeftCell="A40" zoomScaleNormal="100" workbookViewId="0">
      <pane xSplit="2" topLeftCell="C1" activePane="topRight" state="frozen"/>
      <selection activeCell="C20" sqref="C20"/>
      <selection pane="topRight" activeCell="H52" sqref="H52"/>
    </sheetView>
  </sheetViews>
  <sheetFormatPr defaultRowHeight="15" x14ac:dyDescent="0.25"/>
  <cols>
    <col min="2" max="2" bestFit="true" customWidth="true" width="14.85546875" collapsed="true"/>
    <col min="3" max="3" bestFit="true" customWidth="true" width="9.7109375" collapsed="true"/>
    <col min="4" max="4" bestFit="true" customWidth="true" width="17.0" collapsed="true"/>
    <col min="5" max="5" bestFit="true" customWidth="true" width="10.28515625" collapsed="true"/>
    <col min="6" max="6" bestFit="true" customWidth="true" width="10.7109375" collapsed="true"/>
    <col min="7" max="7" bestFit="true" customWidth="true" width="19.5703125" collapsed="true"/>
    <col min="8" max="8" bestFit="true" customWidth="true" width="9.85546875" collapsed="true"/>
    <col min="9" max="9" bestFit="true" customWidth="true" width="12.140625" collapsed="true"/>
    <col min="10" max="10" bestFit="true" customWidth="true" width="16.7109375" collapsed="true"/>
    <col min="11" max="11" bestFit="true" customWidth="true" width="8.42578125" collapsed="true"/>
    <col min="12" max="12" bestFit="true" customWidth="true" width="7.7109375" collapsed="true"/>
    <col min="13" max="13" bestFit="true" customWidth="true" width="10.0" collapsed="true"/>
    <col min="14" max="14" bestFit="true" customWidth="true" width="5.42578125" collapsed="true"/>
    <col min="15" max="16" bestFit="true" customWidth="true" width="13.5703125" collapsed="true"/>
    <col min="17" max="17" bestFit="true" customWidth="true" width="9.42578125" collapsed="true"/>
    <col min="18" max="18" bestFit="true" customWidth="true" width="15.42578125" collapsed="true"/>
    <col min="19" max="19" bestFit="true" customWidth="true" width="4.140625" collapsed="true"/>
    <col min="20" max="20" bestFit="true" customWidth="true" width="10.140625" collapsed="true"/>
    <col min="21" max="21" bestFit="true" customWidth="true" width="7.42578125" collapsed="true"/>
    <col min="22" max="22" bestFit="true" customWidth="true" width="8.85546875" collapsed="true"/>
    <col min="23" max="23" bestFit="true" customWidth="true" width="9.85546875" collapsed="true"/>
    <col min="24" max="24" bestFit="true" customWidth="true" width="10.7109375" collapsed="true"/>
    <col min="25" max="25" bestFit="true" customWidth="true" width="21.42578125" collapsed="true"/>
    <col min="26" max="26" bestFit="true" customWidth="true" width="16.85546875" collapsed="true"/>
    <col min="27" max="27" bestFit="true" customWidth="true" width="24.5703125" collapsed="true"/>
    <col min="28" max="28" bestFit="true" customWidth="true" width="19.28515625" collapsed="true"/>
    <col min="29" max="29" bestFit="true" customWidth="true" width="23.85546875" collapsed="true"/>
    <col min="30" max="30" bestFit="true" customWidth="true" width="8.140625" collapsed="true"/>
    <col min="31" max="31" bestFit="true" customWidth="true" width="5.42578125" collapsed="true"/>
    <col min="32" max="32" bestFit="true" customWidth="true" style="33" width="7.85546875" collapsed="true"/>
    <col min="33" max="33" bestFit="true" customWidth="true" width="5.140625" collapsed="true"/>
    <col min="34" max="34" bestFit="true" customWidth="true" width="10.5703125" collapsed="true"/>
    <col min="35" max="35" bestFit="true" customWidth="true" width="23.42578125" collapsed="true"/>
    <col min="36" max="36" bestFit="true" customWidth="true" width="24.5703125" collapsed="true"/>
    <col min="37" max="37" bestFit="true" customWidth="true" width="20.85546875" collapsed="true"/>
    <col min="38" max="38" bestFit="true" customWidth="true" width="11.7109375" collapsed="true"/>
    <col min="39" max="39" bestFit="true" customWidth="true" width="12.28515625" collapsed="true"/>
    <col min="40" max="40" bestFit="true" customWidth="true" width="10.5703125" collapsed="true"/>
    <col min="41" max="41" bestFit="true" customWidth="true" width="10.42578125" collapsed="true"/>
    <col min="42" max="46" bestFit="true" customWidth="true" width="11.0" collapsed="true"/>
    <col min="47" max="47" bestFit="true" customWidth="true" width="10.42578125" collapsed="true"/>
    <col min="48" max="48" bestFit="true" customWidth="true" width="10.5703125" collapsed="true"/>
    <col min="49" max="50" bestFit="true" customWidth="true" width="10.42578125" collapsed="true"/>
    <col min="51" max="52" bestFit="true" customWidth="true" width="10.5703125" collapsed="true"/>
    <col min="53" max="53" bestFit="true" customWidth="true" width="10.42578125" collapsed="true"/>
  </cols>
  <sheetData>
    <row r="1" spans="2:39" x14ac:dyDescent="0.25">
      <c r="AF1"/>
    </row>
    <row r="2" spans="2:39" x14ac:dyDescent="0.25">
      <c r="AF2"/>
    </row>
    <row r="3" spans="2:39" x14ac:dyDescent="0.25">
      <c r="B3" s="127" t="s">
        <v>489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</row>
    <row r="4" spans="2:39" x14ac:dyDescent="0.25">
      <c r="B4" s="47" t="s">
        <v>226</v>
      </c>
      <c r="C4" s="47" t="s">
        <v>227</v>
      </c>
      <c r="D4" s="47" t="s">
        <v>232</v>
      </c>
      <c r="E4" s="47" t="s">
        <v>235</v>
      </c>
      <c r="F4" s="47" t="s">
        <v>237</v>
      </c>
      <c r="G4" s="47" t="s">
        <v>238</v>
      </c>
      <c r="H4" s="47" t="s">
        <v>239</v>
      </c>
      <c r="I4" s="47" t="s">
        <v>240</v>
      </c>
      <c r="J4" s="47" t="s">
        <v>244</v>
      </c>
      <c r="K4" s="47" t="s">
        <v>245</v>
      </c>
      <c r="L4" s="47" t="s">
        <v>246</v>
      </c>
      <c r="M4" s="47" t="s">
        <v>247</v>
      </c>
      <c r="N4" s="47" t="s">
        <v>248</v>
      </c>
      <c r="O4" s="47" t="s">
        <v>249</v>
      </c>
      <c r="P4" s="47" t="s">
        <v>257</v>
      </c>
      <c r="Q4" s="47" t="s">
        <v>264</v>
      </c>
      <c r="R4" s="47" t="s">
        <v>268</v>
      </c>
      <c r="S4" s="47" t="s">
        <v>269</v>
      </c>
      <c r="T4" s="47" t="s">
        <v>270</v>
      </c>
      <c r="U4" s="47" t="s">
        <v>276</v>
      </c>
      <c r="V4" s="47" t="s">
        <v>280</v>
      </c>
      <c r="W4" s="47" t="s">
        <v>286</v>
      </c>
      <c r="X4" s="47" t="s">
        <v>287</v>
      </c>
      <c r="Y4" s="47" t="s">
        <v>288</v>
      </c>
      <c r="Z4" s="47" t="s">
        <v>289</v>
      </c>
      <c r="AA4" s="47" t="s">
        <v>290</v>
      </c>
      <c r="AB4" s="47" t="s">
        <v>291</v>
      </c>
      <c r="AC4" s="47" t="s">
        <v>292</v>
      </c>
      <c r="AD4" s="47" t="s">
        <v>293</v>
      </c>
      <c r="AE4" s="47" t="s">
        <v>296</v>
      </c>
      <c r="AF4" s="47" t="s">
        <v>300</v>
      </c>
      <c r="AG4" s="47" t="s">
        <v>303</v>
      </c>
      <c r="AH4" s="47" t="s">
        <v>304</v>
      </c>
      <c r="AI4" s="47" t="s">
        <v>305</v>
      </c>
      <c r="AJ4" s="48" t="s">
        <v>307</v>
      </c>
      <c r="AK4" s="48" t="s">
        <v>315</v>
      </c>
      <c r="AL4" s="48" t="s">
        <v>325</v>
      </c>
      <c r="AM4" s="51" t="s">
        <v>418</v>
      </c>
    </row>
    <row r="5" spans="2:39" x14ac:dyDescent="0.25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 t="s">
        <v>492</v>
      </c>
      <c r="AJ5" s="48" t="s">
        <v>308</v>
      </c>
      <c r="AK5" s="48" t="s">
        <v>488</v>
      </c>
      <c r="AL5" s="48"/>
      <c r="AM5" s="48"/>
    </row>
    <row r="6" spans="2:39" s="22" customFormat="1" x14ac:dyDescent="0.25">
      <c r="B6" s="53" t="s">
        <v>226</v>
      </c>
      <c r="C6" s="53" t="s">
        <v>227</v>
      </c>
      <c r="D6" s="53" t="s">
        <v>232</v>
      </c>
      <c r="E6" s="53" t="s">
        <v>235</v>
      </c>
      <c r="F6" s="53" t="s">
        <v>237</v>
      </c>
      <c r="G6" s="53" t="s">
        <v>238</v>
      </c>
      <c r="H6" s="53" t="s">
        <v>239</v>
      </c>
      <c r="I6" s="53" t="s">
        <v>240</v>
      </c>
      <c r="J6" s="53" t="s">
        <v>244</v>
      </c>
      <c r="K6" s="53" t="s">
        <v>245</v>
      </c>
      <c r="L6" s="53" t="s">
        <v>246</v>
      </c>
      <c r="M6" s="53" t="s">
        <v>247</v>
      </c>
      <c r="N6" s="53" t="s">
        <v>248</v>
      </c>
      <c r="O6" s="53" t="s">
        <v>249</v>
      </c>
      <c r="P6" s="53" t="s">
        <v>257</v>
      </c>
      <c r="Q6" s="53" t="s">
        <v>264</v>
      </c>
      <c r="R6" s="53" t="s">
        <v>268</v>
      </c>
      <c r="S6" s="53" t="s">
        <v>269</v>
      </c>
      <c r="T6" s="53" t="s">
        <v>270</v>
      </c>
      <c r="U6" s="53" t="s">
        <v>276</v>
      </c>
      <c r="V6" s="53" t="s">
        <v>280</v>
      </c>
      <c r="W6" s="53" t="s">
        <v>286</v>
      </c>
      <c r="X6" s="53" t="s">
        <v>287</v>
      </c>
      <c r="Y6" s="53" t="s">
        <v>288</v>
      </c>
      <c r="Z6" s="53" t="s">
        <v>289</v>
      </c>
      <c r="AA6" s="53" t="s">
        <v>290</v>
      </c>
      <c r="AB6" s="53" t="s">
        <v>291</v>
      </c>
      <c r="AC6" s="53" t="s">
        <v>292</v>
      </c>
      <c r="AD6" s="53" t="s">
        <v>293</v>
      </c>
      <c r="AE6" s="53" t="s">
        <v>296</v>
      </c>
      <c r="AF6" s="53" t="s">
        <v>300</v>
      </c>
      <c r="AG6" s="53" t="s">
        <v>303</v>
      </c>
      <c r="AH6" s="53" t="s">
        <v>304</v>
      </c>
      <c r="AI6" s="53" t="s">
        <v>305</v>
      </c>
      <c r="AJ6" s="54" t="s">
        <v>307</v>
      </c>
      <c r="AK6" s="54" t="s">
        <v>315</v>
      </c>
      <c r="AL6" s="54" t="s">
        <v>325</v>
      </c>
      <c r="AM6" s="52" t="s">
        <v>418</v>
      </c>
    </row>
    <row r="7" spans="2:39" s="59" customFormat="1" ht="76.5" x14ac:dyDescent="0.25">
      <c r="B7" s="55" t="s">
        <v>162</v>
      </c>
      <c r="C7" s="50" t="s">
        <v>228</v>
      </c>
      <c r="D7" s="50" t="s">
        <v>233</v>
      </c>
      <c r="E7" s="50" t="s">
        <v>236</v>
      </c>
      <c r="F7" s="56">
        <v>41907</v>
      </c>
      <c r="G7" s="56">
        <v>41907</v>
      </c>
      <c r="H7" s="50">
        <v>400</v>
      </c>
      <c r="I7" s="50" t="s">
        <v>241</v>
      </c>
      <c r="J7" s="56">
        <v>27776</v>
      </c>
      <c r="K7" s="57" t="s">
        <v>205</v>
      </c>
      <c r="L7" s="57"/>
      <c r="M7" s="50">
        <v>2</v>
      </c>
      <c r="N7" s="50">
        <v>1</v>
      </c>
      <c r="O7" s="50" t="s">
        <v>250</v>
      </c>
      <c r="P7" s="50" t="s">
        <v>258</v>
      </c>
      <c r="Q7" s="50" t="s">
        <v>265</v>
      </c>
      <c r="R7" s="50">
        <v>1920</v>
      </c>
      <c r="S7" s="50">
        <v>234</v>
      </c>
      <c r="T7" s="50" t="s">
        <v>271</v>
      </c>
      <c r="U7" s="50" t="s">
        <v>277</v>
      </c>
      <c r="V7" s="50" t="s">
        <v>281</v>
      </c>
      <c r="W7" s="50">
        <v>1436960</v>
      </c>
      <c r="X7" s="58"/>
      <c r="Y7" s="50"/>
      <c r="Z7" s="50" t="b">
        <v>1</v>
      </c>
      <c r="AA7" s="50">
        <v>2</v>
      </c>
      <c r="AB7" s="50"/>
      <c r="AC7" s="50"/>
      <c r="AD7" s="50" t="s">
        <v>294</v>
      </c>
      <c r="AE7" s="50" t="s">
        <v>297</v>
      </c>
      <c r="AF7" s="50" t="s">
        <v>301</v>
      </c>
      <c r="AG7" s="50"/>
      <c r="AH7" s="50">
        <v>39</v>
      </c>
      <c r="AI7" s="50"/>
      <c r="AJ7" s="49" t="s">
        <v>309</v>
      </c>
      <c r="AK7" s="49" t="s">
        <v>317</v>
      </c>
      <c r="AL7" s="50"/>
      <c r="AM7" s="50">
        <v>0</v>
      </c>
    </row>
    <row r="8" spans="2:39" s="59" customFormat="1" ht="76.5" x14ac:dyDescent="0.25">
      <c r="B8" s="55" t="s">
        <v>163</v>
      </c>
      <c r="C8" s="50" t="s">
        <v>228</v>
      </c>
      <c r="D8" s="50" t="s">
        <v>234</v>
      </c>
      <c r="E8" s="50" t="s">
        <v>236</v>
      </c>
      <c r="F8" s="56">
        <v>42272</v>
      </c>
      <c r="G8" s="56">
        <v>42272</v>
      </c>
      <c r="H8" s="50">
        <v>400</v>
      </c>
      <c r="I8" s="50" t="s">
        <v>241</v>
      </c>
      <c r="J8" s="56">
        <v>27776</v>
      </c>
      <c r="K8" s="57" t="s">
        <v>205</v>
      </c>
      <c r="L8" s="57"/>
      <c r="M8" s="50">
        <v>2</v>
      </c>
      <c r="N8" s="50">
        <v>1</v>
      </c>
      <c r="O8" s="50" t="s">
        <v>250</v>
      </c>
      <c r="P8" s="50" t="s">
        <v>258</v>
      </c>
      <c r="Q8" s="50" t="s">
        <v>265</v>
      </c>
      <c r="R8" s="50">
        <v>1920</v>
      </c>
      <c r="S8" s="50">
        <v>234</v>
      </c>
      <c r="T8" s="50" t="s">
        <v>271</v>
      </c>
      <c r="U8" s="50" t="s">
        <v>277</v>
      </c>
      <c r="V8" s="50" t="s">
        <v>281</v>
      </c>
      <c r="W8" s="50">
        <v>1436960</v>
      </c>
      <c r="X8" s="50">
        <v>1454.26</v>
      </c>
      <c r="Y8" s="50"/>
      <c r="Z8" s="50" t="b">
        <v>1</v>
      </c>
      <c r="AA8" s="50">
        <v>2</v>
      </c>
      <c r="AB8" s="50"/>
      <c r="AC8" s="50"/>
      <c r="AD8" s="50" t="s">
        <v>294</v>
      </c>
      <c r="AE8" s="50" t="s">
        <v>297</v>
      </c>
      <c r="AF8" s="50" t="s">
        <v>301</v>
      </c>
      <c r="AG8" s="50"/>
      <c r="AH8" s="50">
        <v>39</v>
      </c>
      <c r="AI8" s="50"/>
      <c r="AJ8" s="49" t="s">
        <v>309</v>
      </c>
      <c r="AK8" s="49" t="s">
        <v>317</v>
      </c>
      <c r="AL8" s="50"/>
      <c r="AM8" s="50">
        <v>1</v>
      </c>
    </row>
    <row r="9" spans="2:39" s="59" customFormat="1" x14ac:dyDescent="0.25">
      <c r="B9" s="55" t="s">
        <v>164</v>
      </c>
      <c r="C9" s="50" t="s">
        <v>228</v>
      </c>
      <c r="D9" s="50" t="s">
        <v>233</v>
      </c>
      <c r="E9" s="50" t="s">
        <v>236</v>
      </c>
      <c r="F9" s="56">
        <v>41923</v>
      </c>
      <c r="G9" s="56">
        <v>41923</v>
      </c>
      <c r="H9" s="50">
        <v>700</v>
      </c>
      <c r="I9" s="50" t="s">
        <v>242</v>
      </c>
      <c r="J9" s="56">
        <v>22017</v>
      </c>
      <c r="K9" s="57" t="s">
        <v>201</v>
      </c>
      <c r="L9" s="57"/>
      <c r="M9" s="50">
        <v>1</v>
      </c>
      <c r="N9" s="50">
        <v>2</v>
      </c>
      <c r="O9" s="50" t="s">
        <v>251</v>
      </c>
      <c r="P9" s="50" t="s">
        <v>259</v>
      </c>
      <c r="Q9" s="50" t="s">
        <v>265</v>
      </c>
      <c r="R9" s="50">
        <v>2011</v>
      </c>
      <c r="S9" s="50">
        <v>123</v>
      </c>
      <c r="T9" s="50" t="s">
        <v>272</v>
      </c>
      <c r="U9" s="50" t="s">
        <v>278</v>
      </c>
      <c r="V9" s="50" t="s">
        <v>282</v>
      </c>
      <c r="W9" s="50">
        <v>41097</v>
      </c>
      <c r="X9" s="50"/>
      <c r="Y9" s="50"/>
      <c r="Z9" s="50" t="b">
        <v>1</v>
      </c>
      <c r="AA9" s="50"/>
      <c r="AB9" s="50"/>
      <c r="AC9" s="50"/>
      <c r="AD9" s="50" t="s">
        <v>294</v>
      </c>
      <c r="AE9" s="50" t="s">
        <v>298</v>
      </c>
      <c r="AF9" s="50" t="s">
        <v>297</v>
      </c>
      <c r="AG9" s="50"/>
      <c r="AH9" s="50">
        <v>54</v>
      </c>
      <c r="AI9" s="50"/>
      <c r="AJ9" s="49"/>
      <c r="AK9" s="49" t="s">
        <v>318</v>
      </c>
      <c r="AL9" s="50"/>
      <c r="AM9" s="50">
        <v>0</v>
      </c>
    </row>
    <row r="10" spans="2:39" s="59" customFormat="1" x14ac:dyDescent="0.25">
      <c r="B10" s="55" t="s">
        <v>165</v>
      </c>
      <c r="C10" s="50" t="s">
        <v>228</v>
      </c>
      <c r="D10" s="50" t="s">
        <v>234</v>
      </c>
      <c r="E10" s="50" t="s">
        <v>236</v>
      </c>
      <c r="F10" s="56">
        <v>42288</v>
      </c>
      <c r="G10" s="56">
        <v>42288</v>
      </c>
      <c r="H10" s="50">
        <v>700</v>
      </c>
      <c r="I10" s="50" t="s">
        <v>242</v>
      </c>
      <c r="J10" s="56">
        <v>22017</v>
      </c>
      <c r="K10" s="50" t="s">
        <v>201</v>
      </c>
      <c r="L10" s="57"/>
      <c r="M10" s="50">
        <v>1</v>
      </c>
      <c r="N10" s="50">
        <v>2</v>
      </c>
      <c r="O10" s="50" t="s">
        <v>251</v>
      </c>
      <c r="P10" s="50" t="s">
        <v>259</v>
      </c>
      <c r="Q10" s="50" t="s">
        <v>265</v>
      </c>
      <c r="R10" s="50">
        <v>2011</v>
      </c>
      <c r="S10" s="50">
        <v>123</v>
      </c>
      <c r="T10" s="50" t="s">
        <v>272</v>
      </c>
      <c r="U10" s="50" t="s">
        <v>278</v>
      </c>
      <c r="V10" s="50" t="s">
        <v>282</v>
      </c>
      <c r="W10" s="50">
        <v>41097</v>
      </c>
      <c r="X10" s="50">
        <v>276.63</v>
      </c>
      <c r="Y10" s="50"/>
      <c r="Z10" s="50" t="b">
        <v>1</v>
      </c>
      <c r="AA10" s="50"/>
      <c r="AB10" s="50"/>
      <c r="AC10" s="50"/>
      <c r="AD10" s="50" t="s">
        <v>294</v>
      </c>
      <c r="AE10" s="50" t="s">
        <v>298</v>
      </c>
      <c r="AF10" s="50" t="s">
        <v>297</v>
      </c>
      <c r="AG10" s="50"/>
      <c r="AH10" s="50">
        <v>54</v>
      </c>
      <c r="AI10" s="50"/>
      <c r="AJ10" s="49"/>
      <c r="AK10" s="49" t="s">
        <v>318</v>
      </c>
      <c r="AL10" s="50"/>
      <c r="AM10" s="50">
        <v>1</v>
      </c>
    </row>
    <row r="11" spans="2:39" s="59" customFormat="1" x14ac:dyDescent="0.25">
      <c r="B11" s="55" t="s">
        <v>384</v>
      </c>
      <c r="C11" s="50" t="s">
        <v>229</v>
      </c>
      <c r="D11" s="50" t="s">
        <v>382</v>
      </c>
      <c r="E11" s="50" t="s">
        <v>236</v>
      </c>
      <c r="F11" s="56">
        <v>42288</v>
      </c>
      <c r="G11" s="56">
        <v>42350</v>
      </c>
      <c r="H11" s="50">
        <v>700</v>
      </c>
      <c r="I11" s="50" t="s">
        <v>242</v>
      </c>
      <c r="J11" s="56">
        <v>22017</v>
      </c>
      <c r="K11" s="57" t="s">
        <v>201</v>
      </c>
      <c r="L11" s="57"/>
      <c r="M11" s="50">
        <v>1</v>
      </c>
      <c r="N11" s="50">
        <v>2</v>
      </c>
      <c r="O11" s="50" t="s">
        <v>251</v>
      </c>
      <c r="P11" s="50" t="s">
        <v>259</v>
      </c>
      <c r="Q11" s="50" t="s">
        <v>265</v>
      </c>
      <c r="R11" s="50">
        <v>2011</v>
      </c>
      <c r="S11" s="50">
        <v>123</v>
      </c>
      <c r="T11" s="50" t="s">
        <v>272</v>
      </c>
      <c r="U11" s="50" t="s">
        <v>278</v>
      </c>
      <c r="V11" s="50" t="s">
        <v>282</v>
      </c>
      <c r="W11" s="50">
        <v>41097</v>
      </c>
      <c r="X11" s="50"/>
      <c r="Y11" s="50"/>
      <c r="Z11" s="50" t="b">
        <v>1</v>
      </c>
      <c r="AA11" s="50"/>
      <c r="AB11" s="50"/>
      <c r="AC11" s="50"/>
      <c r="AD11" s="50" t="s">
        <v>294</v>
      </c>
      <c r="AE11" s="50" t="s">
        <v>298</v>
      </c>
      <c r="AF11" s="50" t="s">
        <v>297</v>
      </c>
      <c r="AG11" s="50"/>
      <c r="AH11" s="50">
        <v>54</v>
      </c>
      <c r="AI11" s="50"/>
      <c r="AJ11" s="49"/>
      <c r="AK11" s="49" t="s">
        <v>318</v>
      </c>
      <c r="AL11" s="50"/>
      <c r="AM11" s="50">
        <v>1</v>
      </c>
    </row>
    <row r="12" spans="2:39" s="59" customFormat="1" x14ac:dyDescent="0.25">
      <c r="B12" s="55" t="s">
        <v>385</v>
      </c>
      <c r="C12" s="50" t="s">
        <v>229</v>
      </c>
      <c r="D12" s="50" t="s">
        <v>383</v>
      </c>
      <c r="E12" s="50" t="s">
        <v>236</v>
      </c>
      <c r="F12" s="56">
        <v>42288</v>
      </c>
      <c r="G12" s="56">
        <v>42370</v>
      </c>
      <c r="H12" s="50">
        <v>1200</v>
      </c>
      <c r="I12" s="50" t="s">
        <v>242</v>
      </c>
      <c r="J12" s="56">
        <v>22017</v>
      </c>
      <c r="K12" s="57" t="s">
        <v>201</v>
      </c>
      <c r="L12" s="57"/>
      <c r="M12" s="50">
        <v>1</v>
      </c>
      <c r="N12" s="50">
        <v>2</v>
      </c>
      <c r="O12" s="50" t="s">
        <v>250</v>
      </c>
      <c r="P12" s="50" t="s">
        <v>259</v>
      </c>
      <c r="Q12" s="50" t="s">
        <v>265</v>
      </c>
      <c r="R12" s="50">
        <v>2011</v>
      </c>
      <c r="S12" s="50">
        <v>123</v>
      </c>
      <c r="T12" s="50" t="s">
        <v>272</v>
      </c>
      <c r="U12" s="50" t="s">
        <v>278</v>
      </c>
      <c r="V12" s="50" t="s">
        <v>282</v>
      </c>
      <c r="W12" s="50">
        <v>41097</v>
      </c>
      <c r="X12" s="50">
        <v>276.63</v>
      </c>
      <c r="Y12" s="50"/>
      <c r="Z12" s="50" t="b">
        <v>1</v>
      </c>
      <c r="AA12" s="50"/>
      <c r="AB12" s="50"/>
      <c r="AC12" s="50"/>
      <c r="AD12" s="50" t="s">
        <v>294</v>
      </c>
      <c r="AE12" s="50" t="s">
        <v>298</v>
      </c>
      <c r="AF12" s="50" t="s">
        <v>297</v>
      </c>
      <c r="AG12" s="50"/>
      <c r="AH12" s="50">
        <v>54</v>
      </c>
      <c r="AI12" s="50"/>
      <c r="AJ12" s="49"/>
      <c r="AK12" s="49" t="s">
        <v>318</v>
      </c>
      <c r="AL12" s="50"/>
      <c r="AM12" s="50">
        <v>1</v>
      </c>
    </row>
    <row r="13" spans="2:39" s="59" customFormat="1" x14ac:dyDescent="0.25">
      <c r="B13" s="55" t="s">
        <v>386</v>
      </c>
      <c r="C13" s="50" t="s">
        <v>228</v>
      </c>
      <c r="D13" s="50" t="s">
        <v>382</v>
      </c>
      <c r="E13" s="50" t="s">
        <v>236</v>
      </c>
      <c r="F13" s="56">
        <v>42288</v>
      </c>
      <c r="G13" s="56">
        <v>42410</v>
      </c>
      <c r="H13" s="50">
        <v>700</v>
      </c>
      <c r="I13" s="50" t="s">
        <v>242</v>
      </c>
      <c r="J13" s="56">
        <v>22017</v>
      </c>
      <c r="K13" s="57" t="s">
        <v>201</v>
      </c>
      <c r="L13" s="57"/>
      <c r="M13" s="50">
        <v>1</v>
      </c>
      <c r="N13" s="50">
        <v>2</v>
      </c>
      <c r="O13" s="50" t="s">
        <v>251</v>
      </c>
      <c r="P13" s="50" t="s">
        <v>259</v>
      </c>
      <c r="Q13" s="50" t="s">
        <v>265</v>
      </c>
      <c r="R13" s="50">
        <v>2011</v>
      </c>
      <c r="S13" s="50">
        <v>123</v>
      </c>
      <c r="T13" s="50" t="s">
        <v>272</v>
      </c>
      <c r="U13" s="50" t="s">
        <v>278</v>
      </c>
      <c r="V13" s="50" t="s">
        <v>282</v>
      </c>
      <c r="W13" s="50">
        <v>41097</v>
      </c>
      <c r="X13" s="50"/>
      <c r="Y13" s="50"/>
      <c r="Z13" s="50" t="b">
        <v>1</v>
      </c>
      <c r="AA13" s="50"/>
      <c r="AB13" s="50"/>
      <c r="AC13" s="50"/>
      <c r="AD13" s="50" t="s">
        <v>294</v>
      </c>
      <c r="AE13" s="50" t="s">
        <v>298</v>
      </c>
      <c r="AF13" s="50" t="s">
        <v>297</v>
      </c>
      <c r="AG13" s="50"/>
      <c r="AH13" s="50">
        <v>54</v>
      </c>
      <c r="AI13" s="50"/>
      <c r="AJ13" s="49"/>
      <c r="AK13" s="49" t="s">
        <v>318</v>
      </c>
      <c r="AL13" s="50"/>
      <c r="AM13" s="50">
        <v>1</v>
      </c>
    </row>
    <row r="14" spans="2:39" s="59" customFormat="1" x14ac:dyDescent="0.25">
      <c r="B14" s="55" t="s">
        <v>166</v>
      </c>
      <c r="C14" s="50" t="s">
        <v>229</v>
      </c>
      <c r="D14" s="50" t="s">
        <v>233</v>
      </c>
      <c r="E14" s="50" t="s">
        <v>236</v>
      </c>
      <c r="F14" s="56">
        <v>42103</v>
      </c>
      <c r="G14" s="56">
        <v>42103</v>
      </c>
      <c r="H14" s="50">
        <v>1200</v>
      </c>
      <c r="I14" s="50" t="s">
        <v>241</v>
      </c>
      <c r="J14" s="56">
        <v>26041</v>
      </c>
      <c r="K14" s="50" t="s">
        <v>202</v>
      </c>
      <c r="L14" s="57"/>
      <c r="M14" s="50">
        <v>1</v>
      </c>
      <c r="N14" s="50">
        <v>0</v>
      </c>
      <c r="O14" s="50" t="s">
        <v>252</v>
      </c>
      <c r="P14" s="50" t="s">
        <v>260</v>
      </c>
      <c r="Q14" s="50" t="s">
        <v>266</v>
      </c>
      <c r="R14" s="50">
        <v>1990</v>
      </c>
      <c r="S14" s="50">
        <v>108</v>
      </c>
      <c r="T14" s="50" t="s">
        <v>273</v>
      </c>
      <c r="U14" s="50" t="s">
        <v>277</v>
      </c>
      <c r="V14" s="50" t="s">
        <v>283</v>
      </c>
      <c r="W14" s="50">
        <v>71131</v>
      </c>
      <c r="X14" s="50"/>
      <c r="Y14" s="50"/>
      <c r="Z14" s="50" t="b">
        <v>0</v>
      </c>
      <c r="AA14" s="50"/>
      <c r="AB14" s="50"/>
      <c r="AC14" s="50"/>
      <c r="AD14" s="50" t="s">
        <v>294</v>
      </c>
      <c r="AE14" s="50" t="s">
        <v>297</v>
      </c>
      <c r="AF14" s="50" t="s">
        <v>301</v>
      </c>
      <c r="AG14" s="50"/>
      <c r="AH14" s="50">
        <v>43</v>
      </c>
      <c r="AI14" s="50"/>
      <c r="AJ14" s="49"/>
      <c r="AK14" s="49" t="s">
        <v>319</v>
      </c>
      <c r="AL14" s="50"/>
      <c r="AM14" s="50">
        <v>0</v>
      </c>
    </row>
    <row r="15" spans="2:39" s="59" customFormat="1" x14ac:dyDescent="0.25">
      <c r="B15" s="55" t="s">
        <v>389</v>
      </c>
      <c r="C15" s="50" t="s">
        <v>229</v>
      </c>
      <c r="D15" s="50" t="s">
        <v>383</v>
      </c>
      <c r="E15" s="50" t="s">
        <v>236</v>
      </c>
      <c r="F15" s="56">
        <v>42103</v>
      </c>
      <c r="G15" s="56">
        <v>42133</v>
      </c>
      <c r="H15" s="50">
        <v>1200</v>
      </c>
      <c r="I15" s="50" t="s">
        <v>242</v>
      </c>
      <c r="J15" s="56">
        <v>26041</v>
      </c>
      <c r="K15" s="50" t="s">
        <v>202</v>
      </c>
      <c r="L15" s="57"/>
      <c r="M15" s="50">
        <v>1</v>
      </c>
      <c r="N15" s="50">
        <v>0</v>
      </c>
      <c r="O15" s="50" t="s">
        <v>252</v>
      </c>
      <c r="P15" s="50" t="s">
        <v>260</v>
      </c>
      <c r="Q15" s="50" t="s">
        <v>266</v>
      </c>
      <c r="R15" s="50">
        <v>1990</v>
      </c>
      <c r="S15" s="50">
        <v>108</v>
      </c>
      <c r="T15" s="50" t="s">
        <v>273</v>
      </c>
      <c r="U15" s="50" t="s">
        <v>277</v>
      </c>
      <c r="V15" s="50" t="s">
        <v>283</v>
      </c>
      <c r="W15" s="50">
        <v>71131</v>
      </c>
      <c r="X15" s="60">
        <v>278.23</v>
      </c>
      <c r="Y15" s="50"/>
      <c r="Z15" s="50" t="b">
        <v>0</v>
      </c>
      <c r="AA15" s="50"/>
      <c r="AB15" s="50"/>
      <c r="AC15" s="50"/>
      <c r="AD15" s="50" t="s">
        <v>294</v>
      </c>
      <c r="AE15" s="50" t="s">
        <v>297</v>
      </c>
      <c r="AF15" s="50" t="s">
        <v>301</v>
      </c>
      <c r="AG15" s="50"/>
      <c r="AH15" s="50">
        <v>43</v>
      </c>
      <c r="AI15" s="50"/>
      <c r="AJ15" s="49"/>
      <c r="AK15" s="49" t="s">
        <v>319</v>
      </c>
      <c r="AL15" s="50"/>
      <c r="AM15" s="50">
        <v>0</v>
      </c>
    </row>
    <row r="16" spans="2:39" s="59" customFormat="1" x14ac:dyDescent="0.25">
      <c r="B16" s="55" t="s">
        <v>390</v>
      </c>
      <c r="C16" s="50" t="s">
        <v>229</v>
      </c>
      <c r="D16" s="50" t="s">
        <v>383</v>
      </c>
      <c r="E16" s="50" t="s">
        <v>236</v>
      </c>
      <c r="F16" s="56">
        <v>42103</v>
      </c>
      <c r="G16" s="56">
        <v>42164</v>
      </c>
      <c r="H16" s="50">
        <v>1200</v>
      </c>
      <c r="I16" s="50" t="s">
        <v>242</v>
      </c>
      <c r="J16" s="56">
        <v>26041</v>
      </c>
      <c r="K16" s="50" t="s">
        <v>202</v>
      </c>
      <c r="L16" s="57"/>
      <c r="M16" s="50">
        <v>5</v>
      </c>
      <c r="N16" s="50">
        <v>0</v>
      </c>
      <c r="O16" s="50" t="s">
        <v>252</v>
      </c>
      <c r="P16" s="50" t="s">
        <v>260</v>
      </c>
      <c r="Q16" s="50" t="s">
        <v>266</v>
      </c>
      <c r="R16" s="50">
        <v>1990</v>
      </c>
      <c r="S16" s="50">
        <v>108</v>
      </c>
      <c r="T16" s="50" t="s">
        <v>273</v>
      </c>
      <c r="U16" s="50" t="s">
        <v>277</v>
      </c>
      <c r="V16" s="50" t="s">
        <v>283</v>
      </c>
      <c r="W16" s="50">
        <v>71131</v>
      </c>
      <c r="X16" s="60">
        <v>278.23</v>
      </c>
      <c r="Y16" s="50"/>
      <c r="Z16" s="50" t="b">
        <v>0</v>
      </c>
      <c r="AA16" s="50"/>
      <c r="AB16" s="50"/>
      <c r="AC16" s="50"/>
      <c r="AD16" s="50" t="s">
        <v>294</v>
      </c>
      <c r="AE16" s="50" t="s">
        <v>297</v>
      </c>
      <c r="AF16" s="50" t="s">
        <v>301</v>
      </c>
      <c r="AG16" s="50"/>
      <c r="AH16" s="50">
        <v>43</v>
      </c>
      <c r="AI16" s="50"/>
      <c r="AJ16" s="49"/>
      <c r="AK16" s="49" t="s">
        <v>319</v>
      </c>
      <c r="AL16" s="50"/>
      <c r="AM16" s="50">
        <v>0</v>
      </c>
    </row>
    <row r="17" spans="2:39" s="59" customFormat="1" x14ac:dyDescent="0.25">
      <c r="B17" s="55" t="s">
        <v>391</v>
      </c>
      <c r="C17" s="50" t="s">
        <v>229</v>
      </c>
      <c r="D17" s="50" t="s">
        <v>382</v>
      </c>
      <c r="E17" s="50" t="s">
        <v>236</v>
      </c>
      <c r="F17" s="56">
        <v>42103</v>
      </c>
      <c r="G17" s="56">
        <v>42194</v>
      </c>
      <c r="H17" s="50">
        <v>1200</v>
      </c>
      <c r="I17" s="50" t="s">
        <v>242</v>
      </c>
      <c r="J17" s="56">
        <v>26041</v>
      </c>
      <c r="K17" s="57" t="s">
        <v>201</v>
      </c>
      <c r="L17" s="57"/>
      <c r="M17" s="50">
        <v>5</v>
      </c>
      <c r="N17" s="50">
        <v>0</v>
      </c>
      <c r="O17" s="50" t="s">
        <v>252</v>
      </c>
      <c r="P17" s="50" t="s">
        <v>260</v>
      </c>
      <c r="Q17" s="50" t="s">
        <v>266</v>
      </c>
      <c r="R17" s="50">
        <v>1990</v>
      </c>
      <c r="S17" s="50">
        <v>108</v>
      </c>
      <c r="T17" s="50" t="s">
        <v>273</v>
      </c>
      <c r="U17" s="50" t="s">
        <v>277</v>
      </c>
      <c r="V17" s="50" t="s">
        <v>283</v>
      </c>
      <c r="W17" s="50">
        <v>71131</v>
      </c>
      <c r="X17" s="50"/>
      <c r="Y17" s="50"/>
      <c r="Z17" s="50" t="b">
        <v>0</v>
      </c>
      <c r="AA17" s="50"/>
      <c r="AB17" s="50"/>
      <c r="AC17" s="50"/>
      <c r="AD17" s="50" t="s">
        <v>294</v>
      </c>
      <c r="AE17" s="50" t="s">
        <v>297</v>
      </c>
      <c r="AF17" s="50" t="s">
        <v>301</v>
      </c>
      <c r="AG17" s="50"/>
      <c r="AH17" s="50">
        <v>43</v>
      </c>
      <c r="AI17" s="50"/>
      <c r="AJ17" s="49"/>
      <c r="AK17" s="49" t="s">
        <v>319</v>
      </c>
      <c r="AL17" s="50"/>
      <c r="AM17" s="50">
        <v>0</v>
      </c>
    </row>
    <row r="18" spans="2:39" s="59" customFormat="1" x14ac:dyDescent="0.25">
      <c r="B18" s="55" t="s">
        <v>174</v>
      </c>
      <c r="C18" s="50" t="s">
        <v>229</v>
      </c>
      <c r="D18" s="50" t="s">
        <v>234</v>
      </c>
      <c r="E18" s="50" t="s">
        <v>236</v>
      </c>
      <c r="F18" s="56">
        <v>42469</v>
      </c>
      <c r="G18" s="56">
        <v>42469</v>
      </c>
      <c r="H18" s="50">
        <v>1200</v>
      </c>
      <c r="I18" s="50" t="s">
        <v>242</v>
      </c>
      <c r="J18" s="56">
        <v>26041</v>
      </c>
      <c r="K18" s="57" t="s">
        <v>201</v>
      </c>
      <c r="L18" s="57"/>
      <c r="M18" s="50">
        <v>5</v>
      </c>
      <c r="N18" s="50">
        <v>0</v>
      </c>
      <c r="O18" s="50" t="s">
        <v>252</v>
      </c>
      <c r="P18" s="50" t="s">
        <v>260</v>
      </c>
      <c r="Q18" s="50" t="s">
        <v>266</v>
      </c>
      <c r="R18" s="50">
        <v>1990</v>
      </c>
      <c r="S18" s="50">
        <v>108</v>
      </c>
      <c r="T18" s="50" t="s">
        <v>273</v>
      </c>
      <c r="U18" s="50" t="s">
        <v>277</v>
      </c>
      <c r="V18" s="50" t="s">
        <v>283</v>
      </c>
      <c r="W18" s="50">
        <v>71131</v>
      </c>
      <c r="X18" s="61">
        <v>278.23</v>
      </c>
      <c r="Y18" s="50"/>
      <c r="Z18" s="50" t="b">
        <v>0</v>
      </c>
      <c r="AA18" s="50"/>
      <c r="AB18" s="50"/>
      <c r="AC18" s="50"/>
      <c r="AD18" s="50" t="s">
        <v>294</v>
      </c>
      <c r="AE18" s="50" t="s">
        <v>297</v>
      </c>
      <c r="AF18" s="50" t="s">
        <v>301</v>
      </c>
      <c r="AG18" s="50"/>
      <c r="AH18" s="50">
        <v>43</v>
      </c>
      <c r="AI18" s="50"/>
      <c r="AJ18" s="49"/>
      <c r="AK18" s="49" t="s">
        <v>319</v>
      </c>
      <c r="AL18" s="50"/>
      <c r="AM18" s="50">
        <v>1</v>
      </c>
    </row>
    <row r="19" spans="2:39" s="59" customFormat="1" ht="102" x14ac:dyDescent="0.25">
      <c r="B19" s="55" t="s">
        <v>171</v>
      </c>
      <c r="C19" s="50" t="s">
        <v>230</v>
      </c>
      <c r="D19" s="50" t="s">
        <v>233</v>
      </c>
      <c r="E19" s="50" t="s">
        <v>236</v>
      </c>
      <c r="F19" s="56">
        <v>41987</v>
      </c>
      <c r="G19" s="56">
        <v>41987</v>
      </c>
      <c r="H19" s="50">
        <v>550</v>
      </c>
      <c r="I19" s="50" t="s">
        <v>241</v>
      </c>
      <c r="J19" s="56">
        <v>26526</v>
      </c>
      <c r="K19" s="50" t="s">
        <v>205</v>
      </c>
      <c r="L19" s="57"/>
      <c r="M19" s="50">
        <v>12</v>
      </c>
      <c r="N19" s="50">
        <v>1</v>
      </c>
      <c r="O19" s="50" t="s">
        <v>253</v>
      </c>
      <c r="P19" s="50" t="s">
        <v>256</v>
      </c>
      <c r="Q19" s="50" t="s">
        <v>267</v>
      </c>
      <c r="R19" s="50">
        <v>1946</v>
      </c>
      <c r="S19" s="50">
        <v>393</v>
      </c>
      <c r="T19" s="50" t="s">
        <v>274</v>
      </c>
      <c r="U19" s="50" t="s">
        <v>279</v>
      </c>
      <c r="V19" s="50" t="s">
        <v>284</v>
      </c>
      <c r="W19" s="50">
        <v>3532510</v>
      </c>
      <c r="X19" s="50"/>
      <c r="Y19" s="50"/>
      <c r="Z19" s="50" t="b">
        <v>1</v>
      </c>
      <c r="AA19" s="50">
        <v>6</v>
      </c>
      <c r="AB19" s="50" t="b">
        <v>1</v>
      </c>
      <c r="AC19" s="50" t="b">
        <v>1</v>
      </c>
      <c r="AD19" s="50" t="s">
        <v>294</v>
      </c>
      <c r="AE19" s="50" t="s">
        <v>297</v>
      </c>
      <c r="AF19" s="50" t="s">
        <v>297</v>
      </c>
      <c r="AG19" s="50"/>
      <c r="AH19" s="50">
        <v>42</v>
      </c>
      <c r="AI19" s="50"/>
      <c r="AJ19" s="49" t="s">
        <v>310</v>
      </c>
      <c r="AK19" s="49" t="s">
        <v>320</v>
      </c>
      <c r="AL19" s="50"/>
      <c r="AM19" s="50">
        <v>0</v>
      </c>
    </row>
    <row r="20" spans="2:39" s="59" customFormat="1" ht="102" x14ac:dyDescent="0.25">
      <c r="B20" s="55" t="s">
        <v>175</v>
      </c>
      <c r="C20" s="50" t="s">
        <v>230</v>
      </c>
      <c r="D20" s="50" t="s">
        <v>234</v>
      </c>
      <c r="E20" s="50" t="s">
        <v>236</v>
      </c>
      <c r="F20" s="56">
        <v>42352</v>
      </c>
      <c r="G20" s="56">
        <v>42352</v>
      </c>
      <c r="H20" s="50">
        <v>550</v>
      </c>
      <c r="I20" s="50" t="s">
        <v>241</v>
      </c>
      <c r="J20" s="56">
        <v>26526</v>
      </c>
      <c r="K20" s="50" t="s">
        <v>205</v>
      </c>
      <c r="L20" s="57"/>
      <c r="M20" s="50">
        <v>12</v>
      </c>
      <c r="N20" s="50">
        <v>1</v>
      </c>
      <c r="O20" s="50" t="s">
        <v>253</v>
      </c>
      <c r="P20" s="50" t="s">
        <v>256</v>
      </c>
      <c r="Q20" s="50" t="s">
        <v>267</v>
      </c>
      <c r="R20" s="50">
        <v>1946</v>
      </c>
      <c r="S20" s="50">
        <v>393</v>
      </c>
      <c r="T20" s="50" t="s">
        <v>274</v>
      </c>
      <c r="U20" s="50" t="s">
        <v>279</v>
      </c>
      <c r="V20" s="50" t="s">
        <v>284</v>
      </c>
      <c r="W20" s="50">
        <v>3532510</v>
      </c>
      <c r="X20" s="61">
        <v>3725.68</v>
      </c>
      <c r="Y20" s="50"/>
      <c r="Z20" s="50" t="b">
        <v>1</v>
      </c>
      <c r="AA20" s="50">
        <v>6</v>
      </c>
      <c r="AB20" s="50" t="b">
        <v>1</v>
      </c>
      <c r="AC20" s="50" t="b">
        <v>1</v>
      </c>
      <c r="AD20" s="50" t="s">
        <v>294</v>
      </c>
      <c r="AE20" s="50" t="s">
        <v>297</v>
      </c>
      <c r="AF20" s="50" t="s">
        <v>297</v>
      </c>
      <c r="AG20" s="50"/>
      <c r="AH20" s="50">
        <v>42</v>
      </c>
      <c r="AI20" s="50"/>
      <c r="AJ20" s="49" t="s">
        <v>310</v>
      </c>
      <c r="AK20" s="49" t="s">
        <v>320</v>
      </c>
      <c r="AL20" s="50"/>
      <c r="AM20" s="50">
        <v>1</v>
      </c>
    </row>
    <row r="21" spans="2:39" s="59" customFormat="1" x14ac:dyDescent="0.25">
      <c r="B21" s="55" t="s">
        <v>172</v>
      </c>
      <c r="C21" s="50" t="s">
        <v>229</v>
      </c>
      <c r="D21" s="50" t="s">
        <v>233</v>
      </c>
      <c r="E21" s="50" t="s">
        <v>236</v>
      </c>
      <c r="F21" s="56">
        <v>41868</v>
      </c>
      <c r="G21" s="56">
        <v>41868</v>
      </c>
      <c r="H21" s="50">
        <v>400</v>
      </c>
      <c r="I21" s="50" t="s">
        <v>242</v>
      </c>
      <c r="J21" s="56">
        <v>33730</v>
      </c>
      <c r="K21" s="50" t="s">
        <v>208</v>
      </c>
      <c r="L21" s="57"/>
      <c r="M21" s="50">
        <v>1</v>
      </c>
      <c r="N21" s="50">
        <v>2</v>
      </c>
      <c r="O21" s="50" t="s">
        <v>252</v>
      </c>
      <c r="P21" s="50" t="s">
        <v>260</v>
      </c>
      <c r="Q21" s="50" t="s">
        <v>266</v>
      </c>
      <c r="R21" s="50">
        <v>1965</v>
      </c>
      <c r="S21" s="50">
        <v>267</v>
      </c>
      <c r="T21" s="50" t="s">
        <v>271</v>
      </c>
      <c r="U21" s="50" t="s">
        <v>279</v>
      </c>
      <c r="V21" s="50" t="s">
        <v>281</v>
      </c>
      <c r="W21" s="50">
        <v>419343</v>
      </c>
      <c r="X21" s="61"/>
      <c r="Y21" s="50"/>
      <c r="Z21" s="50" t="b">
        <v>1</v>
      </c>
      <c r="AA21" s="50">
        <v>1</v>
      </c>
      <c r="AB21" s="50"/>
      <c r="AC21" s="50"/>
      <c r="AD21" s="50" t="s">
        <v>295</v>
      </c>
      <c r="AE21" s="50" t="s">
        <v>297</v>
      </c>
      <c r="AF21" s="50" t="s">
        <v>302</v>
      </c>
      <c r="AG21" s="50"/>
      <c r="AH21" s="50">
        <v>22</v>
      </c>
      <c r="AI21" s="58"/>
      <c r="AJ21" s="49"/>
      <c r="AK21" s="49"/>
      <c r="AL21" s="50"/>
      <c r="AM21" s="50">
        <v>0</v>
      </c>
    </row>
    <row r="22" spans="2:39" s="59" customFormat="1" x14ac:dyDescent="0.25">
      <c r="B22" s="55" t="s">
        <v>176</v>
      </c>
      <c r="C22" s="50" t="s">
        <v>229</v>
      </c>
      <c r="D22" s="50" t="s">
        <v>234</v>
      </c>
      <c r="E22" s="50" t="s">
        <v>236</v>
      </c>
      <c r="F22" s="56">
        <v>42233</v>
      </c>
      <c r="G22" s="56">
        <v>42233</v>
      </c>
      <c r="H22" s="50">
        <v>400</v>
      </c>
      <c r="I22" s="50" t="s">
        <v>242</v>
      </c>
      <c r="J22" s="56">
        <v>33730</v>
      </c>
      <c r="K22" s="50" t="s">
        <v>208</v>
      </c>
      <c r="L22" s="57"/>
      <c r="M22" s="50">
        <v>1</v>
      </c>
      <c r="N22" s="50">
        <v>2</v>
      </c>
      <c r="O22" s="50" t="s">
        <v>252</v>
      </c>
      <c r="P22" s="50" t="s">
        <v>260</v>
      </c>
      <c r="Q22" s="50" t="s">
        <v>266</v>
      </c>
      <c r="R22" s="50">
        <v>1965</v>
      </c>
      <c r="S22" s="50">
        <v>267</v>
      </c>
      <c r="T22" s="50" t="s">
        <v>271</v>
      </c>
      <c r="U22" s="50" t="s">
        <v>279</v>
      </c>
      <c r="V22" s="50" t="s">
        <v>281</v>
      </c>
      <c r="W22" s="50">
        <v>419343</v>
      </c>
      <c r="X22" s="61">
        <v>635.47</v>
      </c>
      <c r="Y22" s="50"/>
      <c r="Z22" s="50" t="b">
        <v>1</v>
      </c>
      <c r="AA22" s="50">
        <v>1</v>
      </c>
      <c r="AB22" s="50"/>
      <c r="AC22" s="50"/>
      <c r="AD22" s="50" t="s">
        <v>295</v>
      </c>
      <c r="AE22" s="50" t="s">
        <v>297</v>
      </c>
      <c r="AF22" s="50" t="s">
        <v>302</v>
      </c>
      <c r="AG22" s="50"/>
      <c r="AH22" s="50">
        <v>22</v>
      </c>
      <c r="AI22" s="58"/>
      <c r="AJ22" s="49"/>
      <c r="AK22" s="49"/>
      <c r="AL22" s="50"/>
      <c r="AM22" s="50">
        <v>1</v>
      </c>
    </row>
    <row r="23" spans="2:39" s="59" customFormat="1" ht="25.5" x14ac:dyDescent="0.25">
      <c r="B23" s="55" t="s">
        <v>167</v>
      </c>
      <c r="C23" s="50" t="s">
        <v>228</v>
      </c>
      <c r="D23" s="50" t="s">
        <v>233</v>
      </c>
      <c r="E23" s="50" t="s">
        <v>236</v>
      </c>
      <c r="F23" s="56">
        <v>41873</v>
      </c>
      <c r="G23" s="56">
        <v>41873</v>
      </c>
      <c r="H23" s="50">
        <v>700</v>
      </c>
      <c r="I23" s="50" t="s">
        <v>241</v>
      </c>
      <c r="J23" s="56">
        <v>16303</v>
      </c>
      <c r="K23" s="50" t="s">
        <v>210</v>
      </c>
      <c r="L23" s="57"/>
      <c r="M23" s="50">
        <v>4</v>
      </c>
      <c r="N23" s="50">
        <v>1</v>
      </c>
      <c r="O23" s="50" t="s">
        <v>254</v>
      </c>
      <c r="P23" s="50" t="s">
        <v>261</v>
      </c>
      <c r="Q23" s="50" t="s">
        <v>265</v>
      </c>
      <c r="R23" s="50">
        <v>2013</v>
      </c>
      <c r="S23" s="50">
        <v>178</v>
      </c>
      <c r="T23" s="50" t="s">
        <v>272</v>
      </c>
      <c r="U23" s="50" t="s">
        <v>277</v>
      </c>
      <c r="V23" s="50" t="s">
        <v>281</v>
      </c>
      <c r="W23" s="50">
        <v>864327</v>
      </c>
      <c r="X23" s="61"/>
      <c r="Y23" s="50"/>
      <c r="Z23" s="50" t="b">
        <v>0</v>
      </c>
      <c r="AA23" s="50">
        <v>4</v>
      </c>
      <c r="AB23" s="50"/>
      <c r="AC23" s="50"/>
      <c r="AD23" s="50" t="s">
        <v>294</v>
      </c>
      <c r="AE23" s="50" t="s">
        <v>299</v>
      </c>
      <c r="AF23" s="50" t="s">
        <v>297</v>
      </c>
      <c r="AG23" s="50"/>
      <c r="AH23" s="50">
        <v>70</v>
      </c>
      <c r="AI23" s="58"/>
      <c r="AJ23" s="49" t="s">
        <v>311</v>
      </c>
      <c r="AK23" s="49" t="s">
        <v>321</v>
      </c>
      <c r="AL23" s="50"/>
      <c r="AM23" s="50">
        <v>0</v>
      </c>
    </row>
    <row r="24" spans="2:39" s="59" customFormat="1" ht="25.5" x14ac:dyDescent="0.25">
      <c r="B24" s="55" t="s">
        <v>168</v>
      </c>
      <c r="C24" s="50" t="s">
        <v>228</v>
      </c>
      <c r="D24" s="50" t="s">
        <v>234</v>
      </c>
      <c r="E24" s="50" t="s">
        <v>236</v>
      </c>
      <c r="F24" s="56">
        <v>42238</v>
      </c>
      <c r="G24" s="56">
        <v>42238</v>
      </c>
      <c r="H24" s="50">
        <v>700</v>
      </c>
      <c r="I24" s="50" t="s">
        <v>241</v>
      </c>
      <c r="J24" s="56">
        <v>16303</v>
      </c>
      <c r="K24" s="50" t="s">
        <v>210</v>
      </c>
      <c r="L24" s="57"/>
      <c r="M24" s="50">
        <v>4</v>
      </c>
      <c r="N24" s="50">
        <v>1</v>
      </c>
      <c r="O24" s="50" t="s">
        <v>254</v>
      </c>
      <c r="P24" s="50" t="s">
        <v>261</v>
      </c>
      <c r="Q24" s="50" t="s">
        <v>265</v>
      </c>
      <c r="R24" s="50">
        <v>2013</v>
      </c>
      <c r="S24" s="50">
        <v>178</v>
      </c>
      <c r="T24" s="50" t="s">
        <v>272</v>
      </c>
      <c r="U24" s="50" t="s">
        <v>277</v>
      </c>
      <c r="V24" s="50" t="s">
        <v>281</v>
      </c>
      <c r="W24" s="50">
        <v>864327</v>
      </c>
      <c r="X24" s="61">
        <v>1245.3699999999999</v>
      </c>
      <c r="Y24" s="50"/>
      <c r="Z24" s="50" t="b">
        <v>0</v>
      </c>
      <c r="AA24" s="50">
        <v>4</v>
      </c>
      <c r="AB24" s="50"/>
      <c r="AC24" s="50"/>
      <c r="AD24" s="50" t="s">
        <v>294</v>
      </c>
      <c r="AE24" s="50" t="s">
        <v>299</v>
      </c>
      <c r="AF24" s="50" t="s">
        <v>297</v>
      </c>
      <c r="AG24" s="50"/>
      <c r="AH24" s="50">
        <v>70</v>
      </c>
      <c r="AI24" s="58"/>
      <c r="AJ24" s="49" t="s">
        <v>311</v>
      </c>
      <c r="AK24" s="49" t="s">
        <v>321</v>
      </c>
      <c r="AL24" s="50"/>
      <c r="AM24" s="50">
        <v>1</v>
      </c>
    </row>
    <row r="25" spans="2:39" s="59" customFormat="1" x14ac:dyDescent="0.25">
      <c r="B25" s="55" t="s">
        <v>169</v>
      </c>
      <c r="C25" s="50" t="s">
        <v>230</v>
      </c>
      <c r="D25" s="50" t="s">
        <v>233</v>
      </c>
      <c r="E25" s="50" t="s">
        <v>236</v>
      </c>
      <c r="F25" s="56">
        <v>41946</v>
      </c>
      <c r="G25" s="56">
        <v>41946</v>
      </c>
      <c r="H25" s="50">
        <v>550</v>
      </c>
      <c r="I25" s="50" t="s">
        <v>243</v>
      </c>
      <c r="J25" s="56">
        <v>31465</v>
      </c>
      <c r="K25" s="50"/>
      <c r="L25" s="57">
        <v>8042</v>
      </c>
      <c r="M25" s="50">
        <v>1</v>
      </c>
      <c r="N25" s="50">
        <v>0</v>
      </c>
      <c r="O25" s="50" t="s">
        <v>255</v>
      </c>
      <c r="P25" s="50" t="s">
        <v>262</v>
      </c>
      <c r="Q25" s="50" t="s">
        <v>267</v>
      </c>
      <c r="R25" s="50">
        <v>1987</v>
      </c>
      <c r="S25" s="50">
        <v>90</v>
      </c>
      <c r="T25" s="50" t="s">
        <v>275</v>
      </c>
      <c r="U25" s="50" t="s">
        <v>278</v>
      </c>
      <c r="V25" s="50" t="s">
        <v>284</v>
      </c>
      <c r="W25" s="50">
        <v>240655</v>
      </c>
      <c r="X25" s="61"/>
      <c r="Y25" s="50"/>
      <c r="Z25" s="50" t="b">
        <v>1</v>
      </c>
      <c r="AA25" s="50">
        <v>0</v>
      </c>
      <c r="AB25" s="50" t="b">
        <v>1</v>
      </c>
      <c r="AC25" s="50"/>
      <c r="AD25" s="50" t="s">
        <v>294</v>
      </c>
      <c r="AE25" s="50" t="s">
        <v>297</v>
      </c>
      <c r="AF25" s="50" t="s">
        <v>301</v>
      </c>
      <c r="AG25" s="50"/>
      <c r="AH25" s="50">
        <v>29</v>
      </c>
      <c r="AI25" s="58"/>
      <c r="AJ25" s="49"/>
      <c r="AK25" s="49" t="s">
        <v>322</v>
      </c>
      <c r="AL25" s="50"/>
      <c r="AM25" s="50">
        <v>0</v>
      </c>
    </row>
    <row r="26" spans="2:39" s="59" customFormat="1" x14ac:dyDescent="0.25">
      <c r="B26" s="55" t="s">
        <v>170</v>
      </c>
      <c r="C26" s="50" t="s">
        <v>230</v>
      </c>
      <c r="D26" s="50" t="s">
        <v>234</v>
      </c>
      <c r="E26" s="50" t="s">
        <v>236</v>
      </c>
      <c r="F26" s="56">
        <v>42311</v>
      </c>
      <c r="G26" s="56">
        <v>42311</v>
      </c>
      <c r="H26" s="50">
        <v>550</v>
      </c>
      <c r="I26" s="50" t="s">
        <v>243</v>
      </c>
      <c r="J26" s="56">
        <v>31465</v>
      </c>
      <c r="K26" s="50"/>
      <c r="L26" s="57">
        <v>8042</v>
      </c>
      <c r="M26" s="50">
        <v>1</v>
      </c>
      <c r="N26" s="50">
        <v>0</v>
      </c>
      <c r="O26" s="50" t="s">
        <v>255</v>
      </c>
      <c r="P26" s="50" t="s">
        <v>262</v>
      </c>
      <c r="Q26" s="50" t="s">
        <v>267</v>
      </c>
      <c r="R26" s="50">
        <v>1987</v>
      </c>
      <c r="S26" s="50">
        <v>90</v>
      </c>
      <c r="T26" s="50" t="s">
        <v>275</v>
      </c>
      <c r="U26" s="50" t="s">
        <v>278</v>
      </c>
      <c r="V26" s="50" t="s">
        <v>284</v>
      </c>
      <c r="W26" s="50">
        <v>240655</v>
      </c>
      <c r="X26" s="61">
        <v>659.28</v>
      </c>
      <c r="Y26" s="50"/>
      <c r="Z26" s="50" t="b">
        <v>1</v>
      </c>
      <c r="AA26" s="50">
        <v>0</v>
      </c>
      <c r="AB26" s="50" t="b">
        <v>1</v>
      </c>
      <c r="AC26" s="50"/>
      <c r="AD26" s="50" t="s">
        <v>294</v>
      </c>
      <c r="AE26" s="50" t="s">
        <v>297</v>
      </c>
      <c r="AF26" s="50" t="s">
        <v>301</v>
      </c>
      <c r="AG26" s="50"/>
      <c r="AH26" s="50">
        <v>29</v>
      </c>
      <c r="AI26" s="58"/>
      <c r="AJ26" s="49"/>
      <c r="AK26" s="49" t="s">
        <v>322</v>
      </c>
      <c r="AL26" s="50"/>
      <c r="AM26" s="50">
        <v>1</v>
      </c>
    </row>
    <row r="27" spans="2:39" s="59" customFormat="1" ht="25.5" x14ac:dyDescent="0.25">
      <c r="B27" s="55" t="s">
        <v>173</v>
      </c>
      <c r="C27" s="50" t="s">
        <v>228</v>
      </c>
      <c r="D27" s="50" t="s">
        <v>233</v>
      </c>
      <c r="E27" s="50" t="s">
        <v>236</v>
      </c>
      <c r="F27" s="56">
        <v>41876</v>
      </c>
      <c r="G27" s="56">
        <v>41876</v>
      </c>
      <c r="H27" s="50">
        <v>700</v>
      </c>
      <c r="I27" s="50" t="s">
        <v>241</v>
      </c>
      <c r="J27" s="56">
        <v>16303</v>
      </c>
      <c r="K27" s="50"/>
      <c r="L27" s="57">
        <v>8023</v>
      </c>
      <c r="M27" s="50">
        <v>4</v>
      </c>
      <c r="N27" s="50">
        <v>1</v>
      </c>
      <c r="O27" s="50" t="s">
        <v>254</v>
      </c>
      <c r="P27" s="50" t="s">
        <v>261</v>
      </c>
      <c r="Q27" s="50" t="s">
        <v>265</v>
      </c>
      <c r="R27" s="50">
        <v>2013</v>
      </c>
      <c r="S27" s="50">
        <v>178</v>
      </c>
      <c r="T27" s="50" t="s">
        <v>272</v>
      </c>
      <c r="U27" s="50" t="s">
        <v>277</v>
      </c>
      <c r="V27" s="50" t="s">
        <v>281</v>
      </c>
      <c r="W27" s="50">
        <v>864327</v>
      </c>
      <c r="X27" s="61"/>
      <c r="Y27" s="50"/>
      <c r="Z27" s="50" t="b">
        <v>0</v>
      </c>
      <c r="AA27" s="50">
        <v>4</v>
      </c>
      <c r="AB27" s="50"/>
      <c r="AC27" s="50"/>
      <c r="AD27" s="50" t="s">
        <v>294</v>
      </c>
      <c r="AE27" s="50" t="s">
        <v>299</v>
      </c>
      <c r="AF27" s="50" t="s">
        <v>297</v>
      </c>
      <c r="AG27" s="50"/>
      <c r="AH27" s="50">
        <v>70</v>
      </c>
      <c r="AI27" s="58"/>
      <c r="AJ27" s="49" t="s">
        <v>311</v>
      </c>
      <c r="AK27" s="49" t="s">
        <v>321</v>
      </c>
      <c r="AL27" s="50"/>
      <c r="AM27" s="50">
        <v>0</v>
      </c>
    </row>
    <row r="28" spans="2:39" s="59" customFormat="1" ht="25.5" x14ac:dyDescent="0.25">
      <c r="B28" s="55" t="s">
        <v>177</v>
      </c>
      <c r="C28" s="50" t="s">
        <v>228</v>
      </c>
      <c r="D28" s="50" t="s">
        <v>234</v>
      </c>
      <c r="E28" s="50" t="s">
        <v>236</v>
      </c>
      <c r="F28" s="56">
        <v>42241</v>
      </c>
      <c r="G28" s="56">
        <v>42241</v>
      </c>
      <c r="H28" s="50">
        <v>700</v>
      </c>
      <c r="I28" s="50" t="s">
        <v>241</v>
      </c>
      <c r="J28" s="56">
        <v>16303</v>
      </c>
      <c r="K28" s="50"/>
      <c r="L28" s="57">
        <v>8023</v>
      </c>
      <c r="M28" s="50">
        <v>4</v>
      </c>
      <c r="N28" s="50">
        <v>1</v>
      </c>
      <c r="O28" s="50" t="s">
        <v>254</v>
      </c>
      <c r="P28" s="50" t="s">
        <v>261</v>
      </c>
      <c r="Q28" s="50" t="s">
        <v>265</v>
      </c>
      <c r="R28" s="50">
        <v>2013</v>
      </c>
      <c r="S28" s="50">
        <v>178</v>
      </c>
      <c r="T28" s="50" t="s">
        <v>272</v>
      </c>
      <c r="U28" s="50" t="s">
        <v>277</v>
      </c>
      <c r="V28" s="50" t="s">
        <v>281</v>
      </c>
      <c r="W28" s="50">
        <v>864327</v>
      </c>
      <c r="X28" s="61">
        <v>1205.55</v>
      </c>
      <c r="Y28" s="50"/>
      <c r="Z28" s="50" t="b">
        <v>0</v>
      </c>
      <c r="AA28" s="50">
        <v>4</v>
      </c>
      <c r="AB28" s="50"/>
      <c r="AC28" s="50"/>
      <c r="AD28" s="50" t="s">
        <v>294</v>
      </c>
      <c r="AE28" s="50" t="s">
        <v>299</v>
      </c>
      <c r="AF28" s="50" t="s">
        <v>297</v>
      </c>
      <c r="AG28" s="50"/>
      <c r="AH28" s="50">
        <v>70</v>
      </c>
      <c r="AI28" s="58"/>
      <c r="AJ28" s="49" t="s">
        <v>311</v>
      </c>
      <c r="AK28" s="49" t="s">
        <v>321</v>
      </c>
      <c r="AL28" s="50"/>
      <c r="AM28" s="50">
        <v>1</v>
      </c>
    </row>
    <row r="29" spans="2:39" s="59" customFormat="1" ht="25.5" x14ac:dyDescent="0.25">
      <c r="B29" s="55" t="s">
        <v>179</v>
      </c>
      <c r="C29" s="50" t="s">
        <v>231</v>
      </c>
      <c r="D29" s="50" t="s">
        <v>233</v>
      </c>
      <c r="E29" s="50" t="s">
        <v>236</v>
      </c>
      <c r="F29" s="62">
        <v>41985</v>
      </c>
      <c r="G29" s="62">
        <v>41985</v>
      </c>
      <c r="H29" s="50">
        <v>5000</v>
      </c>
      <c r="I29" s="50" t="s">
        <v>241</v>
      </c>
      <c r="J29" s="62">
        <v>32339</v>
      </c>
      <c r="K29" s="57" t="s">
        <v>214</v>
      </c>
      <c r="L29" s="57" t="s">
        <v>50</v>
      </c>
      <c r="M29" s="50">
        <v>7</v>
      </c>
      <c r="N29" s="50">
        <v>3</v>
      </c>
      <c r="O29" s="50" t="s">
        <v>252</v>
      </c>
      <c r="P29" s="50" t="s">
        <v>263</v>
      </c>
      <c r="Q29" s="50" t="s">
        <v>267</v>
      </c>
      <c r="R29" s="50">
        <v>1978</v>
      </c>
      <c r="S29" s="50">
        <v>108</v>
      </c>
      <c r="T29" s="50" t="s">
        <v>274</v>
      </c>
      <c r="U29" s="50" t="s">
        <v>277</v>
      </c>
      <c r="V29" s="50" t="s">
        <v>274</v>
      </c>
      <c r="W29" s="50">
        <v>1168746</v>
      </c>
      <c r="X29" s="61"/>
      <c r="Y29" s="50"/>
      <c r="Z29" s="50" t="b">
        <v>1</v>
      </c>
      <c r="AA29" s="50">
        <v>0</v>
      </c>
      <c r="AB29" s="50" t="b">
        <v>1</v>
      </c>
      <c r="AC29" s="50" t="b">
        <v>0</v>
      </c>
      <c r="AD29" s="50" t="s">
        <v>294</v>
      </c>
      <c r="AE29" s="50" t="s">
        <v>298</v>
      </c>
      <c r="AF29" s="50" t="s">
        <v>297</v>
      </c>
      <c r="AG29" s="50"/>
      <c r="AH29" s="50">
        <v>26</v>
      </c>
      <c r="AI29" s="50"/>
      <c r="AJ29" s="49" t="s">
        <v>312</v>
      </c>
      <c r="AK29" s="49" t="s">
        <v>323</v>
      </c>
      <c r="AL29" s="50"/>
      <c r="AM29" s="50">
        <v>0</v>
      </c>
    </row>
    <row r="30" spans="2:39" s="59" customFormat="1" ht="25.5" x14ac:dyDescent="0.25">
      <c r="B30" s="55" t="s">
        <v>182</v>
      </c>
      <c r="C30" s="50" t="s">
        <v>231</v>
      </c>
      <c r="D30" s="50" t="s">
        <v>234</v>
      </c>
      <c r="E30" s="50" t="s">
        <v>236</v>
      </c>
      <c r="F30" s="62">
        <v>42350</v>
      </c>
      <c r="G30" s="62">
        <v>42350</v>
      </c>
      <c r="H30" s="50">
        <v>5000</v>
      </c>
      <c r="I30" s="50" t="s">
        <v>241</v>
      </c>
      <c r="J30" s="62">
        <v>32339</v>
      </c>
      <c r="K30" s="57" t="s">
        <v>214</v>
      </c>
      <c r="L30" s="57" t="s">
        <v>50</v>
      </c>
      <c r="M30" s="50">
        <v>7</v>
      </c>
      <c r="N30" s="50">
        <v>3</v>
      </c>
      <c r="O30" s="50" t="s">
        <v>252</v>
      </c>
      <c r="P30" s="50" t="s">
        <v>263</v>
      </c>
      <c r="Q30" s="50" t="s">
        <v>267</v>
      </c>
      <c r="R30" s="50">
        <v>1978</v>
      </c>
      <c r="S30" s="50">
        <v>108</v>
      </c>
      <c r="T30" s="50" t="s">
        <v>274</v>
      </c>
      <c r="U30" s="50" t="s">
        <v>277</v>
      </c>
      <c r="V30" s="50" t="s">
        <v>274</v>
      </c>
      <c r="W30" s="50">
        <v>1168746</v>
      </c>
      <c r="X30" s="61">
        <v>1656.99</v>
      </c>
      <c r="Y30" s="50"/>
      <c r="Z30" s="50" t="b">
        <v>1</v>
      </c>
      <c r="AA30" s="50">
        <v>0</v>
      </c>
      <c r="AB30" s="50" t="b">
        <v>1</v>
      </c>
      <c r="AC30" s="50" t="b">
        <v>0</v>
      </c>
      <c r="AD30" s="50" t="s">
        <v>294</v>
      </c>
      <c r="AE30" s="50" t="s">
        <v>298</v>
      </c>
      <c r="AF30" s="50" t="s">
        <v>297</v>
      </c>
      <c r="AG30" s="50"/>
      <c r="AH30" s="50">
        <v>26</v>
      </c>
      <c r="AI30" s="50"/>
      <c r="AJ30" s="49" t="s">
        <v>312</v>
      </c>
      <c r="AK30" s="49" t="s">
        <v>323</v>
      </c>
      <c r="AL30" s="50"/>
      <c r="AM30" s="50">
        <v>1</v>
      </c>
    </row>
    <row r="31" spans="2:39" s="59" customFormat="1" ht="38.25" x14ac:dyDescent="0.25">
      <c r="B31" s="55" t="s">
        <v>180</v>
      </c>
      <c r="C31" s="50" t="s">
        <v>231</v>
      </c>
      <c r="D31" s="50" t="s">
        <v>233</v>
      </c>
      <c r="E31" s="50" t="s">
        <v>236</v>
      </c>
      <c r="F31" s="62">
        <v>41981</v>
      </c>
      <c r="G31" s="62">
        <v>41981</v>
      </c>
      <c r="H31" s="50">
        <v>550</v>
      </c>
      <c r="I31" s="50" t="s">
        <v>242</v>
      </c>
      <c r="J31" s="62">
        <v>30407</v>
      </c>
      <c r="K31" s="57" t="s">
        <v>214</v>
      </c>
      <c r="L31" s="57"/>
      <c r="M31" s="50">
        <v>5</v>
      </c>
      <c r="N31" s="50">
        <v>4</v>
      </c>
      <c r="O31" s="50" t="s">
        <v>252</v>
      </c>
      <c r="P31" s="50" t="s">
        <v>261</v>
      </c>
      <c r="Q31" s="50" t="s">
        <v>266</v>
      </c>
      <c r="R31" s="50">
        <v>1941</v>
      </c>
      <c r="S31" s="50">
        <v>216</v>
      </c>
      <c r="T31" s="50" t="s">
        <v>274</v>
      </c>
      <c r="U31" s="50" t="s">
        <v>278</v>
      </c>
      <c r="V31" s="50" t="s">
        <v>285</v>
      </c>
      <c r="W31" s="50">
        <v>660813</v>
      </c>
      <c r="X31" s="61"/>
      <c r="Y31" s="50"/>
      <c r="Z31" s="50" t="b">
        <v>1</v>
      </c>
      <c r="AA31" s="50">
        <v>1</v>
      </c>
      <c r="AB31" s="50" t="b">
        <v>1</v>
      </c>
      <c r="AC31" s="50" t="b">
        <v>1</v>
      </c>
      <c r="AD31" s="50" t="s">
        <v>294</v>
      </c>
      <c r="AE31" s="50" t="s">
        <v>298</v>
      </c>
      <c r="AF31" s="50" t="s">
        <v>301</v>
      </c>
      <c r="AG31" s="50"/>
      <c r="AH31" s="50">
        <v>31</v>
      </c>
      <c r="AI31" s="50"/>
      <c r="AJ31" s="49" t="s">
        <v>313</v>
      </c>
      <c r="AK31" s="49"/>
      <c r="AL31" s="50"/>
      <c r="AM31" s="50">
        <v>0</v>
      </c>
    </row>
    <row r="32" spans="2:39" s="59" customFormat="1" ht="38.25" x14ac:dyDescent="0.25">
      <c r="B32" s="55" t="s">
        <v>183</v>
      </c>
      <c r="C32" s="50" t="s">
        <v>231</v>
      </c>
      <c r="D32" s="50" t="s">
        <v>234</v>
      </c>
      <c r="E32" s="50" t="s">
        <v>236</v>
      </c>
      <c r="F32" s="62">
        <v>42346</v>
      </c>
      <c r="G32" s="62">
        <v>42346</v>
      </c>
      <c r="H32" s="50">
        <v>550</v>
      </c>
      <c r="I32" s="50" t="s">
        <v>242</v>
      </c>
      <c r="J32" s="62">
        <v>30407</v>
      </c>
      <c r="K32" s="57" t="s">
        <v>214</v>
      </c>
      <c r="L32" s="57"/>
      <c r="M32" s="50">
        <v>5</v>
      </c>
      <c r="N32" s="50">
        <v>4</v>
      </c>
      <c r="O32" s="50" t="s">
        <v>252</v>
      </c>
      <c r="P32" s="50" t="s">
        <v>261</v>
      </c>
      <c r="Q32" s="50" t="s">
        <v>266</v>
      </c>
      <c r="R32" s="50">
        <v>1941</v>
      </c>
      <c r="S32" s="50">
        <v>216</v>
      </c>
      <c r="T32" s="50" t="s">
        <v>274</v>
      </c>
      <c r="U32" s="50" t="s">
        <v>278</v>
      </c>
      <c r="V32" s="50" t="s">
        <v>285</v>
      </c>
      <c r="W32" s="50">
        <v>660813</v>
      </c>
      <c r="X32" s="61">
        <v>961.45</v>
      </c>
      <c r="Y32" s="50"/>
      <c r="Z32" s="50" t="b">
        <v>1</v>
      </c>
      <c r="AA32" s="50">
        <v>1</v>
      </c>
      <c r="AB32" s="50" t="b">
        <v>1</v>
      </c>
      <c r="AC32" s="50" t="b">
        <v>1</v>
      </c>
      <c r="AD32" s="50" t="s">
        <v>294</v>
      </c>
      <c r="AE32" s="50" t="s">
        <v>298</v>
      </c>
      <c r="AF32" s="50" t="s">
        <v>301</v>
      </c>
      <c r="AG32" s="50"/>
      <c r="AH32" s="50">
        <v>31</v>
      </c>
      <c r="AI32" s="50"/>
      <c r="AJ32" s="49" t="s">
        <v>313</v>
      </c>
      <c r="AK32" s="49"/>
      <c r="AL32" s="50"/>
      <c r="AM32" s="50">
        <v>1</v>
      </c>
    </row>
    <row r="33" spans="2:39" s="59" customFormat="1" ht="51" x14ac:dyDescent="0.25">
      <c r="B33" s="55" t="s">
        <v>181</v>
      </c>
      <c r="C33" s="50" t="s">
        <v>231</v>
      </c>
      <c r="D33" s="50" t="s">
        <v>233</v>
      </c>
      <c r="E33" s="50" t="s">
        <v>236</v>
      </c>
      <c r="F33" s="62">
        <v>41926</v>
      </c>
      <c r="G33" s="62">
        <v>41926</v>
      </c>
      <c r="H33" s="50">
        <v>5000</v>
      </c>
      <c r="I33" s="50" t="s">
        <v>241</v>
      </c>
      <c r="J33" s="62">
        <v>29553</v>
      </c>
      <c r="K33" s="50" t="s">
        <v>201</v>
      </c>
      <c r="L33" s="57" t="s">
        <v>50</v>
      </c>
      <c r="M33" s="50">
        <v>5</v>
      </c>
      <c r="N33" s="50">
        <v>1</v>
      </c>
      <c r="O33" s="50" t="s">
        <v>256</v>
      </c>
      <c r="P33" s="50" t="s">
        <v>258</v>
      </c>
      <c r="Q33" s="50" t="s">
        <v>267</v>
      </c>
      <c r="R33" s="50">
        <v>1998</v>
      </c>
      <c r="S33" s="50">
        <v>280</v>
      </c>
      <c r="T33" s="50" t="s">
        <v>265</v>
      </c>
      <c r="U33" s="50" t="s">
        <v>279</v>
      </c>
      <c r="V33" s="50" t="s">
        <v>274</v>
      </c>
      <c r="W33" s="50">
        <v>506779</v>
      </c>
      <c r="X33" s="61"/>
      <c r="Y33" s="50">
        <v>25000</v>
      </c>
      <c r="Z33" s="50" t="b">
        <v>1</v>
      </c>
      <c r="AA33" s="50">
        <v>0</v>
      </c>
      <c r="AB33" s="50" t="b">
        <v>0</v>
      </c>
      <c r="AC33" s="50" t="b">
        <v>0</v>
      </c>
      <c r="AD33" s="50" t="s">
        <v>295</v>
      </c>
      <c r="AE33" s="50" t="s">
        <v>297</v>
      </c>
      <c r="AF33" s="50" t="s">
        <v>302</v>
      </c>
      <c r="AG33" s="50"/>
      <c r="AH33" s="50">
        <v>34</v>
      </c>
      <c r="AI33" s="50"/>
      <c r="AJ33" s="49" t="s">
        <v>314</v>
      </c>
      <c r="AK33" s="49" t="s">
        <v>324</v>
      </c>
      <c r="AL33" s="50"/>
      <c r="AM33" s="50">
        <v>0</v>
      </c>
    </row>
    <row r="34" spans="2:39" s="59" customFormat="1" ht="51" x14ac:dyDescent="0.25">
      <c r="B34" s="55" t="s">
        <v>184</v>
      </c>
      <c r="C34" s="50" t="s">
        <v>231</v>
      </c>
      <c r="D34" s="50" t="s">
        <v>234</v>
      </c>
      <c r="E34" s="50" t="s">
        <v>236</v>
      </c>
      <c r="F34" s="62">
        <v>42291</v>
      </c>
      <c r="G34" s="62">
        <v>42291</v>
      </c>
      <c r="H34" s="50">
        <v>5000</v>
      </c>
      <c r="I34" s="50" t="s">
        <v>241</v>
      </c>
      <c r="J34" s="62">
        <v>29553</v>
      </c>
      <c r="K34" s="50" t="s">
        <v>201</v>
      </c>
      <c r="L34" s="57" t="s">
        <v>50</v>
      </c>
      <c r="M34" s="50">
        <v>5</v>
      </c>
      <c r="N34" s="50">
        <v>1</v>
      </c>
      <c r="O34" s="50" t="s">
        <v>256</v>
      </c>
      <c r="P34" s="50" t="s">
        <v>258</v>
      </c>
      <c r="Q34" s="50" t="s">
        <v>267</v>
      </c>
      <c r="R34" s="50">
        <v>1998</v>
      </c>
      <c r="S34" s="50">
        <v>280</v>
      </c>
      <c r="T34" s="50" t="s">
        <v>265</v>
      </c>
      <c r="U34" s="50" t="s">
        <v>279</v>
      </c>
      <c r="V34" s="50" t="s">
        <v>274</v>
      </c>
      <c r="W34" s="50">
        <v>506779</v>
      </c>
      <c r="X34" s="61">
        <v>1114.78</v>
      </c>
      <c r="Y34" s="50">
        <v>25000</v>
      </c>
      <c r="Z34" s="50" t="b">
        <v>1</v>
      </c>
      <c r="AA34" s="50">
        <v>0</v>
      </c>
      <c r="AB34" s="50" t="b">
        <v>0</v>
      </c>
      <c r="AC34" s="50" t="b">
        <v>0</v>
      </c>
      <c r="AD34" s="50" t="s">
        <v>295</v>
      </c>
      <c r="AE34" s="50" t="s">
        <v>297</v>
      </c>
      <c r="AF34" s="50" t="s">
        <v>302</v>
      </c>
      <c r="AG34" s="50"/>
      <c r="AH34" s="50">
        <v>34</v>
      </c>
      <c r="AI34" s="50"/>
      <c r="AJ34" s="49" t="s">
        <v>314</v>
      </c>
      <c r="AK34" s="49" t="s">
        <v>324</v>
      </c>
      <c r="AL34" s="50"/>
      <c r="AM34" s="50">
        <v>1</v>
      </c>
    </row>
    <row r="35" spans="2:39" s="59" customFormat="1" ht="102" x14ac:dyDescent="0.25">
      <c r="B35" s="55" t="s">
        <v>189</v>
      </c>
      <c r="C35" s="50" t="s">
        <v>230</v>
      </c>
      <c r="D35" s="50" t="s">
        <v>233</v>
      </c>
      <c r="E35" s="50" t="s">
        <v>236</v>
      </c>
      <c r="F35" s="56">
        <v>41957</v>
      </c>
      <c r="G35" s="56">
        <v>41957</v>
      </c>
      <c r="H35" s="50">
        <v>700</v>
      </c>
      <c r="I35" s="50" t="s">
        <v>241</v>
      </c>
      <c r="J35" s="62">
        <v>29553</v>
      </c>
      <c r="K35" s="57" t="s">
        <v>218</v>
      </c>
      <c r="L35" s="57"/>
      <c r="M35" s="50">
        <v>10</v>
      </c>
      <c r="N35" s="50">
        <v>2</v>
      </c>
      <c r="O35" s="50" t="s">
        <v>253</v>
      </c>
      <c r="P35" s="50" t="s">
        <v>256</v>
      </c>
      <c r="Q35" s="50" t="s">
        <v>267</v>
      </c>
      <c r="R35" s="50">
        <v>1946</v>
      </c>
      <c r="S35" s="50">
        <v>393</v>
      </c>
      <c r="T35" s="50" t="s">
        <v>274</v>
      </c>
      <c r="U35" s="50" t="s">
        <v>279</v>
      </c>
      <c r="V35" s="50" t="s">
        <v>284</v>
      </c>
      <c r="W35" s="50">
        <v>4000000</v>
      </c>
      <c r="X35" s="61"/>
      <c r="Y35" s="50"/>
      <c r="Z35" s="50" t="b">
        <v>1</v>
      </c>
      <c r="AA35" s="50">
        <v>6</v>
      </c>
      <c r="AB35" s="50" t="b">
        <v>1</v>
      </c>
      <c r="AC35" s="50" t="b">
        <v>1</v>
      </c>
      <c r="AD35" s="50" t="s">
        <v>294</v>
      </c>
      <c r="AE35" s="50" t="s">
        <v>297</v>
      </c>
      <c r="AF35" s="50" t="s">
        <v>297</v>
      </c>
      <c r="AG35" s="50"/>
      <c r="AH35" s="50">
        <v>34</v>
      </c>
      <c r="AI35" s="50"/>
      <c r="AJ35" s="49" t="s">
        <v>310</v>
      </c>
      <c r="AK35" s="49" t="s">
        <v>320</v>
      </c>
      <c r="AL35" s="50"/>
      <c r="AM35" s="50">
        <v>0</v>
      </c>
    </row>
    <row r="36" spans="2:39" s="59" customFormat="1" ht="102" x14ac:dyDescent="0.25">
      <c r="B36" s="55" t="s">
        <v>190</v>
      </c>
      <c r="C36" s="50" t="s">
        <v>230</v>
      </c>
      <c r="D36" s="50" t="s">
        <v>234</v>
      </c>
      <c r="E36" s="50" t="s">
        <v>236</v>
      </c>
      <c r="F36" s="56">
        <v>42322</v>
      </c>
      <c r="G36" s="56">
        <v>42322</v>
      </c>
      <c r="H36" s="50">
        <v>700</v>
      </c>
      <c r="I36" s="50" t="s">
        <v>241</v>
      </c>
      <c r="J36" s="62">
        <v>29553</v>
      </c>
      <c r="K36" s="57" t="s">
        <v>218</v>
      </c>
      <c r="L36" s="57"/>
      <c r="M36" s="50">
        <v>10</v>
      </c>
      <c r="N36" s="50">
        <v>2</v>
      </c>
      <c r="O36" s="50" t="s">
        <v>253</v>
      </c>
      <c r="P36" s="50" t="s">
        <v>256</v>
      </c>
      <c r="Q36" s="50" t="s">
        <v>267</v>
      </c>
      <c r="R36" s="50">
        <v>1946</v>
      </c>
      <c r="S36" s="50">
        <v>393</v>
      </c>
      <c r="T36" s="50" t="s">
        <v>274</v>
      </c>
      <c r="U36" s="50" t="s">
        <v>279</v>
      </c>
      <c r="V36" s="50" t="s">
        <v>284</v>
      </c>
      <c r="W36" s="50">
        <v>4000000</v>
      </c>
      <c r="X36" s="61">
        <v>4140.63</v>
      </c>
      <c r="Y36" s="50"/>
      <c r="Z36" s="50" t="b">
        <v>1</v>
      </c>
      <c r="AA36" s="50">
        <v>6</v>
      </c>
      <c r="AB36" s="50" t="b">
        <v>1</v>
      </c>
      <c r="AC36" s="50" t="b">
        <v>1</v>
      </c>
      <c r="AD36" s="50" t="s">
        <v>294</v>
      </c>
      <c r="AE36" s="50" t="s">
        <v>297</v>
      </c>
      <c r="AF36" s="50" t="s">
        <v>297</v>
      </c>
      <c r="AG36" s="50"/>
      <c r="AH36" s="50">
        <v>34</v>
      </c>
      <c r="AI36" s="50"/>
      <c r="AJ36" s="49" t="s">
        <v>310</v>
      </c>
      <c r="AK36" s="49" t="s">
        <v>320</v>
      </c>
      <c r="AL36" s="50"/>
      <c r="AM36" s="50">
        <v>1</v>
      </c>
    </row>
    <row r="37" spans="2:39" s="59" customFormat="1" x14ac:dyDescent="0.25">
      <c r="B37" s="55" t="s">
        <v>191</v>
      </c>
      <c r="C37" s="50" t="s">
        <v>229</v>
      </c>
      <c r="D37" s="50" t="s">
        <v>233</v>
      </c>
      <c r="E37" s="50" t="s">
        <v>236</v>
      </c>
      <c r="F37" s="56">
        <v>42133</v>
      </c>
      <c r="G37" s="56">
        <v>42133</v>
      </c>
      <c r="H37" s="50">
        <v>1200</v>
      </c>
      <c r="I37" s="50" t="s">
        <v>241</v>
      </c>
      <c r="J37" s="56">
        <v>26041</v>
      </c>
      <c r="K37" s="57" t="s">
        <v>210</v>
      </c>
      <c r="L37" s="57"/>
      <c r="M37" s="50">
        <v>1</v>
      </c>
      <c r="N37" s="50">
        <v>0</v>
      </c>
      <c r="O37" s="50" t="s">
        <v>252</v>
      </c>
      <c r="P37" s="50" t="s">
        <v>260</v>
      </c>
      <c r="Q37" s="50" t="s">
        <v>266</v>
      </c>
      <c r="R37" s="50">
        <v>1990</v>
      </c>
      <c r="S37" s="50">
        <v>108</v>
      </c>
      <c r="T37" s="50" t="s">
        <v>273</v>
      </c>
      <c r="U37" s="50" t="s">
        <v>277</v>
      </c>
      <c r="V37" s="50" t="s">
        <v>283</v>
      </c>
      <c r="W37" s="50">
        <v>71131</v>
      </c>
      <c r="X37" s="61"/>
      <c r="Y37" s="50"/>
      <c r="Z37" s="50" t="b">
        <v>0</v>
      </c>
      <c r="AA37" s="50"/>
      <c r="AB37" s="50"/>
      <c r="AC37" s="50"/>
      <c r="AD37" s="50" t="s">
        <v>294</v>
      </c>
      <c r="AE37" s="50" t="s">
        <v>297</v>
      </c>
      <c r="AF37" s="50" t="s">
        <v>301</v>
      </c>
      <c r="AG37" s="50"/>
      <c r="AH37" s="50">
        <v>43</v>
      </c>
      <c r="AI37" s="50"/>
      <c r="AJ37" s="49"/>
      <c r="AK37" s="49" t="s">
        <v>319</v>
      </c>
      <c r="AL37" s="50"/>
      <c r="AM37" s="50">
        <v>0</v>
      </c>
    </row>
    <row r="38" spans="2:39" s="59" customFormat="1" x14ac:dyDescent="0.25">
      <c r="B38" s="55" t="s">
        <v>192</v>
      </c>
      <c r="C38" s="50" t="s">
        <v>229</v>
      </c>
      <c r="D38" s="50" t="s">
        <v>234</v>
      </c>
      <c r="E38" s="50" t="s">
        <v>236</v>
      </c>
      <c r="F38" s="56">
        <v>42499</v>
      </c>
      <c r="G38" s="56">
        <v>42499</v>
      </c>
      <c r="H38" s="50">
        <v>1200</v>
      </c>
      <c r="I38" s="50" t="s">
        <v>241</v>
      </c>
      <c r="J38" s="56">
        <v>26041</v>
      </c>
      <c r="K38" s="57" t="s">
        <v>210</v>
      </c>
      <c r="L38" s="57"/>
      <c r="M38" s="50">
        <v>1</v>
      </c>
      <c r="N38" s="50">
        <v>0</v>
      </c>
      <c r="O38" s="50" t="s">
        <v>252</v>
      </c>
      <c r="P38" s="50" t="s">
        <v>260</v>
      </c>
      <c r="Q38" s="50" t="s">
        <v>266</v>
      </c>
      <c r="R38" s="50">
        <v>1990</v>
      </c>
      <c r="S38" s="50">
        <v>108</v>
      </c>
      <c r="T38" s="50" t="s">
        <v>273</v>
      </c>
      <c r="U38" s="50" t="s">
        <v>277</v>
      </c>
      <c r="V38" s="50" t="s">
        <v>283</v>
      </c>
      <c r="W38" s="50">
        <v>71131</v>
      </c>
      <c r="X38" s="61">
        <v>328.84</v>
      </c>
      <c r="Y38" s="50"/>
      <c r="Z38" s="50" t="b">
        <v>0</v>
      </c>
      <c r="AA38" s="50"/>
      <c r="AB38" s="50"/>
      <c r="AC38" s="50"/>
      <c r="AD38" s="50" t="s">
        <v>294</v>
      </c>
      <c r="AE38" s="50" t="s">
        <v>297</v>
      </c>
      <c r="AF38" s="50" t="s">
        <v>301</v>
      </c>
      <c r="AG38" s="50"/>
      <c r="AH38" s="50">
        <v>43</v>
      </c>
      <c r="AI38" s="50"/>
      <c r="AJ38" s="49"/>
      <c r="AK38" s="49" t="s">
        <v>319</v>
      </c>
      <c r="AL38" s="50"/>
      <c r="AM38" s="50">
        <v>1</v>
      </c>
    </row>
    <row r="39" spans="2:39" s="59" customFormat="1" x14ac:dyDescent="0.25">
      <c r="B39" s="55" t="s">
        <v>193</v>
      </c>
      <c r="C39" s="50" t="s">
        <v>229</v>
      </c>
      <c r="D39" s="50" t="s">
        <v>233</v>
      </c>
      <c r="E39" s="50" t="s">
        <v>236</v>
      </c>
      <c r="F39" s="56">
        <v>42104</v>
      </c>
      <c r="G39" s="56">
        <v>42104</v>
      </c>
      <c r="H39" s="50">
        <v>1200</v>
      </c>
      <c r="I39" s="50" t="s">
        <v>241</v>
      </c>
      <c r="J39" s="56">
        <v>26041</v>
      </c>
      <c r="K39" s="57" t="s">
        <v>202</v>
      </c>
      <c r="L39" s="57"/>
      <c r="M39" s="50">
        <v>1</v>
      </c>
      <c r="N39" s="50">
        <v>0</v>
      </c>
      <c r="O39" s="50" t="s">
        <v>252</v>
      </c>
      <c r="P39" s="50" t="s">
        <v>260</v>
      </c>
      <c r="Q39" s="50" t="s">
        <v>266</v>
      </c>
      <c r="R39" s="50">
        <v>1990</v>
      </c>
      <c r="S39" s="50">
        <v>108</v>
      </c>
      <c r="T39" s="50" t="s">
        <v>273</v>
      </c>
      <c r="U39" s="50" t="s">
        <v>277</v>
      </c>
      <c r="V39" s="50" t="s">
        <v>283</v>
      </c>
      <c r="W39" s="50">
        <v>71131</v>
      </c>
      <c r="X39" s="61"/>
      <c r="Y39" s="50"/>
      <c r="Z39" s="50" t="b">
        <v>0</v>
      </c>
      <c r="AA39" s="50"/>
      <c r="AB39" s="50"/>
      <c r="AC39" s="50"/>
      <c r="AD39" s="50" t="s">
        <v>294</v>
      </c>
      <c r="AE39" s="50" t="s">
        <v>297</v>
      </c>
      <c r="AF39" s="50" t="s">
        <v>301</v>
      </c>
      <c r="AG39" s="50"/>
      <c r="AH39" s="50">
        <v>43</v>
      </c>
      <c r="AI39" s="50"/>
      <c r="AJ39" s="49"/>
      <c r="AK39" s="49" t="s">
        <v>319</v>
      </c>
      <c r="AL39" s="50"/>
      <c r="AM39" s="50">
        <v>0</v>
      </c>
    </row>
    <row r="40" spans="2:39" s="59" customFormat="1" x14ac:dyDescent="0.25">
      <c r="B40" s="55" t="s">
        <v>194</v>
      </c>
      <c r="C40" s="50" t="s">
        <v>229</v>
      </c>
      <c r="D40" s="50" t="s">
        <v>234</v>
      </c>
      <c r="E40" s="50" t="s">
        <v>236</v>
      </c>
      <c r="F40" s="56">
        <v>42470</v>
      </c>
      <c r="G40" s="56">
        <v>42470</v>
      </c>
      <c r="H40" s="50">
        <v>1200</v>
      </c>
      <c r="I40" s="50" t="s">
        <v>241</v>
      </c>
      <c r="J40" s="56">
        <v>26041</v>
      </c>
      <c r="K40" s="57" t="s">
        <v>202</v>
      </c>
      <c r="L40" s="57"/>
      <c r="M40" s="50">
        <v>1</v>
      </c>
      <c r="N40" s="50">
        <v>0</v>
      </c>
      <c r="O40" s="50" t="s">
        <v>252</v>
      </c>
      <c r="P40" s="50" t="s">
        <v>260</v>
      </c>
      <c r="Q40" s="50" t="s">
        <v>266</v>
      </c>
      <c r="R40" s="50">
        <v>1990</v>
      </c>
      <c r="S40" s="50">
        <v>108</v>
      </c>
      <c r="T40" s="50" t="s">
        <v>273</v>
      </c>
      <c r="U40" s="50" t="s">
        <v>277</v>
      </c>
      <c r="V40" s="50" t="s">
        <v>283</v>
      </c>
      <c r="W40" s="50">
        <v>71131</v>
      </c>
      <c r="X40" s="61">
        <v>278.23</v>
      </c>
      <c r="Y40" s="50"/>
      <c r="Z40" s="50" t="b">
        <v>0</v>
      </c>
      <c r="AA40" s="50"/>
      <c r="AB40" s="50"/>
      <c r="AC40" s="50"/>
      <c r="AD40" s="50" t="s">
        <v>294</v>
      </c>
      <c r="AE40" s="50" t="s">
        <v>297</v>
      </c>
      <c r="AF40" s="50" t="s">
        <v>301</v>
      </c>
      <c r="AG40" s="50"/>
      <c r="AH40" s="50">
        <v>43</v>
      </c>
      <c r="AI40" s="50"/>
      <c r="AJ40" s="49"/>
      <c r="AK40" s="49" t="s">
        <v>319</v>
      </c>
      <c r="AL40" s="50"/>
      <c r="AM40" s="50">
        <v>1</v>
      </c>
    </row>
    <row r="41" spans="2:39" s="59" customFormat="1" ht="102" x14ac:dyDescent="0.25">
      <c r="B41" s="55" t="s">
        <v>195</v>
      </c>
      <c r="C41" s="50" t="s">
        <v>230</v>
      </c>
      <c r="D41" s="50" t="s">
        <v>233</v>
      </c>
      <c r="E41" s="50" t="s">
        <v>236</v>
      </c>
      <c r="F41" s="56">
        <v>41987</v>
      </c>
      <c r="G41" s="56">
        <v>41987</v>
      </c>
      <c r="H41" s="50">
        <v>550</v>
      </c>
      <c r="I41" s="50" t="s">
        <v>241</v>
      </c>
      <c r="J41" s="56">
        <v>26526</v>
      </c>
      <c r="K41" s="50" t="s">
        <v>205</v>
      </c>
      <c r="L41" s="57"/>
      <c r="M41" s="50">
        <v>12</v>
      </c>
      <c r="N41" s="50">
        <v>1</v>
      </c>
      <c r="O41" s="50" t="s">
        <v>253</v>
      </c>
      <c r="P41" s="50" t="s">
        <v>256</v>
      </c>
      <c r="Q41" s="50" t="s">
        <v>267</v>
      </c>
      <c r="R41" s="50">
        <v>1946</v>
      </c>
      <c r="S41" s="50">
        <v>393</v>
      </c>
      <c r="T41" s="50" t="s">
        <v>274</v>
      </c>
      <c r="U41" s="50" t="s">
        <v>279</v>
      </c>
      <c r="V41" s="50" t="s">
        <v>284</v>
      </c>
      <c r="W41" s="50">
        <v>3532510</v>
      </c>
      <c r="X41" s="61"/>
      <c r="Y41" s="50">
        <v>8000</v>
      </c>
      <c r="Z41" s="50" t="b">
        <v>1</v>
      </c>
      <c r="AA41" s="50">
        <v>6</v>
      </c>
      <c r="AB41" s="50" t="b">
        <v>1</v>
      </c>
      <c r="AC41" s="50" t="b">
        <v>1</v>
      </c>
      <c r="AD41" s="50" t="s">
        <v>294</v>
      </c>
      <c r="AE41" s="50" t="s">
        <v>297</v>
      </c>
      <c r="AF41" s="50" t="s">
        <v>297</v>
      </c>
      <c r="AG41" s="50"/>
      <c r="AH41" s="50">
        <v>42</v>
      </c>
      <c r="AI41" s="50"/>
      <c r="AJ41" s="49" t="s">
        <v>310</v>
      </c>
      <c r="AK41" s="49" t="s">
        <v>320</v>
      </c>
      <c r="AL41" s="50"/>
      <c r="AM41" s="50">
        <v>0</v>
      </c>
    </row>
    <row r="42" spans="2:39" s="59" customFormat="1" ht="102" x14ac:dyDescent="0.25">
      <c r="B42" s="55" t="s">
        <v>196</v>
      </c>
      <c r="C42" s="50" t="s">
        <v>230</v>
      </c>
      <c r="D42" s="50" t="s">
        <v>234</v>
      </c>
      <c r="E42" s="50" t="s">
        <v>236</v>
      </c>
      <c r="F42" s="56">
        <v>42352</v>
      </c>
      <c r="G42" s="56">
        <v>42352</v>
      </c>
      <c r="H42" s="50">
        <v>550</v>
      </c>
      <c r="I42" s="50" t="s">
        <v>241</v>
      </c>
      <c r="J42" s="56">
        <v>26526</v>
      </c>
      <c r="K42" s="50" t="s">
        <v>205</v>
      </c>
      <c r="L42" s="57"/>
      <c r="M42" s="50">
        <v>12</v>
      </c>
      <c r="N42" s="50">
        <v>1</v>
      </c>
      <c r="O42" s="50" t="s">
        <v>253</v>
      </c>
      <c r="P42" s="50" t="s">
        <v>256</v>
      </c>
      <c r="Q42" s="50" t="s">
        <v>267</v>
      </c>
      <c r="R42" s="50">
        <v>1946</v>
      </c>
      <c r="S42" s="50">
        <v>393</v>
      </c>
      <c r="T42" s="50" t="s">
        <v>274</v>
      </c>
      <c r="U42" s="50" t="s">
        <v>279</v>
      </c>
      <c r="V42" s="50" t="s">
        <v>284</v>
      </c>
      <c r="W42" s="50">
        <v>3532510</v>
      </c>
      <c r="X42" s="61">
        <v>3725.68</v>
      </c>
      <c r="Y42" s="50">
        <v>8000</v>
      </c>
      <c r="Z42" s="50" t="b">
        <v>1</v>
      </c>
      <c r="AA42" s="50">
        <v>6</v>
      </c>
      <c r="AB42" s="50" t="b">
        <v>1</v>
      </c>
      <c r="AC42" s="50" t="b">
        <v>1</v>
      </c>
      <c r="AD42" s="50" t="s">
        <v>294</v>
      </c>
      <c r="AE42" s="50" t="s">
        <v>297</v>
      </c>
      <c r="AF42" s="50" t="s">
        <v>297</v>
      </c>
      <c r="AG42" s="50"/>
      <c r="AH42" s="50">
        <v>42</v>
      </c>
      <c r="AI42" s="50"/>
      <c r="AJ42" s="49" t="s">
        <v>310</v>
      </c>
      <c r="AK42" s="49" t="s">
        <v>320</v>
      </c>
      <c r="AL42" s="50"/>
      <c r="AM42" s="50">
        <v>1</v>
      </c>
    </row>
    <row r="46" spans="2:39" x14ac:dyDescent="0.25">
      <c r="B46" s="130" t="s">
        <v>491</v>
      </c>
      <c r="C46" s="130"/>
      <c r="D46" s="129"/>
      <c r="F46" s="126" t="s">
        <v>487</v>
      </c>
      <c r="G46" s="126"/>
      <c r="H46" s="126"/>
    </row>
    <row r="47" spans="2:39" x14ac:dyDescent="0.25">
      <c r="B47" s="34" t="s">
        <v>327</v>
      </c>
      <c r="C47" s="35" t="s">
        <v>327</v>
      </c>
      <c r="D47" s="34"/>
      <c r="F47" s="39" t="s">
        <v>334</v>
      </c>
      <c r="G47" s="39" t="s">
        <v>335</v>
      </c>
      <c r="H47" s="39" t="s">
        <v>286</v>
      </c>
    </row>
    <row r="48" spans="2:39" x14ac:dyDescent="0.25">
      <c r="B48" s="34" t="s">
        <v>328</v>
      </c>
      <c r="C48" s="36" t="s">
        <v>328</v>
      </c>
      <c r="D48" s="34"/>
      <c r="F48" s="37" t="s">
        <v>334</v>
      </c>
      <c r="G48" s="37" t="s">
        <v>335</v>
      </c>
      <c r="H48" s="37" t="s">
        <v>286</v>
      </c>
    </row>
    <row r="49" spans="2:8" x14ac:dyDescent="0.25">
      <c r="B49" s="37" t="s">
        <v>329</v>
      </c>
      <c r="C49" s="38" t="s">
        <v>329</v>
      </c>
      <c r="D49" s="37"/>
      <c r="F49" s="34" t="s">
        <v>338</v>
      </c>
      <c r="G49" s="34" t="s">
        <v>339</v>
      </c>
      <c r="H49" s="34">
        <v>51264</v>
      </c>
    </row>
    <row r="50" spans="2:8" x14ac:dyDescent="0.25">
      <c r="F50" s="37" t="s">
        <v>342</v>
      </c>
      <c r="G50" s="37" t="s">
        <v>343</v>
      </c>
      <c r="H50" s="37">
        <v>15180</v>
      </c>
    </row>
    <row r="51" spans="2:8" x14ac:dyDescent="0.25">
      <c r="F51" s="34" t="s">
        <v>318</v>
      </c>
      <c r="G51" s="34" t="s">
        <v>339</v>
      </c>
      <c r="H51" s="34">
        <v>7000</v>
      </c>
    </row>
    <row r="52" spans="2:8" x14ac:dyDescent="0.25">
      <c r="F52" s="34" t="s">
        <v>319</v>
      </c>
      <c r="G52" s="34" t="s">
        <v>343</v>
      </c>
      <c r="H52" s="34">
        <v>13000</v>
      </c>
    </row>
    <row r="53" spans="2:8" x14ac:dyDescent="0.25">
      <c r="B53" s="126" t="s">
        <v>330</v>
      </c>
      <c r="C53" s="126"/>
      <c r="D53" s="126"/>
      <c r="F53" s="34" t="s">
        <v>349</v>
      </c>
      <c r="G53" s="34" t="s">
        <v>339</v>
      </c>
      <c r="H53" s="34">
        <v>11060</v>
      </c>
    </row>
    <row r="54" spans="2:8" x14ac:dyDescent="0.25">
      <c r="B54" s="39" t="s">
        <v>332</v>
      </c>
      <c r="C54" s="39" t="s">
        <v>333</v>
      </c>
      <c r="D54" s="39" t="s">
        <v>286</v>
      </c>
      <c r="F54" s="34" t="s">
        <v>352</v>
      </c>
      <c r="G54" s="34" t="s">
        <v>343</v>
      </c>
      <c r="H54" s="34">
        <v>49578</v>
      </c>
    </row>
    <row r="55" spans="2:8" x14ac:dyDescent="0.25">
      <c r="B55" s="37" t="s">
        <v>332</v>
      </c>
      <c r="C55" s="37" t="s">
        <v>333</v>
      </c>
      <c r="D55" s="37" t="s">
        <v>286</v>
      </c>
      <c r="F55" s="34" t="s">
        <v>354</v>
      </c>
      <c r="G55" s="34" t="s">
        <v>339</v>
      </c>
      <c r="H55" s="34">
        <v>64700</v>
      </c>
    </row>
    <row r="56" spans="2:8" x14ac:dyDescent="0.25">
      <c r="B56" s="34" t="s">
        <v>336</v>
      </c>
      <c r="C56" s="34" t="s">
        <v>337</v>
      </c>
      <c r="D56" s="34">
        <v>2000</v>
      </c>
      <c r="F56" s="34" t="s">
        <v>356</v>
      </c>
      <c r="G56" s="34" t="s">
        <v>343</v>
      </c>
      <c r="H56" s="34">
        <v>1300</v>
      </c>
    </row>
    <row r="57" spans="2:8" x14ac:dyDescent="0.25">
      <c r="B57" s="34" t="s">
        <v>340</v>
      </c>
      <c r="C57" s="34" t="s">
        <v>341</v>
      </c>
      <c r="D57" s="34">
        <v>15000</v>
      </c>
      <c r="F57" s="34" t="s">
        <v>322</v>
      </c>
      <c r="G57" s="34" t="s">
        <v>339</v>
      </c>
      <c r="H57" s="34">
        <v>9800</v>
      </c>
    </row>
    <row r="58" spans="2:8" x14ac:dyDescent="0.25">
      <c r="B58" s="34" t="s">
        <v>344</v>
      </c>
      <c r="C58" s="34" t="s">
        <v>345</v>
      </c>
      <c r="D58" s="34">
        <v>45000</v>
      </c>
      <c r="F58" s="34" t="s">
        <v>361</v>
      </c>
      <c r="G58" s="34" t="s">
        <v>339</v>
      </c>
      <c r="H58" s="34">
        <v>57865</v>
      </c>
    </row>
    <row r="59" spans="2:8" x14ac:dyDescent="0.25">
      <c r="B59" s="34" t="s">
        <v>346</v>
      </c>
      <c r="C59" s="34" t="s">
        <v>347</v>
      </c>
      <c r="D59" s="34">
        <v>8000</v>
      </c>
      <c r="F59" s="34" t="s">
        <v>364</v>
      </c>
      <c r="G59" s="34" t="s">
        <v>343</v>
      </c>
      <c r="H59" s="34">
        <v>14938</v>
      </c>
    </row>
    <row r="60" spans="2:8" x14ac:dyDescent="0.25">
      <c r="B60" s="34" t="s">
        <v>348</v>
      </c>
      <c r="C60" s="34" t="s">
        <v>337</v>
      </c>
      <c r="D60" s="34">
        <v>800</v>
      </c>
      <c r="F60" s="37" t="s">
        <v>324</v>
      </c>
      <c r="G60" s="37" t="s">
        <v>339</v>
      </c>
      <c r="H60" s="37">
        <v>44976</v>
      </c>
    </row>
    <row r="61" spans="2:8" x14ac:dyDescent="0.25">
      <c r="B61" s="37" t="s">
        <v>350</v>
      </c>
      <c r="C61" s="37" t="s">
        <v>351</v>
      </c>
      <c r="D61" s="37">
        <v>5500</v>
      </c>
    </row>
    <row r="62" spans="2:8" x14ac:dyDescent="0.25">
      <c r="B62" s="34" t="s">
        <v>353</v>
      </c>
      <c r="C62" s="34" t="s">
        <v>337</v>
      </c>
      <c r="D62" s="34">
        <v>18000</v>
      </c>
    </row>
    <row r="63" spans="2:8" x14ac:dyDescent="0.25">
      <c r="B63" s="34" t="s">
        <v>355</v>
      </c>
      <c r="C63" s="34" t="s">
        <v>341</v>
      </c>
      <c r="D63" s="34">
        <v>63000</v>
      </c>
    </row>
    <row r="64" spans="2:8" x14ac:dyDescent="0.25">
      <c r="B64" s="34" t="s">
        <v>357</v>
      </c>
      <c r="C64" s="34" t="s">
        <v>358</v>
      </c>
      <c r="D64" s="34">
        <v>33570</v>
      </c>
    </row>
    <row r="65" spans="2:4" x14ac:dyDescent="0.25">
      <c r="B65" s="34" t="s">
        <v>359</v>
      </c>
      <c r="C65" s="34" t="s">
        <v>360</v>
      </c>
      <c r="D65" s="34">
        <v>71000</v>
      </c>
    </row>
    <row r="66" spans="2:4" x14ac:dyDescent="0.25">
      <c r="B66" s="34" t="s">
        <v>362</v>
      </c>
      <c r="C66" s="34" t="s">
        <v>363</v>
      </c>
      <c r="D66" s="34">
        <v>1800</v>
      </c>
    </row>
    <row r="67" spans="2:4" x14ac:dyDescent="0.25">
      <c r="B67" s="34" t="s">
        <v>365</v>
      </c>
      <c r="C67" s="34" t="s">
        <v>351</v>
      </c>
      <c r="D67" s="34">
        <v>3000</v>
      </c>
    </row>
    <row r="68" spans="2:4" x14ac:dyDescent="0.25">
      <c r="B68" s="34" t="s">
        <v>366</v>
      </c>
      <c r="C68" s="34" t="s">
        <v>358</v>
      </c>
      <c r="D68" s="34">
        <v>4000</v>
      </c>
    </row>
    <row r="69" spans="2:4" x14ac:dyDescent="0.25">
      <c r="B69" s="34" t="s">
        <v>367</v>
      </c>
      <c r="C69" s="34" t="s">
        <v>337</v>
      </c>
      <c r="D69" s="34">
        <v>2000</v>
      </c>
    </row>
    <row r="70" spans="2:4" x14ac:dyDescent="0.25">
      <c r="B70" s="34" t="s">
        <v>368</v>
      </c>
      <c r="C70" s="34" t="s">
        <v>345</v>
      </c>
      <c r="D70" s="34">
        <v>44000</v>
      </c>
    </row>
    <row r="71" spans="2:4" x14ac:dyDescent="0.25">
      <c r="B71" s="34" t="s">
        <v>369</v>
      </c>
      <c r="C71" s="34" t="s">
        <v>358</v>
      </c>
      <c r="D71" s="34">
        <v>6000</v>
      </c>
    </row>
    <row r="72" spans="2:4" x14ac:dyDescent="0.25">
      <c r="B72" s="34" t="s">
        <v>370</v>
      </c>
      <c r="C72" s="34" t="s">
        <v>351</v>
      </c>
      <c r="D72" s="34">
        <v>5299</v>
      </c>
    </row>
    <row r="73" spans="2:4" x14ac:dyDescent="0.25">
      <c r="B73" s="34" t="s">
        <v>371</v>
      </c>
      <c r="C73" s="34" t="s">
        <v>337</v>
      </c>
      <c r="D73" s="34">
        <v>19848</v>
      </c>
    </row>
    <row r="74" spans="2:4" x14ac:dyDescent="0.25">
      <c r="B74" s="34" t="s">
        <v>372</v>
      </c>
      <c r="C74" s="34" t="s">
        <v>347</v>
      </c>
      <c r="D74" s="34">
        <v>12948</v>
      </c>
    </row>
    <row r="75" spans="2:4" x14ac:dyDescent="0.25">
      <c r="B75" s="34" t="s">
        <v>373</v>
      </c>
      <c r="C75" s="34" t="s">
        <v>337</v>
      </c>
      <c r="D75" s="34">
        <v>2717</v>
      </c>
    </row>
    <row r="76" spans="2:4" x14ac:dyDescent="0.25">
      <c r="B76" s="34" t="s">
        <v>374</v>
      </c>
      <c r="C76" s="34" t="s">
        <v>345</v>
      </c>
      <c r="D76" s="34">
        <v>17521</v>
      </c>
    </row>
    <row r="77" spans="2:4" x14ac:dyDescent="0.25">
      <c r="B77" s="34" t="s">
        <v>375</v>
      </c>
      <c r="C77" s="34" t="s">
        <v>337</v>
      </c>
      <c r="D77" s="34">
        <v>3040</v>
      </c>
    </row>
    <row r="78" spans="2:4" x14ac:dyDescent="0.25">
      <c r="B78" s="34" t="s">
        <v>376</v>
      </c>
      <c r="C78" s="34" t="s">
        <v>341</v>
      </c>
      <c r="D78" s="34">
        <v>76910</v>
      </c>
    </row>
    <row r="79" spans="2:4" x14ac:dyDescent="0.25">
      <c r="B79" s="34" t="s">
        <v>377</v>
      </c>
      <c r="C79" s="34" t="s">
        <v>347</v>
      </c>
      <c r="D79" s="34">
        <v>11566</v>
      </c>
    </row>
    <row r="80" spans="2:4" x14ac:dyDescent="0.25">
      <c r="B80" s="37" t="s">
        <v>378</v>
      </c>
      <c r="C80" s="37" t="s">
        <v>341</v>
      </c>
      <c r="D80" s="37">
        <v>54512</v>
      </c>
    </row>
  </sheetData>
  <mergeCells count="4">
    <mergeCell ref="B53:D53"/>
    <mergeCell ref="F46:H46"/>
    <mergeCell ref="B3:AM3"/>
    <mergeCell ref="B46:C4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16" sqref="C16"/>
    </sheetView>
  </sheetViews>
  <sheetFormatPr defaultRowHeight="15" x14ac:dyDescent="0.25"/>
  <cols>
    <col min="2" max="2" customWidth="true" width="33.0" collapsed="true"/>
    <col min="3" max="3" customWidth="true" width="32.140625" collapsed="true"/>
  </cols>
  <sheetData>
    <row r="2" spans="2:3" x14ac:dyDescent="0.25">
      <c r="B2" s="128" t="s">
        <v>379</v>
      </c>
      <c r="C2" s="128"/>
    </row>
    <row r="3" spans="2:3" x14ac:dyDescent="0.25">
      <c r="B3" s="40" t="s">
        <v>380</v>
      </c>
      <c r="C3" s="40" t="s">
        <v>381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G24" sqref="G24"/>
    </sheetView>
  </sheetViews>
  <sheetFormatPr defaultRowHeight="15" x14ac:dyDescent="0.25"/>
  <cols>
    <col min="1" max="1" customWidth="true" width="5.140625" collapsed="true"/>
    <col min="2" max="2" bestFit="true" customWidth="true" width="4.85546875" collapsed="true"/>
  </cols>
  <sheetData>
    <row r="2" spans="2:3" x14ac:dyDescent="0.25">
      <c r="B2" s="22" t="s">
        <v>438</v>
      </c>
    </row>
    <row r="3" spans="2:3" x14ac:dyDescent="0.25">
      <c r="B3" t="s">
        <v>439</v>
      </c>
      <c r="C3" t="s">
        <v>97</v>
      </c>
    </row>
    <row r="4" spans="2:3" x14ac:dyDescent="0.25">
      <c r="B4">
        <v>1</v>
      </c>
      <c r="C4" t="s">
        <v>440</v>
      </c>
    </row>
    <row r="5" spans="2:3" x14ac:dyDescent="0.25">
      <c r="B5">
        <v>2</v>
      </c>
      <c r="C5" t="s">
        <v>441</v>
      </c>
    </row>
    <row r="6" spans="2:3" x14ac:dyDescent="0.25">
      <c r="B6">
        <v>3</v>
      </c>
      <c r="C6" t="s">
        <v>442</v>
      </c>
    </row>
    <row r="7" spans="2:3" x14ac:dyDescent="0.25">
      <c r="B7">
        <v>4</v>
      </c>
      <c r="C7" t="s">
        <v>443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C3" sqref="C3"/>
    </sheetView>
  </sheetViews>
  <sheetFormatPr defaultRowHeight="15" x14ac:dyDescent="0.25"/>
  <cols>
    <col min="1" max="1" customWidth="true" width="26.5703125" collapsed="true"/>
    <col min="2" max="2" customWidth="true" width="18.140625" collapsed="true"/>
    <col min="3" max="3" customWidth="true" width="16.42578125" collapsed="true"/>
    <col min="4" max="4" customWidth="true" width="15.7109375" collapsed="true"/>
  </cols>
  <sheetData>
    <row r="2" spans="1:3" ht="15.75" thickBot="1" x14ac:dyDescent="0.3">
      <c r="A2" s="7"/>
      <c r="B2" s="6"/>
      <c r="C2" s="6"/>
    </row>
    <row r="3" spans="1:3" ht="15.75" thickBot="1" x14ac:dyDescent="0.3">
      <c r="A3" s="9"/>
      <c r="B3" s="8" t="s">
        <v>98</v>
      </c>
      <c r="C3" s="10" t="s">
        <v>189</v>
      </c>
    </row>
    <row r="4" spans="1:3" x14ac:dyDescent="0.25">
      <c r="A4" s="7"/>
      <c r="B4" s="7"/>
      <c r="C4" s="7"/>
    </row>
    <row r="7" spans="1:3" x14ac:dyDescent="0.25">
      <c r="A7" s="2" t="s">
        <v>1</v>
      </c>
      <c r="B7" s="11" t="str">
        <f>VLOOKUP($C$3,House!$A$2:$DK$37,4,FALSE)</f>
        <v>NEW BUSINESS</v>
      </c>
    </row>
    <row r="9" spans="1:3" x14ac:dyDescent="0.25">
      <c r="A9" s="3" t="s">
        <v>96</v>
      </c>
      <c r="B9" s="11">
        <f>VLOOKUP($C$3,House!$A$2:$DK$37,41,FALSE)</f>
        <v>0</v>
      </c>
    </row>
    <row r="12" spans="1:3" x14ac:dyDescent="0.25">
      <c r="A12" t="s">
        <v>387</v>
      </c>
      <c r="B12" s="20" t="str">
        <f>IF(VLOOKUP(PreConditions!$C$3,House!$A$2:$DK$137,58,FALSE)=0,"",VLOOKUP(PreConditions!$C$3,House!$A$2:$DK$37,58,FALSE))</f>
        <v/>
      </c>
    </row>
    <row r="16" spans="1:3" x14ac:dyDescent="0.25">
      <c r="A16" s="2" t="s">
        <v>419</v>
      </c>
      <c r="B16" s="11">
        <f>VLOOKUP($C$3,House!$A$2:$DK$37,73,FALSE)</f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House!$A$2:$A$37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5" sqref="E25"/>
    </sheetView>
  </sheetViews>
  <sheetFormatPr defaultRowHeight="15" x14ac:dyDescent="0.25"/>
  <cols>
    <col min="1" max="1" customWidth="true" width="27.42578125" collapsed="true"/>
    <col min="2" max="2" customWidth="true" width="26.42578125" collapsed="true"/>
  </cols>
  <sheetData>
    <row r="1" spans="1:4" x14ac:dyDescent="0.25">
      <c r="A1" s="5"/>
    </row>
    <row r="2" spans="1:4" x14ac:dyDescent="0.25">
      <c r="A2" s="3" t="s">
        <v>87</v>
      </c>
      <c r="B2" s="20">
        <f>VLOOKUP(PreConditions!$C$3,House!$A$2:$DK$37,8,FALSE)</f>
        <v>29553</v>
      </c>
      <c r="D2" t="s">
        <v>104</v>
      </c>
    </row>
    <row r="3" spans="1:4" x14ac:dyDescent="0.25">
      <c r="A3" s="2" t="s">
        <v>53</v>
      </c>
      <c r="B3" s="11" t="str">
        <f>VLOOKUP(PreConditions!$C$3,House!$A$2:$DK$37,2,FALSE)</f>
        <v>House</v>
      </c>
    </row>
    <row r="4" spans="1:4" x14ac:dyDescent="0.25">
      <c r="A4" s="2" t="s">
        <v>105</v>
      </c>
      <c r="B4" s="11" t="s">
        <v>106</v>
      </c>
    </row>
    <row r="5" spans="1:4" x14ac:dyDescent="0.25">
      <c r="A5" s="2" t="s">
        <v>64</v>
      </c>
      <c r="B5" s="20">
        <f>VLOOKUP(PreConditions!$C$3,House!$A$2:$DK$37,5,FALSE)</f>
        <v>41957</v>
      </c>
    </row>
    <row r="7" spans="1:4" x14ac:dyDescent="0.25">
      <c r="A7" s="2"/>
    </row>
    <row r="8" spans="1:4" x14ac:dyDescent="0.25">
      <c r="A8" s="12" t="s">
        <v>66</v>
      </c>
    </row>
    <row r="9" spans="1:4" x14ac:dyDescent="0.25">
      <c r="A9" s="2" t="s">
        <v>65</v>
      </c>
      <c r="B9" s="11" t="str">
        <f>VLOOKUP(PreConditions!$C$3,House!$A$2:$DK$37,47,FALSE)</f>
        <v>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F11" sqref="F11"/>
    </sheetView>
  </sheetViews>
  <sheetFormatPr defaultRowHeight="15" x14ac:dyDescent="0.25"/>
  <cols>
    <col min="1" max="1" customWidth="true" width="31.7109375" collapsed="true"/>
    <col min="2" max="2" customWidth="true" width="24.7109375" collapsed="true"/>
  </cols>
  <sheetData>
    <row r="1" spans="1:2" x14ac:dyDescent="0.25">
      <c r="A1" s="4" t="s">
        <v>55</v>
      </c>
    </row>
    <row r="3" spans="1:2" x14ac:dyDescent="0.25">
      <c r="A3" s="12" t="s">
        <v>56</v>
      </c>
    </row>
    <row r="4" spans="1:2" x14ac:dyDescent="0.25">
      <c r="A4" s="2" t="s">
        <v>159</v>
      </c>
      <c r="B4" s="16" t="str">
        <f>IF(VLOOKUP(PreConditions!$C$3,House!$A$2:$DK$37,56,FALSE)=0,"",VLOOKUP(PreConditions!$C$3,House!$A$2:$DK$37,56,FALSE))</f>
        <v/>
      </c>
    </row>
    <row r="5" spans="1:2" x14ac:dyDescent="0.25">
      <c r="A5" s="2" t="s">
        <v>160</v>
      </c>
      <c r="B5" s="16" t="str">
        <f>IF(VLOOKUP(PreConditions!$C$3,House!$A$2:$DK$37,57,FALSE)=0,"",VLOOKUP(PreConditions!$C$3,House!$A$2:$DK$37,57,FALSE))</f>
        <v>Napier</v>
      </c>
    </row>
    <row r="6" spans="1:2" x14ac:dyDescent="0.25">
      <c r="A6" s="2" t="s">
        <v>161</v>
      </c>
      <c r="B6" s="16" t="str">
        <f>IF(VLOOKUP(PreConditions!$C$3,House!$A$2:$DK$37,10,FALSE)=0,"",VLOOKUP(PreConditions!$C$3,House!$A$2:$DK$137,10,FALSE))</f>
        <v/>
      </c>
    </row>
    <row r="7" spans="1:2" x14ac:dyDescent="0.25">
      <c r="A7" s="3"/>
    </row>
    <row r="8" spans="1:2" x14ac:dyDescent="0.25">
      <c r="A8" s="12" t="s">
        <v>57</v>
      </c>
    </row>
    <row r="9" spans="1:2" x14ac:dyDescent="0.25">
      <c r="A9" s="2" t="s">
        <v>58</v>
      </c>
      <c r="B9" s="11">
        <f>VLOOKUP(PreConditions!$C$3,House!$A$2:$DK$37,16,FALSE)</f>
        <v>1946</v>
      </c>
    </row>
    <row r="10" spans="1:2" x14ac:dyDescent="0.25">
      <c r="A10" s="2" t="s">
        <v>59</v>
      </c>
      <c r="B10" s="11">
        <f>VLOOKUP(PreConditions!$C$3,House!$A$2:$DK$137,12,FALSE)</f>
        <v>2</v>
      </c>
    </row>
    <row r="11" spans="1:2" ht="24" x14ac:dyDescent="0.25">
      <c r="A11" s="14" t="s">
        <v>60</v>
      </c>
      <c r="B11" s="11">
        <f>VLOOKUP(PreConditions!$C$3,House!$A$2:$DK$37,11,FALSE)</f>
        <v>10</v>
      </c>
    </row>
    <row r="12" spans="1:2" ht="35.25" x14ac:dyDescent="0.25">
      <c r="A12" s="14" t="s">
        <v>61</v>
      </c>
      <c r="B12" s="18">
        <f>VLOOKUP(PreConditions!$C$3,House!$A$2:$DK$37,17,FALSE)</f>
        <v>254</v>
      </c>
    </row>
    <row r="13" spans="1:2" ht="27" customHeight="1" x14ac:dyDescent="0.25">
      <c r="A13" s="14" t="s">
        <v>62</v>
      </c>
      <c r="B13" s="11">
        <f>VLOOKUP(PreConditions!$C$3,House!$A$2:$DK$37,18,FALSE)</f>
        <v>139</v>
      </c>
    </row>
    <row r="14" spans="1:2" x14ac:dyDescent="0.25">
      <c r="A14" s="3"/>
    </row>
    <row r="15" spans="1:2" x14ac:dyDescent="0.25">
      <c r="A15" s="12" t="s">
        <v>63</v>
      </c>
    </row>
    <row r="16" spans="1:2" x14ac:dyDescent="0.25">
      <c r="A16" s="2" t="s">
        <v>16</v>
      </c>
      <c r="B16" s="11" t="str">
        <f>VLOOKUP(PreConditions!$C$3,House!$A$2:$DK$37,19,FALSE)</f>
        <v>Boarding House</v>
      </c>
    </row>
    <row r="17" spans="1:2" x14ac:dyDescent="0.25">
      <c r="A17" s="2" t="s">
        <v>10</v>
      </c>
      <c r="B17" s="11" t="str">
        <f>VLOOKUP(PreConditions!$C$3,House!$A$2:$DK$37,13,FALSE)</f>
        <v>Mud Brick</v>
      </c>
    </row>
    <row r="18" spans="1:2" x14ac:dyDescent="0.25">
      <c r="A18" s="2" t="s">
        <v>11</v>
      </c>
      <c r="B18" s="11" t="str">
        <f>VLOOKUP(PreConditions!$C$3,House!$A$2:$DK$37,14,FALSE)</f>
        <v>Other</v>
      </c>
    </row>
    <row r="19" spans="1:2" x14ac:dyDescent="0.25">
      <c r="A19" s="2" t="s">
        <v>67</v>
      </c>
      <c r="B19" s="11" t="str">
        <f>VLOOKUP(PreConditions!$C$3,House!$A$2:$DK$137,20,FALSE)</f>
        <v>Quality</v>
      </c>
    </row>
    <row r="20" spans="1:2" x14ac:dyDescent="0.25">
      <c r="A20" s="2" t="s">
        <v>68</v>
      </c>
      <c r="B20" s="11" t="str">
        <f>VLOOKUP(PreConditions!$C$3,House!$A$2:$DK$37,15,FALSE)</f>
        <v>Severe</v>
      </c>
    </row>
    <row r="21" spans="1:2" x14ac:dyDescent="0.25">
      <c r="A21" s="3"/>
    </row>
    <row r="22" spans="1:2" x14ac:dyDescent="0.25">
      <c r="A22" s="3"/>
    </row>
    <row r="23" spans="1:2" x14ac:dyDescent="0.25">
      <c r="A23" s="13" t="s">
        <v>69</v>
      </c>
    </row>
    <row r="24" spans="1:2" x14ac:dyDescent="0.25">
      <c r="A24" s="3"/>
    </row>
    <row r="25" spans="1:2" x14ac:dyDescent="0.25">
      <c r="A25" s="12" t="s">
        <v>70</v>
      </c>
    </row>
    <row r="26" spans="1:2" x14ac:dyDescent="0.25">
      <c r="A26" s="2" t="s">
        <v>18</v>
      </c>
      <c r="B26" s="11" t="str">
        <f>VLOOKUP(PreConditions!$C$3,House!$A$2:$DK$37,21,FALSE)</f>
        <v>Let to Tenants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7" workbookViewId="0">
      <selection activeCell="B14" sqref="B14"/>
    </sheetView>
  </sheetViews>
  <sheetFormatPr defaultRowHeight="15" x14ac:dyDescent="0.25"/>
  <cols>
    <col min="1" max="1" customWidth="true" width="44.7109375" collapsed="true"/>
    <col min="2" max="2" customWidth="true" width="27.42578125" collapsed="true"/>
    <col min="3" max="3" customWidth="true" width="21.7109375" collapsed="true"/>
    <col min="4" max="4" customWidth="true" width="20.28515625" collapsed="true"/>
    <col min="5" max="5" customWidth="true" width="18.0" collapsed="true"/>
    <col min="6" max="6" customWidth="true" width="18.28515625" collapsed="true"/>
    <col min="7" max="7" customWidth="true" width="15.5703125" collapsed="true"/>
    <col min="8" max="8" customWidth="true" width="20.7109375" collapsed="true"/>
    <col min="9" max="9" customWidth="true" width="20.5703125" collapsed="true"/>
  </cols>
  <sheetData>
    <row r="2" spans="1:9" x14ac:dyDescent="0.25">
      <c r="A2" s="4" t="s">
        <v>71</v>
      </c>
    </row>
    <row r="4" spans="1:9" x14ac:dyDescent="0.25">
      <c r="A4" s="2" t="s">
        <v>72</v>
      </c>
      <c r="B4" s="11" t="str">
        <f>VLOOKUP(PreConditions!$C$3,House!$A$2:$DK$37,53,FALSE)</f>
        <v>Replacement</v>
      </c>
    </row>
    <row r="5" spans="1:9" x14ac:dyDescent="0.25">
      <c r="A5" s="2" t="s">
        <v>0</v>
      </c>
      <c r="B5" s="25" t="str">
        <f>VLOOKUP(PreConditions!$C$3,House!$A$2:$DK$37,3,FALSE)</f>
        <v>Premier Rental Property</v>
      </c>
    </row>
    <row r="6" spans="1:9" x14ac:dyDescent="0.25">
      <c r="A6" s="2" t="s">
        <v>73</v>
      </c>
      <c r="B6" s="11">
        <f>VLOOKUP(PreConditions!$C$3,House!$A$2:$DK$37,22,FALSE)</f>
        <v>4000000</v>
      </c>
    </row>
    <row r="7" spans="1:9" x14ac:dyDescent="0.25">
      <c r="A7" s="3"/>
    </row>
    <row r="8" spans="1:9" x14ac:dyDescent="0.25">
      <c r="A8" s="3"/>
    </row>
    <row r="9" spans="1:9" x14ac:dyDescent="0.25">
      <c r="A9" s="12" t="s">
        <v>74</v>
      </c>
    </row>
    <row r="10" spans="1:9" ht="48.75" customHeight="1" x14ac:dyDescent="0.25">
      <c r="A10" s="14" t="s">
        <v>75</v>
      </c>
      <c r="B10" s="18" t="str">
        <f>VLOOKUP(PreConditions!$C$3,House!$A$2:$DK$37,50,FALSE)</f>
        <v>Y</v>
      </c>
    </row>
    <row r="11" spans="1:9" x14ac:dyDescent="0.25">
      <c r="A11" s="3"/>
    </row>
    <row r="12" spans="1:9" x14ac:dyDescent="0.25">
      <c r="A12" s="3"/>
    </row>
    <row r="13" spans="1:9" x14ac:dyDescent="0.25">
      <c r="A13" s="2" t="s">
        <v>76</v>
      </c>
      <c r="B13" s="16" t="str">
        <f>VLOOKUP(PreConditions!$C$3,House!$A$2:$DK$37,25,FALSE)</f>
        <v>Bridge</v>
      </c>
      <c r="C13" s="16" t="str">
        <f>VLOOKUP(PreConditions!$C$3,House!$A$2:$DK$37,27,FALSE)</f>
        <v>Culvert</v>
      </c>
      <c r="D13" s="16" t="str">
        <f>VLOOKUP(PreConditions!$C$3,House!$A$2:$DK$37,29,FALSE)</f>
        <v>Private Utility Plant</v>
      </c>
      <c r="E13" s="16" t="str">
        <f>VLOOKUP(PreConditions!$C$3,House!$A$2:$DK$37,31,FALSE)</f>
        <v>Submersible Pump</v>
      </c>
      <c r="F13" s="16" t="str">
        <f>VLOOKUP(PreConditions!$C$3,House!$A$2:$DK$37,33,FALSE)</f>
        <v>Permanent Ford</v>
      </c>
      <c r="G13" s="16" t="str">
        <f>VLOOKUP(PreConditions!$C$3,House!$A$2:$DK$37,35,FALSE)</f>
        <v>Permanent Dam</v>
      </c>
      <c r="H13" s="16" t="str">
        <f>VLOOKUP(PreConditions!$C$3,House!$A$2:$DK$37,37,FALSE)</f>
        <v>Private Utility Plant</v>
      </c>
      <c r="I13" s="16" t="str">
        <f>VLOOKUP(PreConditions!$C$3,House!$A$2:$DK$37,39,FALSE)</f>
        <v>Bridge</v>
      </c>
    </row>
    <row r="14" spans="1:9" x14ac:dyDescent="0.25">
      <c r="A14" s="2" t="s">
        <v>77</v>
      </c>
      <c r="B14" s="16">
        <f>IF(VLOOKUP(PreConditions!$C$3,House!$A$2:$DK$137,26,FALSE)=0,"",VLOOKUP(PreConditions!$C$3,House!$A$2:$DK$37,26,FALSE))</f>
        <v>18000</v>
      </c>
      <c r="C14" s="16">
        <f>IF(VLOOKUP(PreConditions!$C$3,House!$A$2:$DK$37,28,FALSE)=0,"",VLOOKUP(PreConditions!$C$3,House!$A$2:$DK$37,28,FALSE))</f>
        <v>63000</v>
      </c>
      <c r="D14" s="16">
        <f>IF(VLOOKUP(PreConditions!$C$3,House!$A$2:$DK$37,30,FALSE)=0,"",VLOOKUP(PreConditions!$C$3,House!$A$2:$DK$37,30,FALSE))</f>
        <v>33570</v>
      </c>
      <c r="E14" s="16">
        <f>IF(VLOOKUP(PreConditions!$C$3,House!$A$2:$DK$37,32,FALSE)=0,"",VLOOKUP(PreConditions!$C$3,House!$A$2:$DK$37,32,FALSE))</f>
        <v>71000</v>
      </c>
      <c r="F14" s="16">
        <f>IF(VLOOKUP(PreConditions!$C$3,House!$A$2:$DK$37,34,FALSE)=0,"",VLOOKUP(PreConditions!$C$3,House!$A$2:$DK$37,34,FALSE))</f>
        <v>1800</v>
      </c>
      <c r="G14" s="16">
        <f>IF(VLOOKUP(PreConditions!$C$3,House!$A$2:$DK$37,36,FALSE)=0,"",VLOOKUP(PreConditions!$C$3,House!$A$2:$DK$37,36,FALSE))</f>
        <v>3000</v>
      </c>
      <c r="H14" s="16">
        <f>IF(VLOOKUP(PreConditions!$C$3,House!$A$2:$DK$37,38,FALSE)=0,"",VLOOKUP(PreConditions!$C$3,House!$A$2:$DK$37,38,FALSE))</f>
        <v>4000</v>
      </c>
      <c r="I14" s="16">
        <f>IF(VLOOKUP(PreConditions!$C$3,House!$A$2:$DK$37,40,FALSE)=0,"",VLOOKUP(PreConditions!$C$3,House!$A$2:$DK$137,40,FALSE))</f>
        <v>2000</v>
      </c>
    </row>
    <row r="17" spans="1:4" x14ac:dyDescent="0.25">
      <c r="A17" s="4" t="s">
        <v>78</v>
      </c>
    </row>
    <row r="19" spans="1:4" x14ac:dyDescent="0.25">
      <c r="A19" s="1" t="s">
        <v>79</v>
      </c>
    </row>
    <row r="20" spans="1:4" ht="25.5" customHeight="1" x14ac:dyDescent="0.25">
      <c r="A20" s="14" t="s">
        <v>80</v>
      </c>
      <c r="B20" s="18" t="str">
        <f>VLOOKUP(PreConditions!$C$3,House!$A$2:$DK$37,51,FALSE)</f>
        <v>Y</v>
      </c>
      <c r="D20" s="19"/>
    </row>
    <row r="21" spans="1:4" x14ac:dyDescent="0.25">
      <c r="A21" s="3" t="s">
        <v>88</v>
      </c>
      <c r="B21" s="16">
        <f>IF(VLOOKUP(PreConditions!$C$3,House!$A$2:$DK$37,24,FALSE)=0,"",VLOOKUP(PreConditions!$C$3,House!$A$2:$DK$37,24,FALSE))</f>
        <v>49578</v>
      </c>
      <c r="D21" s="19" t="s">
        <v>102</v>
      </c>
    </row>
    <row r="22" spans="1:4" x14ac:dyDescent="0.25">
      <c r="A22" s="3"/>
    </row>
    <row r="23" spans="1:4" x14ac:dyDescent="0.25">
      <c r="A23" s="15" t="s">
        <v>20</v>
      </c>
    </row>
    <row r="24" spans="1:4" x14ac:dyDescent="0.25">
      <c r="A24" s="2" t="s">
        <v>81</v>
      </c>
      <c r="B24" s="11" t="str">
        <f>VLOOKUP(PreConditions!$C$3,House!$A$2:$DK$37,52,FALSE)</f>
        <v>Y</v>
      </c>
    </row>
    <row r="25" spans="1:4" x14ac:dyDescent="0.25">
      <c r="A25" s="3" t="s">
        <v>89</v>
      </c>
      <c r="B25" s="16">
        <f>IF(VLOOKUP(PreConditions!$C$3,House!$A$2:$DK$37,23,FALSE)=0,"",VLOOKUP(PreConditions!$C$3,House!$A$2:$DK$37,23,FALSE))</f>
        <v>11060</v>
      </c>
      <c r="D25" s="19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D28" sqref="D28"/>
    </sheetView>
  </sheetViews>
  <sheetFormatPr defaultRowHeight="15" x14ac:dyDescent="0.25"/>
  <cols>
    <col min="1" max="1" customWidth="true" width="57.7109375" collapsed="true"/>
    <col min="2" max="2" customWidth="true" width="22.42578125" collapsed="true"/>
  </cols>
  <sheetData>
    <row r="2" spans="1:2" x14ac:dyDescent="0.25">
      <c r="A2" s="1" t="s">
        <v>82</v>
      </c>
    </row>
    <row r="3" spans="1:2" x14ac:dyDescent="0.25">
      <c r="A3" s="2" t="s">
        <v>83</v>
      </c>
      <c r="B3" s="11" t="str">
        <f>VLOOKUP(PreConditions!$C$3,House!$A$2:$DK$37,49,FALSE)</f>
        <v>None</v>
      </c>
    </row>
    <row r="4" spans="1:2" x14ac:dyDescent="0.25">
      <c r="A4" s="2" t="s">
        <v>84</v>
      </c>
      <c r="B4" s="11" t="str">
        <f>VLOOKUP(PreConditions!$C$3,House!$A$2:$DK$37,48,FALSE)</f>
        <v>No Discount</v>
      </c>
    </row>
    <row r="7" spans="1:2" x14ac:dyDescent="0.25">
      <c r="A7" s="1" t="s">
        <v>85</v>
      </c>
    </row>
    <row r="8" spans="1:2" ht="14.25" customHeight="1" x14ac:dyDescent="0.25">
      <c r="A8" s="3" t="s">
        <v>91</v>
      </c>
      <c r="B8" s="16" t="str">
        <f>IF(VLOOKUP(PreConditions!$C$3,House!$A$2:$DK$37,45,FALSE)=0,"",VLOOKUP(PreConditions!$C$3,House!$A$2:$DK$37,45,FALSE))</f>
        <v>Y</v>
      </c>
    </row>
    <row r="9" spans="1:2" x14ac:dyDescent="0.25">
      <c r="A9" s="3" t="s">
        <v>92</v>
      </c>
      <c r="B9" s="16" t="str">
        <f>IF(VLOOKUP(PreConditions!$C$3,House!$A$2:$DK$37,46,FALSE)=0,"",VLOOKUP(PreConditions!$C$3,House!$A$2:$DK$37,46,FALSE))</f>
        <v>Y</v>
      </c>
    </row>
    <row r="10" spans="1:2" x14ac:dyDescent="0.25">
      <c r="A10" s="2" t="s">
        <v>157</v>
      </c>
      <c r="B10" s="11" t="str">
        <f>VLOOKUP(PreConditions!$C$3,House!$A$2:$DK$37,55,FALSE)</f>
        <v>N</v>
      </c>
    </row>
    <row r="11" spans="1:2" x14ac:dyDescent="0.25">
      <c r="A11" s="2" t="s">
        <v>93</v>
      </c>
      <c r="B11" s="16" t="str">
        <f>IF(VLOOKUP(PreConditions!$C$3,House!$A$2:$DK$37,42,FALSE)=0,"",VLOOKUP(PreConditions!$C$3,House!$A$2:$DK$37,42,FALSE))</f>
        <v/>
      </c>
    </row>
    <row r="12" spans="1:2" x14ac:dyDescent="0.25">
      <c r="A12" s="14" t="s">
        <v>156</v>
      </c>
      <c r="B12" s="18" t="str">
        <f>VLOOKUP(PreConditions!$C$3,House!$A$2:$DK$37,54,FALSE)</f>
        <v>Y</v>
      </c>
    </row>
    <row r="13" spans="1:2" x14ac:dyDescent="0.25">
      <c r="A13" s="3" t="s">
        <v>90</v>
      </c>
      <c r="B13" s="16">
        <f>IF(VLOOKUP(PreConditions!$C$3,House!$A$2:$DK$137,44,FALSE)=0,"",VLOOKUP(PreConditions!$C$3,House!$A$2:$DK$137,44,FALSE))</f>
        <v>6</v>
      </c>
    </row>
    <row r="14" spans="1:2" ht="24" x14ac:dyDescent="0.25">
      <c r="A14" s="14" t="s">
        <v>86</v>
      </c>
      <c r="B14" s="18" t="str">
        <f>VLOOKUP(PreConditions!$C$3,House!$A$2:$DK$37,43,FALSE)</f>
        <v>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61"/>
  <sheetViews>
    <sheetView topLeftCell="A40" workbookViewId="0">
      <selection activeCell="E13" sqref="E13"/>
    </sheetView>
  </sheetViews>
  <sheetFormatPr defaultRowHeight="15" x14ac:dyDescent="0.25"/>
  <cols>
    <col min="1" max="1" customWidth="true" width="39.5703125" collapsed="true"/>
    <col min="2" max="2" customWidth="true" width="17.42578125" collapsed="true"/>
  </cols>
  <sheetData>
    <row r="3" spans="1:2" x14ac:dyDescent="0.25">
      <c r="A3" s="3" t="s">
        <v>94</v>
      </c>
      <c r="B3" s="11">
        <f>VLOOKUP(PreConditions!$C$3,House!$A$2:$DK$37,6,FALSE)</f>
        <v>700</v>
      </c>
    </row>
    <row r="4" spans="1:2" x14ac:dyDescent="0.25">
      <c r="A4" s="3" t="s">
        <v>95</v>
      </c>
      <c r="B4" s="11" t="str">
        <f>VLOOKUP(PreConditions!$C$3,House!$A$2:$DK$37,7,FALSE)</f>
        <v>Annual</v>
      </c>
    </row>
    <row r="8" spans="1:2" x14ac:dyDescent="0.25">
      <c r="A8" s="3" t="s">
        <v>392</v>
      </c>
      <c r="B8" s="11">
        <f>VLOOKUP(PreConditions!$C$3,House!$A$2:$DK$37,59,FALSE)</f>
        <v>3487.11</v>
      </c>
    </row>
    <row r="9" spans="1:2" x14ac:dyDescent="0.25">
      <c r="A9" s="3" t="s">
        <v>393</v>
      </c>
      <c r="B9" s="11">
        <f>VLOOKUP(PreConditions!$C$3,House!$A$2:$DK$37,60,FALSE)</f>
        <v>0</v>
      </c>
    </row>
    <row r="10" spans="1:2" x14ac:dyDescent="0.25">
      <c r="A10" s="3" t="s">
        <v>394</v>
      </c>
      <c r="B10" s="11">
        <f>VLOOKUP(PreConditions!$C$3,House!$A$2:$DK$37,61,FALSE)</f>
        <v>0</v>
      </c>
    </row>
    <row r="11" spans="1:2" x14ac:dyDescent="0.25">
      <c r="A11" s="3"/>
    </row>
    <row r="12" spans="1:2" x14ac:dyDescent="0.25">
      <c r="A12" s="3" t="s">
        <v>395</v>
      </c>
      <c r="B12" s="11" t="str">
        <f>VLOOKUP(PreConditions!$C$3,House!$A$2:$DK$37,62,FALSE)</f>
        <v>468.40 </v>
      </c>
    </row>
    <row r="13" spans="1:2" x14ac:dyDescent="0.25">
      <c r="A13" s="3" t="s">
        <v>396</v>
      </c>
      <c r="B13" s="11">
        <f>VLOOKUP(PreConditions!$C$3,House!$A$2:$DK$37,63,FALSE)</f>
        <v>0</v>
      </c>
    </row>
    <row r="14" spans="1:2" x14ac:dyDescent="0.25">
      <c r="A14" s="3"/>
    </row>
    <row r="15" spans="1:2" x14ac:dyDescent="0.25">
      <c r="A15" s="3" t="s">
        <v>397</v>
      </c>
      <c r="B15" s="11">
        <f>VLOOKUP(PreConditions!$C$3,House!$A$2:$DK$37,64,FALSE)</f>
        <v>79.98</v>
      </c>
    </row>
    <row r="16" spans="1:2" x14ac:dyDescent="0.25">
      <c r="A16" s="3" t="s">
        <v>398</v>
      </c>
      <c r="B16" s="11">
        <f>VLOOKUP(PreConditions!$C$3,House!$A$2:$DK$37,65,FALSE)</f>
        <v>0</v>
      </c>
    </row>
    <row r="17" spans="1:13" x14ac:dyDescent="0.25">
      <c r="A17" s="3"/>
    </row>
    <row r="18" spans="1:13" x14ac:dyDescent="0.25">
      <c r="A18" s="3" t="s">
        <v>399</v>
      </c>
      <c r="B18" s="11">
        <f>VLOOKUP(PreConditions!$C$3,House!$A$2:$DK$37,66,FALSE)</f>
        <v>444.4</v>
      </c>
    </row>
    <row r="19" spans="1:13" x14ac:dyDescent="0.25">
      <c r="A19" s="3" t="s">
        <v>400</v>
      </c>
      <c r="B19" s="11">
        <f>VLOOKUP(PreConditions!$C$3,House!$A$2:$DK$37,67,FALSE)</f>
        <v>0</v>
      </c>
    </row>
    <row r="20" spans="1:13" x14ac:dyDescent="0.25">
      <c r="A20" s="3"/>
    </row>
    <row r="21" spans="1:13" x14ac:dyDescent="0.25">
      <c r="A21" s="3" t="s">
        <v>401</v>
      </c>
      <c r="B21" s="11" t="str">
        <f>VLOOKUP(PreConditions!$C$3,House!$A$2:$DK$37,68,FALSE)</f>
        <v> 800.00 </v>
      </c>
    </row>
    <row r="22" spans="1:13" x14ac:dyDescent="0.25">
      <c r="A22" s="3" t="s">
        <v>402</v>
      </c>
      <c r="B22" s="11">
        <f>VLOOKUP(PreConditions!$C$3,House!$A$2:$DK$37,69,FALSE)</f>
        <v>0</v>
      </c>
    </row>
    <row r="23" spans="1:13" x14ac:dyDescent="0.25">
      <c r="A23" s="3"/>
    </row>
    <row r="24" spans="1:13" x14ac:dyDescent="0.25">
      <c r="A24" s="3" t="s">
        <v>415</v>
      </c>
      <c r="B24" s="11">
        <f>VLOOKUP(PreConditions!$C$3,House!$A$2:$BT$37,70,FALSE)</f>
        <v>0</v>
      </c>
    </row>
    <row r="25" spans="1:13" x14ac:dyDescent="0.25">
      <c r="A25" s="3" t="s">
        <v>416</v>
      </c>
      <c r="B25" s="11">
        <f>VLOOKUP(PreConditions!$C$3,House!$A$2:$BT$37,71,FALSE)</f>
        <v>0</v>
      </c>
    </row>
    <row r="26" spans="1:13" x14ac:dyDescent="0.25">
      <c r="A26" s="3" t="s">
        <v>417</v>
      </c>
      <c r="B26" s="11">
        <f>VLOOKUP(PreConditions!$C$3,House!$A$2:$BT$37,72,FALSE)</f>
        <v>0</v>
      </c>
    </row>
    <row r="30" spans="1:13" x14ac:dyDescent="0.25">
      <c r="A30" s="109" t="s">
        <v>444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</row>
    <row r="31" spans="1:13" x14ac:dyDescent="0.25">
      <c r="A31" s="72" t="s">
        <v>445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4"/>
      <c r="M31" s="74"/>
    </row>
    <row r="32" spans="1:13" x14ac:dyDescent="0.25">
      <c r="A32" s="116" t="s">
        <v>392</v>
      </c>
      <c r="B32" s="117"/>
      <c r="C32" s="116" t="s">
        <v>446</v>
      </c>
      <c r="D32" s="118"/>
      <c r="E32" s="117"/>
      <c r="F32" s="116" t="s">
        <v>447</v>
      </c>
      <c r="G32" s="117"/>
      <c r="H32" s="116" t="s">
        <v>448</v>
      </c>
      <c r="I32" s="117"/>
      <c r="J32" s="116" t="s">
        <v>449</v>
      </c>
      <c r="K32" s="117"/>
      <c r="L32" s="116" t="s">
        <v>450</v>
      </c>
      <c r="M32" s="117"/>
    </row>
    <row r="33" spans="1:13" x14ac:dyDescent="0.25">
      <c r="A33" s="114">
        <f>SUM(B8:B10)</f>
        <v>3487.11</v>
      </c>
      <c r="B33" s="115"/>
      <c r="C33" s="119">
        <f>SUM(B12:B13,B15:B16,B18:B19,B21:B22,B24:B26)</f>
        <v>524.38</v>
      </c>
      <c r="D33" s="119"/>
      <c r="E33" s="115"/>
      <c r="F33" s="120"/>
      <c r="G33" s="121"/>
      <c r="H33" s="101" t="s">
        <v>451</v>
      </c>
      <c r="I33" s="102"/>
      <c r="J33" s="114">
        <f>SUM(J36:K41)+F33</f>
        <v>4011.4900000000002</v>
      </c>
      <c r="K33" s="115"/>
      <c r="L33" s="114" t="s">
        <v>451</v>
      </c>
      <c r="M33" s="115"/>
    </row>
    <row r="34" spans="1:13" x14ac:dyDescent="0.25">
      <c r="A34" s="75" t="s">
        <v>452</v>
      </c>
      <c r="B34" s="76"/>
      <c r="C34" s="76"/>
      <c r="D34" s="76"/>
      <c r="E34" s="76"/>
      <c r="F34" s="77"/>
      <c r="G34" s="77"/>
      <c r="H34" s="76"/>
      <c r="I34" s="76"/>
      <c r="J34" s="76"/>
      <c r="K34" s="76"/>
      <c r="L34" s="76"/>
      <c r="M34" s="76"/>
    </row>
    <row r="35" spans="1:13" x14ac:dyDescent="0.25">
      <c r="A35" s="78" t="s">
        <v>453</v>
      </c>
      <c r="B35" s="79"/>
      <c r="C35" s="79"/>
      <c r="D35" s="79"/>
      <c r="E35" s="79"/>
      <c r="F35" s="110" t="s">
        <v>454</v>
      </c>
      <c r="G35" s="111"/>
      <c r="H35" s="110" t="s">
        <v>3</v>
      </c>
      <c r="I35" s="111"/>
      <c r="J35" s="110" t="s">
        <v>449</v>
      </c>
      <c r="K35" s="111"/>
      <c r="L35" s="110" t="s">
        <v>450</v>
      </c>
      <c r="M35" s="111"/>
    </row>
    <row r="36" spans="1:13" x14ac:dyDescent="0.25">
      <c r="A36" s="80" t="s">
        <v>392</v>
      </c>
      <c r="B36" s="81"/>
      <c r="C36" s="81"/>
      <c r="D36" s="81"/>
      <c r="E36" s="81"/>
      <c r="F36" s="112"/>
      <c r="G36" s="113"/>
      <c r="H36" s="82"/>
      <c r="I36" s="83"/>
      <c r="J36" s="101">
        <f>SUM(B8:B10)</f>
        <v>3487.11</v>
      </c>
      <c r="K36" s="102"/>
      <c r="L36" s="101" t="s">
        <v>451</v>
      </c>
      <c r="M36" s="102"/>
    </row>
    <row r="37" spans="1:13" x14ac:dyDescent="0.25">
      <c r="A37" s="84" t="s">
        <v>395</v>
      </c>
      <c r="B37" s="85"/>
      <c r="C37" s="85"/>
      <c r="D37" s="85"/>
      <c r="E37" s="85"/>
      <c r="F37" s="105"/>
      <c r="G37" s="106"/>
      <c r="H37" s="86"/>
      <c r="I37" s="87"/>
      <c r="J37" s="107">
        <f>SUM(B12:B13)</f>
        <v>0</v>
      </c>
      <c r="K37" s="108"/>
      <c r="L37" s="107" t="s">
        <v>451</v>
      </c>
      <c r="M37" s="108"/>
    </row>
    <row r="38" spans="1:13" x14ac:dyDescent="0.25">
      <c r="A38" s="80" t="s">
        <v>455</v>
      </c>
      <c r="B38" s="81"/>
      <c r="C38" s="81"/>
      <c r="D38" s="81"/>
      <c r="E38" s="81"/>
      <c r="F38" s="112"/>
      <c r="G38" s="113"/>
      <c r="H38" s="82"/>
      <c r="I38" s="83"/>
      <c r="J38" s="101">
        <f>SUM(B15:B16)</f>
        <v>79.98</v>
      </c>
      <c r="K38" s="102"/>
      <c r="L38" s="101" t="s">
        <v>451</v>
      </c>
      <c r="M38" s="102"/>
    </row>
    <row r="39" spans="1:13" x14ac:dyDescent="0.25">
      <c r="A39" s="84" t="s">
        <v>456</v>
      </c>
      <c r="B39" s="85"/>
      <c r="C39" s="85"/>
      <c r="D39" s="85"/>
      <c r="E39" s="85"/>
      <c r="F39" s="105"/>
      <c r="G39" s="106"/>
      <c r="H39" s="86"/>
      <c r="I39" s="87"/>
      <c r="J39" s="107">
        <f>SUM(B18:B19)</f>
        <v>444.4</v>
      </c>
      <c r="K39" s="108"/>
      <c r="L39" s="107" t="s">
        <v>451</v>
      </c>
      <c r="M39" s="108"/>
    </row>
    <row r="40" spans="1:13" x14ac:dyDescent="0.25">
      <c r="A40" s="80" t="s">
        <v>43</v>
      </c>
      <c r="B40" s="81"/>
      <c r="C40" s="81"/>
      <c r="D40" s="81"/>
      <c r="E40" s="81"/>
      <c r="F40" s="112"/>
      <c r="G40" s="113"/>
      <c r="H40" s="82"/>
      <c r="I40" s="83"/>
      <c r="J40" s="101">
        <f>SUM(B21:B22)</f>
        <v>0</v>
      </c>
      <c r="K40" s="102"/>
      <c r="L40" s="101" t="s">
        <v>451</v>
      </c>
      <c r="M40" s="102"/>
    </row>
    <row r="41" spans="1:13" x14ac:dyDescent="0.25">
      <c r="A41" s="84" t="s">
        <v>457</v>
      </c>
      <c r="B41" s="85"/>
      <c r="C41" s="85"/>
      <c r="D41" s="85"/>
      <c r="E41" s="85"/>
      <c r="F41" s="105"/>
      <c r="G41" s="106"/>
      <c r="H41" s="86"/>
      <c r="I41" s="87"/>
      <c r="J41" s="107">
        <f>SUM(B24:B26)</f>
        <v>0</v>
      </c>
      <c r="K41" s="108"/>
      <c r="L41" s="107" t="s">
        <v>451</v>
      </c>
      <c r="M41" s="108"/>
    </row>
    <row r="42" spans="1:13" x14ac:dyDescent="0.25">
      <c r="A42" s="80" t="s">
        <v>46</v>
      </c>
      <c r="B42" s="81"/>
      <c r="C42" s="81"/>
      <c r="D42" s="81"/>
      <c r="E42" s="81"/>
      <c r="F42" s="112"/>
      <c r="G42" s="113"/>
      <c r="H42" s="82"/>
      <c r="I42" s="83"/>
      <c r="J42" s="99">
        <f>SUM(B9,B13,B16,B19,B22,B25)</f>
        <v>0</v>
      </c>
      <c r="K42" s="100"/>
      <c r="L42" s="101" t="s">
        <v>451</v>
      </c>
      <c r="M42" s="102"/>
    </row>
    <row r="43" spans="1:13" x14ac:dyDescent="0.25">
      <c r="A43" s="84" t="s">
        <v>458</v>
      </c>
      <c r="B43" s="85"/>
      <c r="C43" s="85"/>
      <c r="D43" s="85"/>
      <c r="E43" s="85"/>
      <c r="F43" s="105"/>
      <c r="G43" s="106"/>
      <c r="H43" s="86"/>
      <c r="I43" s="87"/>
      <c r="J43" s="107" t="s">
        <v>459</v>
      </c>
      <c r="K43" s="108"/>
      <c r="L43" s="107" t="s">
        <v>459</v>
      </c>
      <c r="M43" s="108"/>
    </row>
    <row r="44" spans="1:13" x14ac:dyDescent="0.25">
      <c r="A44" s="80" t="s">
        <v>460</v>
      </c>
      <c r="B44" s="81"/>
      <c r="C44" s="81"/>
      <c r="D44" s="81"/>
      <c r="E44" s="81"/>
      <c r="F44" s="112"/>
      <c r="G44" s="113"/>
      <c r="H44" s="82"/>
      <c r="I44" s="83"/>
      <c r="J44" s="101" t="s">
        <v>461</v>
      </c>
      <c r="K44" s="102"/>
      <c r="L44" s="101" t="s">
        <v>461</v>
      </c>
      <c r="M44" s="102"/>
    </row>
    <row r="45" spans="1:13" x14ac:dyDescent="0.25">
      <c r="A45" s="84" t="s">
        <v>462</v>
      </c>
      <c r="B45" s="85"/>
      <c r="C45" s="85"/>
      <c r="D45" s="85"/>
      <c r="E45" s="85"/>
      <c r="F45" s="105"/>
      <c r="G45" s="106"/>
      <c r="H45" s="86"/>
      <c r="I45" s="87"/>
      <c r="J45" s="107" t="s">
        <v>463</v>
      </c>
      <c r="K45" s="108"/>
      <c r="L45" s="107" t="s">
        <v>463</v>
      </c>
      <c r="M45" s="108"/>
    </row>
    <row r="47" spans="1:13" x14ac:dyDescent="0.25">
      <c r="A47" s="109" t="s">
        <v>464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</row>
    <row r="49" spans="1:6" x14ac:dyDescent="0.25">
      <c r="A49" s="88" t="str">
        <f>'[1]Risk Information'!B4&amp;", "&amp;'[1]Risk Information'!B5&amp;", "&amp;'[1]Risk Information'!B6</f>
        <v xml:space="preserve">4 Hurricane Way, Christchurch, </v>
      </c>
    </row>
    <row r="50" spans="1:6" x14ac:dyDescent="0.25">
      <c r="A50" s="89" t="s">
        <v>465</v>
      </c>
      <c r="B50" s="89" t="s">
        <v>454</v>
      </c>
      <c r="C50" s="110" t="s">
        <v>449</v>
      </c>
      <c r="D50" s="111"/>
      <c r="E50" s="110" t="s">
        <v>450</v>
      </c>
      <c r="F50" s="111"/>
    </row>
    <row r="51" spans="1:6" x14ac:dyDescent="0.25">
      <c r="A51" s="81" t="str">
        <f>A36</f>
        <v>Base Premium</v>
      </c>
      <c r="B51" s="90"/>
      <c r="C51" s="101">
        <f>J36</f>
        <v>3487.11</v>
      </c>
      <c r="D51" s="102"/>
      <c r="E51" s="101" t="str">
        <f>L36</f>
        <v>Not in scope</v>
      </c>
      <c r="F51" s="102"/>
    </row>
    <row r="52" spans="1:6" x14ac:dyDescent="0.25">
      <c r="A52" s="81" t="str">
        <f>A37</f>
        <v>No Excess for Glass</v>
      </c>
      <c r="B52" s="90"/>
      <c r="C52" s="101">
        <f>J37</f>
        <v>0</v>
      </c>
      <c r="D52" s="102"/>
      <c r="E52" s="101" t="str">
        <f t="shared" ref="E52:E57" si="0">L37</f>
        <v>Not in scope</v>
      </c>
      <c r="F52" s="102"/>
    </row>
    <row r="53" spans="1:6" x14ac:dyDescent="0.25">
      <c r="A53" s="81" t="str">
        <f t="shared" ref="A53:A57" si="1">A38</f>
        <v>Loss of Rent</v>
      </c>
      <c r="B53" s="90"/>
      <c r="C53" s="101">
        <f t="shared" ref="C53:C57" si="2">J38</f>
        <v>79.98</v>
      </c>
      <c r="D53" s="102"/>
      <c r="E53" s="101" t="str">
        <f t="shared" si="0"/>
        <v>Not in scope</v>
      </c>
      <c r="F53" s="102"/>
    </row>
    <row r="54" spans="1:6" x14ac:dyDescent="0.25">
      <c r="A54" s="81" t="str">
        <f t="shared" si="1"/>
        <v>Malicious Damage by Tenants</v>
      </c>
      <c r="B54" s="90"/>
      <c r="C54" s="101">
        <f t="shared" si="2"/>
        <v>444.4</v>
      </c>
      <c r="D54" s="102"/>
      <c r="E54" s="101" t="str">
        <f t="shared" si="0"/>
        <v>Not in scope</v>
      </c>
      <c r="F54" s="102"/>
    </row>
    <row r="55" spans="1:6" x14ac:dyDescent="0.25">
      <c r="A55" s="81" t="str">
        <f t="shared" si="1"/>
        <v>Tenants Vacating Without Notice</v>
      </c>
      <c r="B55" s="90"/>
      <c r="C55" s="101">
        <f t="shared" si="2"/>
        <v>0</v>
      </c>
      <c r="D55" s="102"/>
      <c r="E55" s="101" t="str">
        <f t="shared" si="0"/>
        <v>Not in scope</v>
      </c>
      <c r="F55" s="102"/>
    </row>
    <row r="56" spans="1:6" x14ac:dyDescent="0.25">
      <c r="A56" s="81" t="str">
        <f t="shared" si="1"/>
        <v>Rental Contents</v>
      </c>
      <c r="B56" s="90"/>
      <c r="C56" s="101">
        <f t="shared" si="2"/>
        <v>0</v>
      </c>
      <c r="D56" s="102"/>
      <c r="E56" s="101" t="str">
        <f t="shared" si="0"/>
        <v>Not in scope</v>
      </c>
      <c r="F56" s="102"/>
    </row>
    <row r="57" spans="1:6" x14ac:dyDescent="0.25">
      <c r="A57" s="81" t="str">
        <f t="shared" si="1"/>
        <v>Multi Saver Discount</v>
      </c>
      <c r="B57" s="90"/>
      <c r="C57" s="99">
        <f t="shared" si="2"/>
        <v>0</v>
      </c>
      <c r="D57" s="100"/>
      <c r="E57" s="101" t="str">
        <f t="shared" si="0"/>
        <v>Not in scope</v>
      </c>
      <c r="F57" s="102"/>
    </row>
    <row r="58" spans="1:6" x14ac:dyDescent="0.25">
      <c r="A58" s="81" t="s">
        <v>458</v>
      </c>
      <c r="B58" s="90"/>
      <c r="C58" s="91" t="s">
        <v>466</v>
      </c>
      <c r="D58" s="92"/>
      <c r="E58" s="91" t="s">
        <v>467</v>
      </c>
      <c r="F58" s="91"/>
    </row>
    <row r="59" spans="1:6" x14ac:dyDescent="0.25">
      <c r="A59" s="81" t="s">
        <v>460</v>
      </c>
      <c r="B59" s="90"/>
      <c r="C59" s="91" t="s">
        <v>468</v>
      </c>
      <c r="D59" s="92"/>
      <c r="E59" s="91" t="s">
        <v>469</v>
      </c>
      <c r="F59" s="91"/>
    </row>
    <row r="60" spans="1:6" x14ac:dyDescent="0.25">
      <c r="A60" s="81" t="s">
        <v>462</v>
      </c>
      <c r="B60" s="90"/>
      <c r="C60" s="91" t="s">
        <v>470</v>
      </c>
      <c r="D60" s="92"/>
      <c r="E60" s="91" t="s">
        <v>471</v>
      </c>
      <c r="F60" s="91"/>
    </row>
    <row r="61" spans="1:6" x14ac:dyDescent="0.25">
      <c r="A61" s="93" t="s">
        <v>472</v>
      </c>
      <c r="B61" s="90"/>
      <c r="C61" s="103">
        <f>J33</f>
        <v>4011.4900000000002</v>
      </c>
      <c r="D61" s="104"/>
      <c r="E61" s="101" t="str">
        <f>E57</f>
        <v>Not in scope</v>
      </c>
      <c r="F61" s="102"/>
    </row>
  </sheetData>
  <mergeCells count="66">
    <mergeCell ref="L33:M33"/>
    <mergeCell ref="A30:M30"/>
    <mergeCell ref="A32:B32"/>
    <mergeCell ref="C32:E32"/>
    <mergeCell ref="F32:G32"/>
    <mergeCell ref="H32:I32"/>
    <mergeCell ref="J32:K32"/>
    <mergeCell ref="L32:M32"/>
    <mergeCell ref="A33:B33"/>
    <mergeCell ref="C33:E33"/>
    <mergeCell ref="F33:G33"/>
    <mergeCell ref="H33:I33"/>
    <mergeCell ref="J33:K33"/>
    <mergeCell ref="F35:G35"/>
    <mergeCell ref="H35:I35"/>
    <mergeCell ref="J35:K35"/>
    <mergeCell ref="L35:M35"/>
    <mergeCell ref="F36:G36"/>
    <mergeCell ref="J36:K36"/>
    <mergeCell ref="L36:M36"/>
    <mergeCell ref="F37:G37"/>
    <mergeCell ref="J37:K37"/>
    <mergeCell ref="L37:M37"/>
    <mergeCell ref="F38:G38"/>
    <mergeCell ref="J38:K38"/>
    <mergeCell ref="L38:M38"/>
    <mergeCell ref="F39:G39"/>
    <mergeCell ref="J39:K39"/>
    <mergeCell ref="L39:M39"/>
    <mergeCell ref="F40:G40"/>
    <mergeCell ref="J40:K40"/>
    <mergeCell ref="L40:M40"/>
    <mergeCell ref="F41:G41"/>
    <mergeCell ref="J41:K41"/>
    <mergeCell ref="L41:M41"/>
    <mergeCell ref="F42:G42"/>
    <mergeCell ref="J42:K42"/>
    <mergeCell ref="L42:M42"/>
    <mergeCell ref="F43:G43"/>
    <mergeCell ref="J43:K43"/>
    <mergeCell ref="L43:M43"/>
    <mergeCell ref="F44:G44"/>
    <mergeCell ref="J44:K44"/>
    <mergeCell ref="L44:M44"/>
    <mergeCell ref="F45:G45"/>
    <mergeCell ref="J45:K45"/>
    <mergeCell ref="L45:M45"/>
    <mergeCell ref="A47:M47"/>
    <mergeCell ref="C50:D50"/>
    <mergeCell ref="E50:F50"/>
    <mergeCell ref="C51:D51"/>
    <mergeCell ref="E51:F51"/>
    <mergeCell ref="C52:D52"/>
    <mergeCell ref="E52:F52"/>
    <mergeCell ref="C53:D53"/>
    <mergeCell ref="E53:F53"/>
    <mergeCell ref="C57:D57"/>
    <mergeCell ref="E57:F57"/>
    <mergeCell ref="C61:D61"/>
    <mergeCell ref="E61:F61"/>
    <mergeCell ref="C54:D54"/>
    <mergeCell ref="E54:F54"/>
    <mergeCell ref="C55:D55"/>
    <mergeCell ref="E55:F55"/>
    <mergeCell ref="C56:D56"/>
    <mergeCell ref="E56:F5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0"/>
  <sheetViews>
    <sheetView view="pageBreakPreview" zoomScale="70" zoomScaleNormal="85" zoomScaleSheetLayoutView="70" workbookViewId="0">
      <pane xSplit="22530" topLeftCell="DH1"/>
      <selection activeCell="BS32" sqref="BS32"/>
      <selection pane="topRight" activeCell="DH39" sqref="DH39"/>
    </sheetView>
  </sheetViews>
  <sheetFormatPr defaultRowHeight="15" x14ac:dyDescent="0.25"/>
  <cols>
    <col min="1" max="1" customWidth="true" width="11.0" collapsed="true"/>
    <col min="2" max="2" customWidth="true" width="11.42578125" collapsed="true"/>
    <col min="3" max="3" customWidth="true" width="28.85546875" collapsed="true"/>
    <col min="4" max="4" customWidth="true" width="15.7109375" collapsed="true"/>
    <col min="5" max="5" customWidth="true" width="13.28515625" collapsed="true"/>
    <col min="6" max="6" customWidth="true" width="12.42578125" collapsed="true"/>
    <col min="7" max="7" customWidth="true" width="16.42578125" collapsed="true"/>
    <col min="8" max="8" customWidth="true" width="21.5703125" collapsed="true"/>
    <col min="9" max="9" customWidth="true" width="20.140625" collapsed="true"/>
    <col min="10" max="10" bestFit="true" customWidth="true" width="17.85546875" collapsed="true"/>
    <col min="11" max="11" bestFit="true" customWidth="true" width="13.42578125" collapsed="true"/>
    <col min="13" max="13" customWidth="true" width="23.0" collapsed="true"/>
    <col min="14" max="14" bestFit="true" customWidth="true" width="17.0" collapsed="true"/>
    <col min="15" max="15" bestFit="true" customWidth="true" width="11.0" collapsed="true"/>
    <col min="16" max="16" bestFit="true" customWidth="true" width="19.140625" collapsed="true"/>
    <col min="17" max="17" bestFit="true" customWidth="true" width="11.140625" collapsed="true"/>
    <col min="18" max="18" customWidth="true" width="14.7109375" collapsed="true"/>
    <col min="19" max="19" customWidth="true" width="29.28515625" collapsed="true"/>
    <col min="20" max="20" customWidth="true" width="11.140625" collapsed="true"/>
    <col min="21" max="21" customWidth="true" width="24.140625" collapsed="true"/>
    <col min="22" max="22" customWidth="true" width="26.28515625" collapsed="true"/>
    <col min="23" max="23" customWidth="true" width="15.0" collapsed="true"/>
    <col min="24" max="24" customWidth="true" width="21.5703125" collapsed="true"/>
    <col min="25" max="25" customWidth="true" width="24.7109375" collapsed="true"/>
    <col min="26" max="26" customWidth="true" width="12.0" collapsed="true"/>
    <col min="27" max="27" bestFit="true" customWidth="true" width="18.42578125" collapsed="true"/>
    <col min="28" max="28" customWidth="true" width="13.42578125" collapsed="true"/>
    <col min="29" max="29" bestFit="true" customWidth="true" width="18.42578125" collapsed="true"/>
    <col min="30" max="30" customWidth="true" width="12.28515625" collapsed="true"/>
    <col min="31" max="31" bestFit="true" customWidth="true" width="18.0" collapsed="true"/>
    <col min="32" max="32" customWidth="true" width="14.28515625" collapsed="true"/>
    <col min="33" max="33" bestFit="true" customWidth="true" width="15.42578125" collapsed="true"/>
    <col min="34" max="34" customWidth="true" width="13.28515625" collapsed="true"/>
    <col min="35" max="35" bestFit="true" customWidth="true" width="15.42578125" collapsed="true"/>
    <col min="36" max="36" customWidth="true" width="11.85546875" collapsed="true"/>
    <col min="37" max="37" bestFit="true" customWidth="true" width="18.42578125" collapsed="true"/>
    <col min="38" max="38" customWidth="true" width="15.0" collapsed="true"/>
    <col min="39" max="39" customWidth="true" width="12.28515625" collapsed="true"/>
    <col min="40" max="40" customWidth="true" width="12.85546875" collapsed="true"/>
    <col min="41" max="41" customWidth="true" width="15.5703125" collapsed="true"/>
    <col min="42" max="42" bestFit="true" customWidth="true" width="27.140625" collapsed="true"/>
    <col min="43" max="43" bestFit="true" customWidth="true" width="21.5703125" collapsed="true"/>
    <col min="44" max="44" bestFit="true" customWidth="true" width="31.42578125" collapsed="true"/>
    <col min="45" max="45" bestFit="true" customWidth="true" width="24.0" collapsed="true"/>
    <col min="46" max="46" bestFit="true" customWidth="true" width="30.7109375" collapsed="true"/>
    <col min="47" max="47" bestFit="true" customWidth="true" width="16.5703125" collapsed="true"/>
    <col min="48" max="48" bestFit="true" customWidth="true" width="14.7109375" collapsed="true"/>
    <col min="49" max="49" bestFit="true" customWidth="true" width="19.42578125" collapsed="true"/>
    <col min="50" max="50" customWidth="true" width="19.42578125" collapsed="true"/>
    <col min="51" max="51" customWidth="true" width="21.28515625" collapsed="true"/>
    <col min="52" max="53" customWidth="true" width="19.42578125" collapsed="true"/>
    <col min="54" max="54" customWidth="true" width="31.0" collapsed="true"/>
    <col min="55" max="55" customWidth="true" width="41.0" collapsed="true"/>
    <col min="56" max="56" customWidth="true" width="21.140625" collapsed="true"/>
    <col min="57" max="57" customWidth="true" width="19.42578125" collapsed="true"/>
    <col min="58" max="58" customWidth="true" width="28.5703125" collapsed="true"/>
    <col min="59" max="60" customWidth="true" width="22.0" collapsed="true"/>
    <col min="61" max="61" customWidth="true" width="24.28515625" collapsed="true"/>
    <col min="62" max="62" customWidth="true" width="22.0" collapsed="true"/>
    <col min="63" max="63" bestFit="true" customWidth="true" width="18.7109375" collapsed="true"/>
    <col min="64" max="64" bestFit="true" customWidth="true" width="30.7109375" collapsed="true"/>
    <col min="65" max="65" bestFit="true" customWidth="true" width="16.140625" collapsed="true"/>
    <col min="66" max="66" bestFit="true" customWidth="true" width="22.7109375" collapsed="true"/>
    <col min="67" max="67" bestFit="true" customWidth="true" width="9.5703125" collapsed="true"/>
    <col min="68" max="68" bestFit="true" customWidth="true" width="14.5703125" collapsed="true"/>
    <col min="69" max="69" bestFit="true" customWidth="true" width="31.42578125" collapsed="true"/>
    <col min="70" max="70" bestFit="true" customWidth="true" width="38.0" collapsed="true"/>
    <col min="71" max="71" bestFit="true" customWidth="true" width="28.7109375" collapsed="true"/>
    <col min="72" max="72" bestFit="true" customWidth="true" width="33.28515625" collapsed="true"/>
    <col min="73" max="73" bestFit="true" customWidth="true" width="16.5703125" collapsed="true"/>
    <col min="74" max="74" bestFit="true" customWidth="true" width="23.140625" collapsed="true"/>
    <col min="75" max="75" bestFit="true" customWidth="true" width="35.140625" collapsed="true"/>
    <col min="76" max="76" bestFit="true" customWidth="true" width="13.7109375" collapsed="true"/>
    <col min="77" max="77" bestFit="true" customWidth="true" width="20.140625" collapsed="true"/>
    <col min="78" max="78" bestFit="true" customWidth="true" width="14.85546875" collapsed="true"/>
    <col min="79" max="79" bestFit="true" customWidth="true" width="24.28515625" collapsed="true"/>
    <col min="80" max="80" bestFit="true" customWidth="true" width="17.28515625" collapsed="true"/>
    <col min="81" max="81" bestFit="true" customWidth="true" width="23.7109375" collapsed="true"/>
    <col min="83" max="83" bestFit="true" customWidth="true" width="20.85546875" collapsed="true"/>
    <col min="84" max="84" bestFit="true" customWidth="true" width="22.0" collapsed="true"/>
    <col min="85" max="85" bestFit="true" customWidth="true" width="16.28515625" collapsed="true"/>
    <col min="86" max="86" bestFit="true" customWidth="true" width="16.42578125" collapsed="true"/>
    <col min="87" max="87" bestFit="true" customWidth="true" width="14.140625" collapsed="true"/>
    <col min="88" max="88" bestFit="true" customWidth="true" width="15.42578125" collapsed="true"/>
    <col min="89" max="89" bestFit="true" customWidth="true" width="19.85546875" collapsed="true"/>
    <col min="90" max="90" bestFit="true" customWidth="true" width="17.85546875" collapsed="true"/>
    <col min="91" max="91" bestFit="true" customWidth="true" width="36.5703125" collapsed="true"/>
    <col min="92" max="92" bestFit="true" customWidth="true" width="12.0" collapsed="true"/>
    <col min="93" max="93" bestFit="true" customWidth="true" width="27.5703125" collapsed="true"/>
    <col min="94" max="94" bestFit="true" customWidth="true" width="30.7109375" collapsed="true"/>
    <col min="95" max="95" bestFit="true" customWidth="true" width="20.85546875" collapsed="true"/>
    <col min="96" max="96" bestFit="true" customWidth="true" width="14.140625" collapsed="true"/>
    <col min="97" max="97" bestFit="true" customWidth="true" width="24.28515625" collapsed="true"/>
    <col min="98" max="98" bestFit="true" customWidth="true" width="12.0" collapsed="true"/>
    <col min="99" max="99" bestFit="true" customWidth="true" width="39.28515625" collapsed="true"/>
    <col min="100" max="100" bestFit="true" customWidth="true" width="34.7109375" collapsed="true"/>
    <col min="101" max="101" bestFit="true" customWidth="true" width="25.5703125" collapsed="true"/>
    <col min="102" max="102" bestFit="true" customWidth="true" width="19.5703125" collapsed="true"/>
    <col min="103" max="103" bestFit="true" customWidth="true" width="16.5703125" collapsed="true"/>
    <col min="104" max="104" bestFit="true" customWidth="true" width="48.7109375" collapsed="true"/>
    <col min="105" max="105" bestFit="true" customWidth="true" width="22.7109375" collapsed="true"/>
    <col min="106" max="106" bestFit="true" customWidth="true" width="15.42578125" collapsed="true"/>
    <col min="108" max="108" bestFit="true" customWidth="true" width="42.140625" collapsed="true"/>
    <col min="109" max="109" bestFit="true" customWidth="true" width="37.42578125" collapsed="true"/>
    <col min="110" max="110" bestFit="true" customWidth="true" width="28.28515625" collapsed="true"/>
    <col min="111" max="111" bestFit="true" customWidth="true" width="16.140625" collapsed="true"/>
    <col min="112" max="112" bestFit="true" customWidth="true" width="22.140625" collapsed="true"/>
    <col min="113" max="114" bestFit="true" customWidth="true" width="12.0" collapsed="true"/>
    <col min="115" max="115" bestFit="true" customWidth="true" width="15.0" collapsed="true"/>
  </cols>
  <sheetData>
    <row r="1" spans="1:115" s="22" customFormat="1" x14ac:dyDescent="0.25">
      <c r="A1" s="22" t="s">
        <v>97</v>
      </c>
      <c r="B1" s="22" t="s">
        <v>53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  <c r="V1" s="22" t="s">
        <v>19</v>
      </c>
      <c r="W1" s="22" t="s">
        <v>20</v>
      </c>
      <c r="X1" s="22" t="s">
        <v>21</v>
      </c>
      <c r="Y1" s="23" t="s">
        <v>22</v>
      </c>
      <c r="Z1" s="23" t="s">
        <v>23</v>
      </c>
      <c r="AA1" s="23" t="s">
        <v>24</v>
      </c>
      <c r="AB1" s="23" t="s">
        <v>25</v>
      </c>
      <c r="AC1" s="23" t="s">
        <v>26</v>
      </c>
      <c r="AD1" s="23" t="s">
        <v>27</v>
      </c>
      <c r="AE1" s="23" t="s">
        <v>28</v>
      </c>
      <c r="AF1" s="23" t="s">
        <v>29</v>
      </c>
      <c r="AG1" s="23" t="s">
        <v>30</v>
      </c>
      <c r="AH1" s="23" t="s">
        <v>31</v>
      </c>
      <c r="AI1" s="23" t="s">
        <v>32</v>
      </c>
      <c r="AJ1" s="23" t="s">
        <v>33</v>
      </c>
      <c r="AK1" s="23" t="s">
        <v>34</v>
      </c>
      <c r="AL1" s="23" t="s">
        <v>35</v>
      </c>
      <c r="AM1" s="23" t="s">
        <v>36</v>
      </c>
      <c r="AN1" s="23" t="s">
        <v>37</v>
      </c>
      <c r="AO1" s="22" t="s">
        <v>38</v>
      </c>
      <c r="AP1" s="22" t="s">
        <v>39</v>
      </c>
      <c r="AQ1" s="22" t="s">
        <v>40</v>
      </c>
      <c r="AR1" s="22" t="s">
        <v>41</v>
      </c>
      <c r="AS1" s="22" t="s">
        <v>42</v>
      </c>
      <c r="AT1" s="22" t="s">
        <v>43</v>
      </c>
      <c r="AU1" s="22" t="s">
        <v>44</v>
      </c>
      <c r="AV1" s="22" t="s">
        <v>45</v>
      </c>
      <c r="AW1" s="22" t="s">
        <v>46</v>
      </c>
      <c r="AX1" s="24" t="s">
        <v>99</v>
      </c>
      <c r="AY1" s="24" t="s">
        <v>100</v>
      </c>
      <c r="AZ1" s="24" t="s">
        <v>101</v>
      </c>
      <c r="BA1" s="24" t="s">
        <v>136</v>
      </c>
      <c r="BB1" s="24" t="s">
        <v>156</v>
      </c>
      <c r="BC1" s="24" t="s">
        <v>158</v>
      </c>
      <c r="BD1" s="24" t="s">
        <v>159</v>
      </c>
      <c r="BE1" s="24" t="s">
        <v>160</v>
      </c>
      <c r="BF1" s="24" t="s">
        <v>387</v>
      </c>
      <c r="BG1" s="46" t="s">
        <v>392</v>
      </c>
      <c r="BH1" s="46" t="s">
        <v>393</v>
      </c>
      <c r="BI1" s="46" t="s">
        <v>394</v>
      </c>
      <c r="BJ1" s="46" t="s">
        <v>395</v>
      </c>
      <c r="BK1" s="46" t="s">
        <v>396</v>
      </c>
      <c r="BL1" s="46" t="s">
        <v>397</v>
      </c>
      <c r="BM1" s="46" t="s">
        <v>398</v>
      </c>
      <c r="BN1" s="46" t="s">
        <v>399</v>
      </c>
      <c r="BO1" s="46" t="s">
        <v>400</v>
      </c>
      <c r="BP1" s="46" t="s">
        <v>401</v>
      </c>
      <c r="BQ1" s="46" t="s">
        <v>402</v>
      </c>
      <c r="BR1" s="46" t="s">
        <v>415</v>
      </c>
      <c r="BS1" s="46" t="s">
        <v>416</v>
      </c>
      <c r="BT1" s="46" t="s">
        <v>417</v>
      </c>
      <c r="BU1" s="63" t="s">
        <v>419</v>
      </c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x14ac:dyDescent="0.25">
      <c r="A2" t="s">
        <v>162</v>
      </c>
      <c r="B2" t="s">
        <v>54</v>
      </c>
      <c r="C2" t="s">
        <v>140</v>
      </c>
      <c r="D2" t="s">
        <v>49</v>
      </c>
      <c r="E2" s="21">
        <v>41907</v>
      </c>
      <c r="F2">
        <v>400</v>
      </c>
      <c r="G2" t="s">
        <v>106</v>
      </c>
      <c r="H2" s="21">
        <v>27776</v>
      </c>
      <c r="I2" s="29" t="s">
        <v>205</v>
      </c>
      <c r="J2" t="s">
        <v>50</v>
      </c>
      <c r="K2">
        <v>2</v>
      </c>
      <c r="L2">
        <v>1</v>
      </c>
      <c r="M2" t="s">
        <v>114</v>
      </c>
      <c r="N2" t="s">
        <v>121</v>
      </c>
      <c r="O2" t="s">
        <v>125</v>
      </c>
      <c r="P2">
        <v>1920</v>
      </c>
      <c r="Q2">
        <v>234</v>
      </c>
      <c r="R2">
        <v>0</v>
      </c>
      <c r="S2" t="s">
        <v>108</v>
      </c>
      <c r="T2" t="s">
        <v>130</v>
      </c>
      <c r="U2" t="s">
        <v>131</v>
      </c>
      <c r="V2">
        <v>1436960</v>
      </c>
      <c r="W2">
        <v>51264</v>
      </c>
      <c r="X2">
        <v>15180</v>
      </c>
      <c r="Y2" t="s">
        <v>150</v>
      </c>
      <c r="Z2">
        <v>2000</v>
      </c>
      <c r="AA2" t="s">
        <v>151</v>
      </c>
      <c r="AB2">
        <v>15000</v>
      </c>
      <c r="AC2" t="s">
        <v>47</v>
      </c>
      <c r="AD2">
        <v>45000</v>
      </c>
      <c r="AE2" t="s">
        <v>50</v>
      </c>
      <c r="AF2" s="17"/>
      <c r="AG2" t="s">
        <v>154</v>
      </c>
      <c r="AH2">
        <v>8000</v>
      </c>
      <c r="AI2" t="s">
        <v>150</v>
      </c>
      <c r="AJ2">
        <v>800</v>
      </c>
      <c r="AK2" t="s">
        <v>153</v>
      </c>
      <c r="AL2">
        <v>5500</v>
      </c>
      <c r="AM2" t="s">
        <v>50</v>
      </c>
      <c r="AQ2" t="s">
        <v>51</v>
      </c>
      <c r="AR2">
        <v>2</v>
      </c>
      <c r="AU2" t="s">
        <v>107</v>
      </c>
      <c r="AV2" t="s">
        <v>145</v>
      </c>
      <c r="AW2" t="s">
        <v>144</v>
      </c>
      <c r="AX2" t="s">
        <v>51</v>
      </c>
      <c r="AY2" t="s">
        <v>51</v>
      </c>
      <c r="AZ2" t="s">
        <v>51</v>
      </c>
      <c r="BA2" t="s">
        <v>137</v>
      </c>
      <c r="BB2" t="s">
        <v>51</v>
      </c>
      <c r="BC2" t="s">
        <v>52</v>
      </c>
      <c r="BD2" t="s">
        <v>197</v>
      </c>
      <c r="BE2" t="s">
        <v>198</v>
      </c>
      <c r="BG2" s="30">
        <v>1252.0899999999999</v>
      </c>
      <c r="BH2" s="98">
        <v>-87.65</v>
      </c>
      <c r="BI2">
        <v>0</v>
      </c>
      <c r="BJ2" s="98">
        <v>71.12</v>
      </c>
      <c r="BK2" s="30">
        <v>-4.9800000000000004</v>
      </c>
      <c r="BL2" s="30">
        <v>26.66</v>
      </c>
      <c r="BM2" s="30">
        <v>-1.87</v>
      </c>
      <c r="BN2" s="30">
        <v>0</v>
      </c>
      <c r="BO2" s="30">
        <v>0</v>
      </c>
      <c r="BP2" s="30">
        <v>0</v>
      </c>
      <c r="BQ2" s="30">
        <v>0</v>
      </c>
      <c r="BR2" s="30">
        <v>0</v>
      </c>
      <c r="BS2" s="30">
        <v>0</v>
      </c>
      <c r="BT2" s="30">
        <v>0</v>
      </c>
      <c r="BU2" s="65">
        <v>0</v>
      </c>
    </row>
    <row r="3" spans="1:115" x14ac:dyDescent="0.25">
      <c r="A3" t="s">
        <v>163</v>
      </c>
      <c r="B3" t="s">
        <v>54</v>
      </c>
      <c r="C3" t="s">
        <v>140</v>
      </c>
      <c r="D3" t="s">
        <v>178</v>
      </c>
      <c r="E3" s="21">
        <v>42272</v>
      </c>
      <c r="F3">
        <v>400</v>
      </c>
      <c r="G3" t="s">
        <v>106</v>
      </c>
      <c r="H3" s="21">
        <v>27776</v>
      </c>
      <c r="I3" s="29" t="s">
        <v>205</v>
      </c>
      <c r="J3" t="s">
        <v>50</v>
      </c>
      <c r="K3">
        <v>2</v>
      </c>
      <c r="L3">
        <v>1</v>
      </c>
      <c r="M3" t="s">
        <v>114</v>
      </c>
      <c r="N3" t="s">
        <v>121</v>
      </c>
      <c r="O3" t="s">
        <v>125</v>
      </c>
      <c r="P3">
        <v>1920</v>
      </c>
      <c r="Q3">
        <v>234</v>
      </c>
      <c r="R3">
        <v>0</v>
      </c>
      <c r="S3" t="s">
        <v>108</v>
      </c>
      <c r="T3" t="s">
        <v>130</v>
      </c>
      <c r="U3" t="s">
        <v>131</v>
      </c>
      <c r="V3">
        <v>1436960</v>
      </c>
      <c r="W3">
        <v>51264</v>
      </c>
      <c r="X3">
        <v>15180</v>
      </c>
      <c r="Y3" t="s">
        <v>150</v>
      </c>
      <c r="Z3">
        <v>2000</v>
      </c>
      <c r="AA3" t="s">
        <v>151</v>
      </c>
      <c r="AB3">
        <v>15000</v>
      </c>
      <c r="AC3" t="s">
        <v>47</v>
      </c>
      <c r="AD3">
        <v>45000</v>
      </c>
      <c r="AE3" t="s">
        <v>50</v>
      </c>
      <c r="AF3" s="17"/>
      <c r="AG3" t="s">
        <v>154</v>
      </c>
      <c r="AH3">
        <v>8000</v>
      </c>
      <c r="AI3" t="s">
        <v>150</v>
      </c>
      <c r="AJ3">
        <v>800</v>
      </c>
      <c r="AK3" t="s">
        <v>153</v>
      </c>
      <c r="AL3">
        <v>5500</v>
      </c>
      <c r="AM3" t="s">
        <v>50</v>
      </c>
      <c r="AO3">
        <v>1454.26</v>
      </c>
      <c r="AQ3" t="s">
        <v>51</v>
      </c>
      <c r="AR3">
        <v>2</v>
      </c>
      <c r="AU3" t="s">
        <v>107</v>
      </c>
      <c r="AV3" t="s">
        <v>145</v>
      </c>
      <c r="AW3" t="s">
        <v>144</v>
      </c>
      <c r="AX3" t="s">
        <v>51</v>
      </c>
      <c r="AY3" t="s">
        <v>51</v>
      </c>
      <c r="AZ3" t="s">
        <v>51</v>
      </c>
      <c r="BA3" t="s">
        <v>137</v>
      </c>
      <c r="BB3" t="s">
        <v>51</v>
      </c>
      <c r="BC3" t="s">
        <v>52</v>
      </c>
      <c r="BD3" t="s">
        <v>197</v>
      </c>
      <c r="BE3" t="s">
        <v>198</v>
      </c>
      <c r="BG3" s="30">
        <v>1454.26</v>
      </c>
      <c r="BH3" s="98" t="s">
        <v>477</v>
      </c>
      <c r="BI3">
        <v>0</v>
      </c>
      <c r="BJ3" s="98">
        <v>71.12</v>
      </c>
      <c r="BK3" s="30">
        <v>-4.9800000000000004</v>
      </c>
      <c r="BL3" s="30">
        <v>26.66</v>
      </c>
      <c r="BM3" s="30">
        <v>-1.87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0</v>
      </c>
      <c r="BT3" s="30">
        <v>0</v>
      </c>
      <c r="BU3" s="65">
        <v>1</v>
      </c>
    </row>
    <row r="4" spans="1:115" x14ac:dyDescent="0.25">
      <c r="A4" t="s">
        <v>164</v>
      </c>
      <c r="B4" t="s">
        <v>54</v>
      </c>
      <c r="C4" t="s">
        <v>140</v>
      </c>
      <c r="D4" t="s">
        <v>49</v>
      </c>
      <c r="E4" s="21">
        <v>41923</v>
      </c>
      <c r="F4">
        <v>700</v>
      </c>
      <c r="G4" t="s">
        <v>149</v>
      </c>
      <c r="H4" s="21">
        <v>22017</v>
      </c>
      <c r="I4" s="28" t="s">
        <v>201</v>
      </c>
      <c r="J4" t="s">
        <v>50</v>
      </c>
      <c r="K4">
        <v>1</v>
      </c>
      <c r="L4">
        <v>2</v>
      </c>
      <c r="M4" t="s">
        <v>115</v>
      </c>
      <c r="N4" t="s">
        <v>120</v>
      </c>
      <c r="O4" t="s">
        <v>125</v>
      </c>
      <c r="P4">
        <v>2011</v>
      </c>
      <c r="Q4">
        <v>87</v>
      </c>
      <c r="R4">
        <v>36</v>
      </c>
      <c r="S4" t="s">
        <v>109</v>
      </c>
      <c r="T4" t="s">
        <v>128</v>
      </c>
      <c r="U4" t="s">
        <v>134</v>
      </c>
      <c r="V4">
        <v>41097</v>
      </c>
      <c r="W4">
        <v>7000</v>
      </c>
      <c r="Y4" t="s">
        <v>50</v>
      </c>
      <c r="AA4" t="s">
        <v>50</v>
      </c>
      <c r="AC4" t="s">
        <v>50</v>
      </c>
      <c r="AE4" t="s">
        <v>50</v>
      </c>
      <c r="AF4" s="17"/>
      <c r="AG4" t="s">
        <v>50</v>
      </c>
      <c r="AI4" t="s">
        <v>50</v>
      </c>
      <c r="AK4" t="s">
        <v>50</v>
      </c>
      <c r="AM4" t="s">
        <v>50</v>
      </c>
      <c r="AQ4" t="s">
        <v>51</v>
      </c>
      <c r="AU4" t="s">
        <v>107</v>
      </c>
      <c r="AV4" t="s">
        <v>146</v>
      </c>
      <c r="AW4" t="s">
        <v>142</v>
      </c>
      <c r="AX4" t="s">
        <v>52</v>
      </c>
      <c r="AY4" t="s">
        <v>52</v>
      </c>
      <c r="AZ4" t="s">
        <v>51</v>
      </c>
      <c r="BA4" s="32" t="s">
        <v>137</v>
      </c>
      <c r="BB4" s="32" t="s">
        <v>52</v>
      </c>
      <c r="BC4" s="32" t="s">
        <v>52</v>
      </c>
      <c r="BD4" s="32" t="s">
        <v>199</v>
      </c>
      <c r="BE4" s="32" t="s">
        <v>200</v>
      </c>
      <c r="BF4" s="32"/>
      <c r="BG4" s="30">
        <v>128.66999999999999</v>
      </c>
      <c r="BH4" s="3">
        <v>0</v>
      </c>
      <c r="BI4">
        <v>0</v>
      </c>
      <c r="BJ4" s="98">
        <v>24.27</v>
      </c>
      <c r="BK4">
        <v>0</v>
      </c>
      <c r="BL4">
        <v>0</v>
      </c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65">
        <v>0</v>
      </c>
    </row>
    <row r="5" spans="1:115" x14ac:dyDescent="0.25">
      <c r="A5" t="s">
        <v>165</v>
      </c>
      <c r="B5" t="s">
        <v>54</v>
      </c>
      <c r="C5" t="s">
        <v>140</v>
      </c>
      <c r="D5" t="s">
        <v>178</v>
      </c>
      <c r="E5" s="21">
        <v>42288</v>
      </c>
      <c r="F5">
        <v>700</v>
      </c>
      <c r="G5" t="s">
        <v>149</v>
      </c>
      <c r="H5" s="21">
        <v>22017</v>
      </c>
      <c r="I5" s="28" t="s">
        <v>201</v>
      </c>
      <c r="J5" t="s">
        <v>50</v>
      </c>
      <c r="K5">
        <v>1</v>
      </c>
      <c r="L5">
        <v>2</v>
      </c>
      <c r="M5" t="s">
        <v>115</v>
      </c>
      <c r="N5" t="s">
        <v>120</v>
      </c>
      <c r="O5" t="s">
        <v>125</v>
      </c>
      <c r="P5">
        <v>2011</v>
      </c>
      <c r="Q5">
        <v>87</v>
      </c>
      <c r="R5">
        <v>36</v>
      </c>
      <c r="S5" t="s">
        <v>109</v>
      </c>
      <c r="T5" t="s">
        <v>128</v>
      </c>
      <c r="U5" t="s">
        <v>134</v>
      </c>
      <c r="V5">
        <v>41097</v>
      </c>
      <c r="W5">
        <v>7000</v>
      </c>
      <c r="Y5" t="s">
        <v>50</v>
      </c>
      <c r="AA5" t="s">
        <v>50</v>
      </c>
      <c r="AC5" t="s">
        <v>50</v>
      </c>
      <c r="AE5" t="s">
        <v>50</v>
      </c>
      <c r="AF5" s="17"/>
      <c r="AG5" t="s">
        <v>50</v>
      </c>
      <c r="AI5" t="s">
        <v>50</v>
      </c>
      <c r="AK5" t="s">
        <v>50</v>
      </c>
      <c r="AM5" t="s">
        <v>50</v>
      </c>
      <c r="AO5">
        <v>276.63</v>
      </c>
      <c r="AQ5" t="s">
        <v>51</v>
      </c>
      <c r="AU5" t="s">
        <v>107</v>
      </c>
      <c r="AV5" t="s">
        <v>146</v>
      </c>
      <c r="AW5" t="s">
        <v>142</v>
      </c>
      <c r="AX5" t="s">
        <v>52</v>
      </c>
      <c r="AY5" t="s">
        <v>52</v>
      </c>
      <c r="AZ5" t="s">
        <v>51</v>
      </c>
      <c r="BA5" s="32" t="s">
        <v>137</v>
      </c>
      <c r="BB5" s="32" t="s">
        <v>52</v>
      </c>
      <c r="BC5" s="32" t="s">
        <v>52</v>
      </c>
      <c r="BD5" s="32" t="s">
        <v>199</v>
      </c>
      <c r="BE5" s="32" t="s">
        <v>200</v>
      </c>
      <c r="BF5" s="32"/>
      <c r="BG5" s="30">
        <v>146.74</v>
      </c>
      <c r="BH5" s="3">
        <v>0</v>
      </c>
      <c r="BI5">
        <v>0</v>
      </c>
      <c r="BJ5" s="98">
        <v>24.27</v>
      </c>
      <c r="BK5">
        <v>0</v>
      </c>
      <c r="BL5">
        <v>0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65">
        <v>1</v>
      </c>
    </row>
    <row r="6" spans="1:115" x14ac:dyDescent="0.25">
      <c r="A6" t="s">
        <v>384</v>
      </c>
      <c r="B6" t="s">
        <v>54</v>
      </c>
      <c r="C6" t="s">
        <v>140</v>
      </c>
      <c r="D6" t="s">
        <v>388</v>
      </c>
      <c r="E6" s="21">
        <v>42288</v>
      </c>
      <c r="F6">
        <v>700</v>
      </c>
      <c r="G6" t="s">
        <v>149</v>
      </c>
      <c r="H6" s="21">
        <v>22017</v>
      </c>
      <c r="I6" s="28" t="s">
        <v>201</v>
      </c>
      <c r="J6" t="s">
        <v>50</v>
      </c>
      <c r="K6">
        <v>1</v>
      </c>
      <c r="L6">
        <v>2</v>
      </c>
      <c r="M6" t="s">
        <v>115</v>
      </c>
      <c r="N6" t="s">
        <v>120</v>
      </c>
      <c r="O6" t="s">
        <v>125</v>
      </c>
      <c r="P6">
        <v>2011</v>
      </c>
      <c r="Q6">
        <v>87</v>
      </c>
      <c r="R6">
        <v>36</v>
      </c>
      <c r="S6" t="s">
        <v>109</v>
      </c>
      <c r="T6" t="s">
        <v>128</v>
      </c>
      <c r="U6" t="s">
        <v>134</v>
      </c>
      <c r="V6">
        <v>41097</v>
      </c>
      <c r="W6">
        <v>7000</v>
      </c>
      <c r="Y6" t="s">
        <v>50</v>
      </c>
      <c r="AA6" t="s">
        <v>50</v>
      </c>
      <c r="AC6" t="s">
        <v>50</v>
      </c>
      <c r="AE6" t="s">
        <v>50</v>
      </c>
      <c r="AF6" s="17"/>
      <c r="AG6" t="s">
        <v>50</v>
      </c>
      <c r="AI6" t="s">
        <v>50</v>
      </c>
      <c r="AK6" t="s">
        <v>50</v>
      </c>
      <c r="AM6" t="s">
        <v>50</v>
      </c>
      <c r="AO6">
        <v>276.63</v>
      </c>
      <c r="AQ6" t="s">
        <v>51</v>
      </c>
      <c r="AU6" t="s">
        <v>107</v>
      </c>
      <c r="AV6" t="s">
        <v>146</v>
      </c>
      <c r="AW6" t="s">
        <v>142</v>
      </c>
      <c r="AX6" t="s">
        <v>52</v>
      </c>
      <c r="AY6" t="s">
        <v>52</v>
      </c>
      <c r="AZ6" t="s">
        <v>51</v>
      </c>
      <c r="BA6" s="32" t="s">
        <v>138</v>
      </c>
      <c r="BB6" s="32" t="s">
        <v>52</v>
      </c>
      <c r="BC6" s="32" t="s">
        <v>52</v>
      </c>
      <c r="BD6" s="32" t="s">
        <v>199</v>
      </c>
      <c r="BE6" s="32" t="s">
        <v>200</v>
      </c>
      <c r="BF6" s="97">
        <v>42350</v>
      </c>
      <c r="BG6" s="30">
        <v>151.05000000000001</v>
      </c>
      <c r="BH6" s="3">
        <v>0</v>
      </c>
      <c r="BI6">
        <v>0</v>
      </c>
      <c r="BJ6" s="98">
        <v>24.27</v>
      </c>
      <c r="BK6">
        <v>0</v>
      </c>
      <c r="BL6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65">
        <v>1</v>
      </c>
    </row>
    <row r="7" spans="1:115" x14ac:dyDescent="0.25">
      <c r="A7" t="s">
        <v>385</v>
      </c>
      <c r="B7" t="s">
        <v>54</v>
      </c>
      <c r="C7" t="s">
        <v>140</v>
      </c>
      <c r="D7" t="s">
        <v>388</v>
      </c>
      <c r="E7" s="21">
        <v>42288</v>
      </c>
      <c r="F7" s="32">
        <v>1200</v>
      </c>
      <c r="G7" s="32" t="s">
        <v>149</v>
      </c>
      <c r="H7" s="94">
        <v>22017</v>
      </c>
      <c r="I7" s="28" t="s">
        <v>201</v>
      </c>
      <c r="J7" s="32" t="s">
        <v>50</v>
      </c>
      <c r="K7" s="32">
        <v>1</v>
      </c>
      <c r="L7" s="32">
        <v>2</v>
      </c>
      <c r="M7" s="32" t="s">
        <v>114</v>
      </c>
      <c r="N7" s="32" t="s">
        <v>120</v>
      </c>
      <c r="O7" s="32" t="s">
        <v>125</v>
      </c>
      <c r="P7" s="32">
        <v>2011</v>
      </c>
      <c r="Q7" s="32">
        <v>87</v>
      </c>
      <c r="R7" s="32">
        <v>36</v>
      </c>
      <c r="S7" s="32" t="s">
        <v>109</v>
      </c>
      <c r="T7" t="s">
        <v>128</v>
      </c>
      <c r="U7" t="s">
        <v>134</v>
      </c>
      <c r="V7">
        <v>41097</v>
      </c>
      <c r="W7">
        <v>7000</v>
      </c>
      <c r="Y7" t="s">
        <v>50</v>
      </c>
      <c r="AA7" t="s">
        <v>50</v>
      </c>
      <c r="AC7" t="s">
        <v>50</v>
      </c>
      <c r="AE7" t="s">
        <v>50</v>
      </c>
      <c r="AF7" s="17"/>
      <c r="AG7" t="s">
        <v>50</v>
      </c>
      <c r="AI7" t="s">
        <v>50</v>
      </c>
      <c r="AK7" t="s">
        <v>50</v>
      </c>
      <c r="AM7" t="s">
        <v>50</v>
      </c>
      <c r="AO7">
        <v>276.63</v>
      </c>
      <c r="AQ7" t="s">
        <v>51</v>
      </c>
      <c r="AU7" t="s">
        <v>107</v>
      </c>
      <c r="AV7" t="s">
        <v>146</v>
      </c>
      <c r="AW7" t="s">
        <v>142</v>
      </c>
      <c r="AX7" t="s">
        <v>52</v>
      </c>
      <c r="AY7" t="s">
        <v>52</v>
      </c>
      <c r="AZ7" t="s">
        <v>51</v>
      </c>
      <c r="BA7" s="32" t="s">
        <v>138</v>
      </c>
      <c r="BB7" s="32" t="s">
        <v>52</v>
      </c>
      <c r="BC7" s="32" t="s">
        <v>52</v>
      </c>
      <c r="BD7" s="32" t="s">
        <v>199</v>
      </c>
      <c r="BE7" s="32" t="s">
        <v>200</v>
      </c>
      <c r="BF7" s="97">
        <v>42370</v>
      </c>
      <c r="BG7" s="30">
        <v>143.49</v>
      </c>
      <c r="BH7" s="3">
        <v>0</v>
      </c>
      <c r="BI7">
        <v>0</v>
      </c>
      <c r="BJ7" s="98">
        <v>25.43</v>
      </c>
      <c r="BK7">
        <v>0</v>
      </c>
      <c r="BL7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65">
        <v>1</v>
      </c>
    </row>
    <row r="8" spans="1:115" x14ac:dyDescent="0.25">
      <c r="A8" t="s">
        <v>386</v>
      </c>
      <c r="B8" t="s">
        <v>54</v>
      </c>
      <c r="C8" t="s">
        <v>140</v>
      </c>
      <c r="D8" t="s">
        <v>388</v>
      </c>
      <c r="E8" s="21">
        <v>42288</v>
      </c>
      <c r="F8" s="32">
        <v>700</v>
      </c>
      <c r="G8" s="32" t="s">
        <v>149</v>
      </c>
      <c r="H8" s="94">
        <v>22017</v>
      </c>
      <c r="I8" s="28" t="s">
        <v>201</v>
      </c>
      <c r="J8" s="32" t="s">
        <v>50</v>
      </c>
      <c r="K8" s="32">
        <v>1</v>
      </c>
      <c r="L8" s="32">
        <v>2</v>
      </c>
      <c r="M8" s="32" t="s">
        <v>115</v>
      </c>
      <c r="N8" s="32" t="s">
        <v>120</v>
      </c>
      <c r="O8" s="32" t="s">
        <v>125</v>
      </c>
      <c r="P8" s="32">
        <v>2011</v>
      </c>
      <c r="Q8" s="32">
        <v>87</v>
      </c>
      <c r="R8" s="32">
        <v>36</v>
      </c>
      <c r="S8" s="32" t="s">
        <v>109</v>
      </c>
      <c r="T8" t="s">
        <v>128</v>
      </c>
      <c r="U8" t="s">
        <v>134</v>
      </c>
      <c r="V8">
        <v>41097</v>
      </c>
      <c r="W8">
        <v>7000</v>
      </c>
      <c r="Y8" t="s">
        <v>50</v>
      </c>
      <c r="AA8" t="s">
        <v>50</v>
      </c>
      <c r="AC8" t="s">
        <v>50</v>
      </c>
      <c r="AE8" t="s">
        <v>50</v>
      </c>
      <c r="AF8" s="17"/>
      <c r="AG8" t="s">
        <v>50</v>
      </c>
      <c r="AI8" t="s">
        <v>50</v>
      </c>
      <c r="AK8" t="s">
        <v>50</v>
      </c>
      <c r="AM8" t="s">
        <v>50</v>
      </c>
      <c r="AO8">
        <v>276.63</v>
      </c>
      <c r="AQ8" t="s">
        <v>51</v>
      </c>
      <c r="AU8" t="s">
        <v>107</v>
      </c>
      <c r="AV8" t="s">
        <v>146</v>
      </c>
      <c r="AW8" t="s">
        <v>142</v>
      </c>
      <c r="AX8" t="s">
        <v>52</v>
      </c>
      <c r="AY8" t="s">
        <v>52</v>
      </c>
      <c r="AZ8" t="s">
        <v>51</v>
      </c>
      <c r="BA8" s="32" t="s">
        <v>137</v>
      </c>
      <c r="BB8" s="32" t="s">
        <v>52</v>
      </c>
      <c r="BC8" s="32" t="s">
        <v>52</v>
      </c>
      <c r="BD8" s="32" t="s">
        <v>199</v>
      </c>
      <c r="BE8" s="32" t="s">
        <v>200</v>
      </c>
      <c r="BF8" s="97">
        <v>42410</v>
      </c>
      <c r="BG8" s="30">
        <v>146.74</v>
      </c>
      <c r="BH8" s="3">
        <v>0</v>
      </c>
      <c r="BI8">
        <v>0</v>
      </c>
      <c r="BJ8" s="98">
        <v>24.27</v>
      </c>
      <c r="BK8">
        <v>0</v>
      </c>
      <c r="BL8">
        <v>0</v>
      </c>
      <c r="BM8" s="30">
        <v>0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65">
        <v>1</v>
      </c>
    </row>
    <row r="9" spans="1:115" x14ac:dyDescent="0.25">
      <c r="A9" t="s">
        <v>166</v>
      </c>
      <c r="B9" t="s">
        <v>54</v>
      </c>
      <c r="C9" t="s">
        <v>139</v>
      </c>
      <c r="D9" t="s">
        <v>49</v>
      </c>
      <c r="E9" s="21">
        <v>42103</v>
      </c>
      <c r="F9" s="32">
        <v>1200</v>
      </c>
      <c r="G9" s="32" t="s">
        <v>106</v>
      </c>
      <c r="H9" s="94">
        <v>26041</v>
      </c>
      <c r="I9" s="27" t="s">
        <v>202</v>
      </c>
      <c r="J9" s="32" t="s">
        <v>50</v>
      </c>
      <c r="K9" s="32">
        <v>1</v>
      </c>
      <c r="L9" s="32">
        <v>0</v>
      </c>
      <c r="M9" s="32" t="s">
        <v>116</v>
      </c>
      <c r="N9" s="32" t="s">
        <v>122</v>
      </c>
      <c r="O9" s="32" t="s">
        <v>126</v>
      </c>
      <c r="P9" s="32">
        <v>1990</v>
      </c>
      <c r="Q9" s="32">
        <v>88</v>
      </c>
      <c r="R9" s="32">
        <v>20</v>
      </c>
      <c r="S9" s="32" t="s">
        <v>110</v>
      </c>
      <c r="T9" t="s">
        <v>130</v>
      </c>
      <c r="U9" t="s">
        <v>132</v>
      </c>
      <c r="V9">
        <v>71131</v>
      </c>
      <c r="X9">
        <v>13000</v>
      </c>
      <c r="Y9" t="s">
        <v>50</v>
      </c>
      <c r="AA9" t="s">
        <v>50</v>
      </c>
      <c r="AC9" t="s">
        <v>50</v>
      </c>
      <c r="AE9" t="s">
        <v>50</v>
      </c>
      <c r="AF9" s="17"/>
      <c r="AG9" t="s">
        <v>50</v>
      </c>
      <c r="AI9" t="s">
        <v>50</v>
      </c>
      <c r="AK9" t="s">
        <v>50</v>
      </c>
      <c r="AM9" t="s">
        <v>50</v>
      </c>
      <c r="AQ9" t="s">
        <v>52</v>
      </c>
      <c r="AU9" t="s">
        <v>107</v>
      </c>
      <c r="AV9" t="s">
        <v>145</v>
      </c>
      <c r="AW9" t="s">
        <v>144</v>
      </c>
      <c r="AX9" t="s">
        <v>52</v>
      </c>
      <c r="AY9" t="s">
        <v>51</v>
      </c>
      <c r="AZ9" t="s">
        <v>52</v>
      </c>
      <c r="BA9" s="32" t="s">
        <v>138</v>
      </c>
      <c r="BB9" s="32" t="s">
        <v>52</v>
      </c>
      <c r="BC9" s="32" t="s">
        <v>52</v>
      </c>
      <c r="BD9" s="32" t="s">
        <v>203</v>
      </c>
      <c r="BE9" s="32" t="s">
        <v>204</v>
      </c>
      <c r="BF9" s="32"/>
      <c r="BG9" s="30">
        <v>216.98</v>
      </c>
      <c r="BH9" s="98" t="s">
        <v>478</v>
      </c>
      <c r="BI9">
        <v>0</v>
      </c>
      <c r="BJ9" s="3">
        <v>0</v>
      </c>
      <c r="BK9">
        <v>0</v>
      </c>
      <c r="BL9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65">
        <v>0</v>
      </c>
    </row>
    <row r="10" spans="1:115" x14ac:dyDescent="0.25">
      <c r="A10" t="s">
        <v>389</v>
      </c>
      <c r="B10" t="s">
        <v>54</v>
      </c>
      <c r="C10" t="s">
        <v>139</v>
      </c>
      <c r="D10" t="s">
        <v>388</v>
      </c>
      <c r="E10" s="21">
        <v>42103</v>
      </c>
      <c r="F10" s="32">
        <v>1200</v>
      </c>
      <c r="G10" s="32" t="s">
        <v>149</v>
      </c>
      <c r="H10" s="94">
        <v>26041</v>
      </c>
      <c r="I10" s="27" t="s">
        <v>202</v>
      </c>
      <c r="J10" s="32" t="s">
        <v>50</v>
      </c>
      <c r="K10" s="32">
        <v>1</v>
      </c>
      <c r="L10" s="32">
        <v>0</v>
      </c>
      <c r="M10" s="32" t="s">
        <v>116</v>
      </c>
      <c r="N10" s="32" t="s">
        <v>122</v>
      </c>
      <c r="O10" s="32" t="s">
        <v>126</v>
      </c>
      <c r="P10" s="32">
        <v>1990</v>
      </c>
      <c r="Q10" s="32">
        <v>88</v>
      </c>
      <c r="R10" s="32">
        <v>20</v>
      </c>
      <c r="S10" s="32" t="s">
        <v>110</v>
      </c>
      <c r="T10" t="s">
        <v>130</v>
      </c>
      <c r="U10" t="s">
        <v>132</v>
      </c>
      <c r="V10">
        <v>71131</v>
      </c>
      <c r="X10">
        <v>13000</v>
      </c>
      <c r="Y10" t="s">
        <v>50</v>
      </c>
      <c r="AA10" t="s">
        <v>50</v>
      </c>
      <c r="AC10" t="s">
        <v>50</v>
      </c>
      <c r="AE10" t="s">
        <v>50</v>
      </c>
      <c r="AF10" s="17"/>
      <c r="AG10" t="s">
        <v>50</v>
      </c>
      <c r="AI10" t="s">
        <v>50</v>
      </c>
      <c r="AK10" t="s">
        <v>50</v>
      </c>
      <c r="AM10" t="s">
        <v>50</v>
      </c>
      <c r="AQ10" t="s">
        <v>52</v>
      </c>
      <c r="AU10" t="s">
        <v>107</v>
      </c>
      <c r="AV10" t="s">
        <v>145</v>
      </c>
      <c r="AW10" t="s">
        <v>144</v>
      </c>
      <c r="AX10" t="s">
        <v>52</v>
      </c>
      <c r="AY10" t="s">
        <v>51</v>
      </c>
      <c r="AZ10" t="s">
        <v>52</v>
      </c>
      <c r="BA10" s="32" t="s">
        <v>138</v>
      </c>
      <c r="BB10" s="32" t="s">
        <v>52</v>
      </c>
      <c r="BC10" s="32" t="s">
        <v>52</v>
      </c>
      <c r="BD10" s="32" t="s">
        <v>203</v>
      </c>
      <c r="BE10" s="32" t="s">
        <v>204</v>
      </c>
      <c r="BF10" s="97">
        <v>42133</v>
      </c>
      <c r="BG10" s="30">
        <v>247.36</v>
      </c>
      <c r="BH10" s="98">
        <v>-17.32</v>
      </c>
      <c r="BI10">
        <v>0</v>
      </c>
      <c r="BJ10" s="3">
        <v>0</v>
      </c>
      <c r="BK10">
        <v>0</v>
      </c>
      <c r="BL10">
        <v>0</v>
      </c>
      <c r="BM10" s="30">
        <v>0</v>
      </c>
      <c r="BN10" s="30">
        <v>0</v>
      </c>
      <c r="BO10" s="30">
        <v>0</v>
      </c>
      <c r="BP10" s="30">
        <v>0</v>
      </c>
      <c r="BQ10" s="30">
        <v>0</v>
      </c>
      <c r="BR10" s="30">
        <v>0</v>
      </c>
      <c r="BS10" s="30">
        <v>0</v>
      </c>
      <c r="BT10" s="30">
        <v>0</v>
      </c>
      <c r="BU10" s="65">
        <v>0</v>
      </c>
    </row>
    <row r="11" spans="1:115" x14ac:dyDescent="0.25">
      <c r="A11" t="s">
        <v>390</v>
      </c>
      <c r="B11" t="s">
        <v>54</v>
      </c>
      <c r="C11" t="s">
        <v>139</v>
      </c>
      <c r="D11" t="s">
        <v>388</v>
      </c>
      <c r="E11" s="21">
        <v>42103</v>
      </c>
      <c r="F11" s="32">
        <v>1200</v>
      </c>
      <c r="G11" s="32" t="s">
        <v>149</v>
      </c>
      <c r="H11" s="94">
        <v>26041</v>
      </c>
      <c r="I11" s="27" t="s">
        <v>202</v>
      </c>
      <c r="J11" s="32" t="s">
        <v>50</v>
      </c>
      <c r="K11" s="32">
        <v>5</v>
      </c>
      <c r="L11" s="32">
        <v>0</v>
      </c>
      <c r="M11" s="32" t="s">
        <v>116</v>
      </c>
      <c r="N11" s="32" t="s">
        <v>122</v>
      </c>
      <c r="O11" s="32" t="s">
        <v>126</v>
      </c>
      <c r="P11" s="32">
        <v>1990</v>
      </c>
      <c r="Q11" s="32">
        <v>88</v>
      </c>
      <c r="R11" s="32">
        <v>20</v>
      </c>
      <c r="S11" s="32" t="s">
        <v>110</v>
      </c>
      <c r="T11" t="s">
        <v>130</v>
      </c>
      <c r="U11" t="s">
        <v>132</v>
      </c>
      <c r="V11">
        <v>71131</v>
      </c>
      <c r="X11">
        <v>13000</v>
      </c>
      <c r="Y11" t="s">
        <v>50</v>
      </c>
      <c r="AA11" t="s">
        <v>50</v>
      </c>
      <c r="AC11" t="s">
        <v>50</v>
      </c>
      <c r="AE11" t="s">
        <v>50</v>
      </c>
      <c r="AF11" s="17"/>
      <c r="AG11" t="s">
        <v>50</v>
      </c>
      <c r="AI11" t="s">
        <v>50</v>
      </c>
      <c r="AK11" t="s">
        <v>50</v>
      </c>
      <c r="AM11" t="s">
        <v>50</v>
      </c>
      <c r="AQ11" t="s">
        <v>52</v>
      </c>
      <c r="AU11" t="s">
        <v>107</v>
      </c>
      <c r="AV11" t="s">
        <v>145</v>
      </c>
      <c r="AW11" t="s">
        <v>144</v>
      </c>
      <c r="AX11" t="s">
        <v>52</v>
      </c>
      <c r="AY11" t="s">
        <v>51</v>
      </c>
      <c r="AZ11" t="s">
        <v>52</v>
      </c>
      <c r="BA11" s="32" t="s">
        <v>138</v>
      </c>
      <c r="BB11" s="32" t="s">
        <v>52</v>
      </c>
      <c r="BC11" s="32" t="s">
        <v>52</v>
      </c>
      <c r="BD11" s="32" t="s">
        <v>203</v>
      </c>
      <c r="BE11" s="32" t="s">
        <v>204</v>
      </c>
      <c r="BF11" s="97">
        <v>42164</v>
      </c>
      <c r="BG11" s="30">
        <v>236.37</v>
      </c>
      <c r="BH11" s="98">
        <v>-16.55</v>
      </c>
      <c r="BI11">
        <v>0</v>
      </c>
      <c r="BJ11" s="3">
        <v>0</v>
      </c>
      <c r="BK11">
        <v>0</v>
      </c>
      <c r="BL11">
        <v>0</v>
      </c>
      <c r="BM11" s="30">
        <v>0</v>
      </c>
      <c r="BN11" s="30">
        <v>0</v>
      </c>
      <c r="BO11" s="30">
        <v>0</v>
      </c>
      <c r="BP11" s="30">
        <v>0</v>
      </c>
      <c r="BQ11" s="30">
        <v>0</v>
      </c>
      <c r="BR11" s="30">
        <v>0</v>
      </c>
      <c r="BS11" s="30">
        <v>0</v>
      </c>
      <c r="BT11" s="30">
        <v>0</v>
      </c>
      <c r="BU11" s="65">
        <v>0</v>
      </c>
    </row>
    <row r="12" spans="1:115" x14ac:dyDescent="0.25">
      <c r="A12" t="s">
        <v>391</v>
      </c>
      <c r="B12" t="s">
        <v>54</v>
      </c>
      <c r="C12" t="s">
        <v>139</v>
      </c>
      <c r="D12" t="s">
        <v>388</v>
      </c>
      <c r="E12" s="21">
        <v>42103</v>
      </c>
      <c r="F12" s="32">
        <v>1200</v>
      </c>
      <c r="G12" s="32" t="s">
        <v>149</v>
      </c>
      <c r="H12" s="94">
        <v>26041</v>
      </c>
      <c r="I12" s="95" t="s">
        <v>201</v>
      </c>
      <c r="J12" s="32" t="s">
        <v>50</v>
      </c>
      <c r="K12" s="32">
        <v>5</v>
      </c>
      <c r="L12" s="32">
        <v>0</v>
      </c>
      <c r="M12" s="32" t="s">
        <v>116</v>
      </c>
      <c r="N12" s="32" t="s">
        <v>122</v>
      </c>
      <c r="O12" s="32" t="s">
        <v>126</v>
      </c>
      <c r="P12" s="32">
        <v>1990</v>
      </c>
      <c r="Q12" s="32">
        <v>88</v>
      </c>
      <c r="R12" s="32">
        <v>20</v>
      </c>
      <c r="S12" s="32" t="s">
        <v>110</v>
      </c>
      <c r="T12" t="s">
        <v>130</v>
      </c>
      <c r="U12" t="s">
        <v>132</v>
      </c>
      <c r="V12">
        <v>71131</v>
      </c>
      <c r="X12">
        <v>13000</v>
      </c>
      <c r="Y12" t="s">
        <v>50</v>
      </c>
      <c r="AA12" t="s">
        <v>50</v>
      </c>
      <c r="AC12" t="s">
        <v>50</v>
      </c>
      <c r="AE12" t="s">
        <v>50</v>
      </c>
      <c r="AF12" s="17"/>
      <c r="AG12" t="s">
        <v>50</v>
      </c>
      <c r="AI12" t="s">
        <v>50</v>
      </c>
      <c r="AK12" t="s">
        <v>50</v>
      </c>
      <c r="AM12" t="s">
        <v>50</v>
      </c>
      <c r="AQ12" t="s">
        <v>52</v>
      </c>
      <c r="AU12" t="s">
        <v>107</v>
      </c>
      <c r="AV12" t="s">
        <v>145</v>
      </c>
      <c r="AW12" t="s">
        <v>144</v>
      </c>
      <c r="AX12" t="s">
        <v>52</v>
      </c>
      <c r="AY12" t="s">
        <v>51</v>
      </c>
      <c r="AZ12" t="s">
        <v>52</v>
      </c>
      <c r="BA12" s="32" t="s">
        <v>138</v>
      </c>
      <c r="BB12" s="32" t="s">
        <v>52</v>
      </c>
      <c r="BC12" s="32" t="s">
        <v>52</v>
      </c>
      <c r="BD12" s="32" t="s">
        <v>199</v>
      </c>
      <c r="BE12" s="32" t="s">
        <v>200</v>
      </c>
      <c r="BF12" s="97">
        <v>42194</v>
      </c>
      <c r="BG12" s="30">
        <v>233.26</v>
      </c>
      <c r="BH12" s="98">
        <v>-16.329999999999998</v>
      </c>
      <c r="BI12">
        <v>0</v>
      </c>
      <c r="BJ12" s="3">
        <v>0</v>
      </c>
      <c r="BK12">
        <v>0</v>
      </c>
      <c r="BL12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0</v>
      </c>
      <c r="BT12" s="30">
        <v>0</v>
      </c>
      <c r="BU12" s="65">
        <v>0</v>
      </c>
    </row>
    <row r="13" spans="1:115" x14ac:dyDescent="0.25">
      <c r="A13" t="s">
        <v>174</v>
      </c>
      <c r="B13" t="s">
        <v>54</v>
      </c>
      <c r="C13" t="s">
        <v>139</v>
      </c>
      <c r="D13" t="s">
        <v>178</v>
      </c>
      <c r="E13" s="21">
        <v>42469</v>
      </c>
      <c r="F13" s="32">
        <v>1200</v>
      </c>
      <c r="G13" s="32" t="s">
        <v>149</v>
      </c>
      <c r="H13" s="94">
        <v>26041</v>
      </c>
      <c r="I13" s="95" t="s">
        <v>201</v>
      </c>
      <c r="J13" s="32" t="s">
        <v>50</v>
      </c>
      <c r="K13" s="32">
        <v>5</v>
      </c>
      <c r="L13" s="32">
        <v>0</v>
      </c>
      <c r="M13" s="32" t="s">
        <v>116</v>
      </c>
      <c r="N13" s="32" t="s">
        <v>122</v>
      </c>
      <c r="O13" s="32" t="s">
        <v>126</v>
      </c>
      <c r="P13" s="32">
        <v>1990</v>
      </c>
      <c r="Q13" s="32">
        <v>88</v>
      </c>
      <c r="R13" s="32">
        <v>20</v>
      </c>
      <c r="S13" s="32" t="s">
        <v>110</v>
      </c>
      <c r="T13" t="s">
        <v>130</v>
      </c>
      <c r="U13" t="s">
        <v>132</v>
      </c>
      <c r="V13">
        <v>71131</v>
      </c>
      <c r="X13">
        <v>13000</v>
      </c>
      <c r="Y13" t="s">
        <v>50</v>
      </c>
      <c r="AA13" t="s">
        <v>50</v>
      </c>
      <c r="AC13" t="s">
        <v>50</v>
      </c>
      <c r="AE13" t="s">
        <v>50</v>
      </c>
      <c r="AF13" s="17"/>
      <c r="AG13" t="s">
        <v>50</v>
      </c>
      <c r="AI13" t="s">
        <v>50</v>
      </c>
      <c r="AK13" t="s">
        <v>50</v>
      </c>
      <c r="AM13" t="s">
        <v>50</v>
      </c>
      <c r="AO13">
        <v>278.23</v>
      </c>
      <c r="AQ13" t="s">
        <v>52</v>
      </c>
      <c r="AU13" t="s">
        <v>107</v>
      </c>
      <c r="AV13" t="s">
        <v>145</v>
      </c>
      <c r="AW13" t="s">
        <v>144</v>
      </c>
      <c r="AX13" t="s">
        <v>52</v>
      </c>
      <c r="AY13" t="s">
        <v>51</v>
      </c>
      <c r="AZ13" t="s">
        <v>52</v>
      </c>
      <c r="BA13" s="32" t="s">
        <v>138</v>
      </c>
      <c r="BB13" s="32" t="s">
        <v>52</v>
      </c>
      <c r="BC13" s="32" t="s">
        <v>52</v>
      </c>
      <c r="BD13" s="32" t="s">
        <v>199</v>
      </c>
      <c r="BE13" s="32" t="s">
        <v>200</v>
      </c>
      <c r="BF13" s="32"/>
      <c r="BG13" s="30">
        <v>272.05</v>
      </c>
      <c r="BH13" s="98">
        <v>-19.04</v>
      </c>
      <c r="BI13">
        <v>0</v>
      </c>
      <c r="BJ13" s="3">
        <v>0</v>
      </c>
      <c r="BK13">
        <v>0</v>
      </c>
      <c r="BL13">
        <v>0</v>
      </c>
      <c r="BM13" s="30">
        <v>0</v>
      </c>
      <c r="BN13" s="98">
        <v>0</v>
      </c>
      <c r="BO13" s="30">
        <v>0</v>
      </c>
      <c r="BP13" s="30">
        <v>0</v>
      </c>
      <c r="BQ13" s="30">
        <v>0</v>
      </c>
      <c r="BR13" s="30">
        <v>0</v>
      </c>
      <c r="BS13" s="30">
        <v>0</v>
      </c>
      <c r="BT13" s="30">
        <v>0</v>
      </c>
      <c r="BU13" s="65">
        <v>1</v>
      </c>
    </row>
    <row r="14" spans="1:115" x14ac:dyDescent="0.25">
      <c r="A14" t="s">
        <v>171</v>
      </c>
      <c r="B14" t="s">
        <v>54</v>
      </c>
      <c r="C14" t="s">
        <v>141</v>
      </c>
      <c r="D14" t="s">
        <v>49</v>
      </c>
      <c r="E14" s="21">
        <v>41987</v>
      </c>
      <c r="F14" s="32">
        <v>550</v>
      </c>
      <c r="G14" s="32" t="s">
        <v>106</v>
      </c>
      <c r="H14" s="94">
        <v>26526</v>
      </c>
      <c r="I14" s="27" t="s">
        <v>205</v>
      </c>
      <c r="J14" s="32" t="s">
        <v>50</v>
      </c>
      <c r="K14" s="32">
        <v>12</v>
      </c>
      <c r="L14" s="32">
        <v>1</v>
      </c>
      <c r="M14" s="32" t="s">
        <v>118</v>
      </c>
      <c r="N14" s="32" t="s">
        <v>113</v>
      </c>
      <c r="O14" s="32" t="s">
        <v>127</v>
      </c>
      <c r="P14" s="32">
        <v>1946</v>
      </c>
      <c r="Q14" s="32">
        <v>254</v>
      </c>
      <c r="R14" s="32">
        <v>139</v>
      </c>
      <c r="S14" s="32" t="s">
        <v>112</v>
      </c>
      <c r="T14" t="s">
        <v>129</v>
      </c>
      <c r="U14" t="s">
        <v>133</v>
      </c>
      <c r="V14">
        <v>3532510</v>
      </c>
      <c r="W14">
        <v>11060</v>
      </c>
      <c r="X14">
        <v>49578</v>
      </c>
      <c r="Y14" t="s">
        <v>150</v>
      </c>
      <c r="Z14">
        <v>18000</v>
      </c>
      <c r="AA14" t="s">
        <v>151</v>
      </c>
      <c r="AB14">
        <v>63000</v>
      </c>
      <c r="AC14" t="s">
        <v>155</v>
      </c>
      <c r="AD14">
        <v>33570</v>
      </c>
      <c r="AE14" t="s">
        <v>48</v>
      </c>
      <c r="AF14" s="17">
        <v>71000</v>
      </c>
      <c r="AG14" t="s">
        <v>152</v>
      </c>
      <c r="AH14">
        <v>1800</v>
      </c>
      <c r="AI14" t="s">
        <v>153</v>
      </c>
      <c r="AJ14">
        <v>3000</v>
      </c>
      <c r="AK14" t="s">
        <v>155</v>
      </c>
      <c r="AL14">
        <v>4000</v>
      </c>
      <c r="AM14" t="s">
        <v>150</v>
      </c>
      <c r="AN14">
        <v>2000</v>
      </c>
      <c r="AQ14" t="s">
        <v>51</v>
      </c>
      <c r="AR14">
        <v>6</v>
      </c>
      <c r="AS14" t="s">
        <v>51</v>
      </c>
      <c r="AT14" t="s">
        <v>51</v>
      </c>
      <c r="AU14" t="s">
        <v>107</v>
      </c>
      <c r="AV14" t="s">
        <v>145</v>
      </c>
      <c r="AW14" t="s">
        <v>142</v>
      </c>
      <c r="AX14" t="s">
        <v>51</v>
      </c>
      <c r="AY14" t="s">
        <v>51</v>
      </c>
      <c r="AZ14" t="s">
        <v>51</v>
      </c>
      <c r="BA14" s="32" t="s">
        <v>137</v>
      </c>
      <c r="BB14" s="32" t="s">
        <v>51</v>
      </c>
      <c r="BC14" s="32" t="s">
        <v>52</v>
      </c>
      <c r="BD14" s="32" t="s">
        <v>206</v>
      </c>
      <c r="BE14" s="32" t="s">
        <v>207</v>
      </c>
      <c r="BF14" s="32"/>
      <c r="BG14" s="30">
        <v>3205.65</v>
      </c>
      <c r="BH14">
        <v>0</v>
      </c>
      <c r="BI14">
        <v>0</v>
      </c>
      <c r="BJ14" s="98">
        <v>469.32</v>
      </c>
      <c r="BK14">
        <v>0</v>
      </c>
      <c r="BL14" s="30">
        <v>79.98</v>
      </c>
      <c r="BM14" s="30">
        <v>0</v>
      </c>
      <c r="BN14" s="98">
        <v>533.28</v>
      </c>
      <c r="BO14" s="30">
        <v>0</v>
      </c>
      <c r="BP14" s="30">
        <v>960</v>
      </c>
      <c r="BQ14" s="30">
        <v>0</v>
      </c>
      <c r="BR14" s="30">
        <v>0</v>
      </c>
      <c r="BS14" s="30">
        <v>0</v>
      </c>
      <c r="BT14" s="30">
        <v>0</v>
      </c>
      <c r="BU14" s="65">
        <v>0</v>
      </c>
    </row>
    <row r="15" spans="1:115" x14ac:dyDescent="0.25">
      <c r="A15" t="s">
        <v>175</v>
      </c>
      <c r="B15" t="s">
        <v>54</v>
      </c>
      <c r="C15" t="s">
        <v>141</v>
      </c>
      <c r="D15" t="s">
        <v>178</v>
      </c>
      <c r="E15" s="21">
        <v>42352</v>
      </c>
      <c r="F15" s="32">
        <v>550</v>
      </c>
      <c r="G15" s="32" t="s">
        <v>106</v>
      </c>
      <c r="H15" s="94">
        <v>26526</v>
      </c>
      <c r="I15" s="27" t="s">
        <v>205</v>
      </c>
      <c r="J15" s="32" t="s">
        <v>50</v>
      </c>
      <c r="K15" s="32">
        <v>12</v>
      </c>
      <c r="L15" s="32">
        <v>1</v>
      </c>
      <c r="M15" s="32" t="s">
        <v>118</v>
      </c>
      <c r="N15" s="32" t="s">
        <v>113</v>
      </c>
      <c r="O15" s="32" t="s">
        <v>127</v>
      </c>
      <c r="P15" s="32">
        <v>1946</v>
      </c>
      <c r="Q15" s="32">
        <v>254</v>
      </c>
      <c r="R15" s="32">
        <v>139</v>
      </c>
      <c r="S15" s="32" t="s">
        <v>112</v>
      </c>
      <c r="T15" t="s">
        <v>129</v>
      </c>
      <c r="U15" t="s">
        <v>133</v>
      </c>
      <c r="V15">
        <v>3532510</v>
      </c>
      <c r="W15">
        <v>11060</v>
      </c>
      <c r="X15">
        <v>49578</v>
      </c>
      <c r="Y15" t="s">
        <v>150</v>
      </c>
      <c r="Z15">
        <v>18000</v>
      </c>
      <c r="AA15" t="s">
        <v>151</v>
      </c>
      <c r="AB15">
        <v>63000</v>
      </c>
      <c r="AC15" t="s">
        <v>155</v>
      </c>
      <c r="AD15">
        <v>33570</v>
      </c>
      <c r="AE15" t="s">
        <v>48</v>
      </c>
      <c r="AF15" s="17">
        <v>71000</v>
      </c>
      <c r="AG15" t="s">
        <v>152</v>
      </c>
      <c r="AH15">
        <v>1800</v>
      </c>
      <c r="AI15" t="s">
        <v>153</v>
      </c>
      <c r="AJ15">
        <v>3000</v>
      </c>
      <c r="AK15" t="s">
        <v>155</v>
      </c>
      <c r="AL15">
        <v>4000</v>
      </c>
      <c r="AM15" t="s">
        <v>150</v>
      </c>
      <c r="AN15">
        <v>2000</v>
      </c>
      <c r="AO15">
        <v>3725.68</v>
      </c>
      <c r="AQ15" t="s">
        <v>51</v>
      </c>
      <c r="AR15">
        <v>6</v>
      </c>
      <c r="AS15" t="s">
        <v>51</v>
      </c>
      <c r="AT15" t="s">
        <v>51</v>
      </c>
      <c r="AU15" t="s">
        <v>107</v>
      </c>
      <c r="AV15" t="s">
        <v>145</v>
      </c>
      <c r="AW15" t="s">
        <v>142</v>
      </c>
      <c r="AX15" t="s">
        <v>51</v>
      </c>
      <c r="AY15" t="s">
        <v>51</v>
      </c>
      <c r="AZ15" t="s">
        <v>51</v>
      </c>
      <c r="BA15" s="32" t="s">
        <v>137</v>
      </c>
      <c r="BB15" s="32" t="s">
        <v>51</v>
      </c>
      <c r="BC15" s="32" t="s">
        <v>52</v>
      </c>
      <c r="BD15" s="32" t="s">
        <v>206</v>
      </c>
      <c r="BE15" s="32" t="s">
        <v>207</v>
      </c>
      <c r="BF15" s="32"/>
      <c r="BG15" s="30">
        <v>3725.68</v>
      </c>
      <c r="BH15">
        <v>0</v>
      </c>
      <c r="BI15">
        <v>0</v>
      </c>
      <c r="BJ15" s="98">
        <v>469.32</v>
      </c>
      <c r="BK15">
        <v>0</v>
      </c>
      <c r="BL15" s="30">
        <v>79.98</v>
      </c>
      <c r="BM15" s="30">
        <v>0</v>
      </c>
      <c r="BN15" s="98" t="s">
        <v>479</v>
      </c>
      <c r="BO15" s="30">
        <v>0</v>
      </c>
      <c r="BP15" s="30">
        <v>960</v>
      </c>
      <c r="BQ15" s="30">
        <v>0</v>
      </c>
      <c r="BR15" s="30">
        <v>0</v>
      </c>
      <c r="BS15" s="30">
        <v>0</v>
      </c>
      <c r="BT15" s="30">
        <v>0</v>
      </c>
      <c r="BU15" s="65">
        <v>1</v>
      </c>
    </row>
    <row r="16" spans="1:115" x14ac:dyDescent="0.25">
      <c r="A16" t="s">
        <v>172</v>
      </c>
      <c r="B16" t="s">
        <v>54</v>
      </c>
      <c r="C16" t="s">
        <v>139</v>
      </c>
      <c r="D16" t="s">
        <v>49</v>
      </c>
      <c r="E16" s="21">
        <v>41868</v>
      </c>
      <c r="F16">
        <v>400</v>
      </c>
      <c r="G16" t="s">
        <v>149</v>
      </c>
      <c r="H16" s="21">
        <v>33730</v>
      </c>
      <c r="I16" s="27" t="s">
        <v>208</v>
      </c>
      <c r="J16" t="s">
        <v>50</v>
      </c>
      <c r="K16">
        <v>1</v>
      </c>
      <c r="L16">
        <v>2</v>
      </c>
      <c r="M16" t="s">
        <v>116</v>
      </c>
      <c r="N16" t="s">
        <v>122</v>
      </c>
      <c r="O16" t="s">
        <v>126</v>
      </c>
      <c r="P16">
        <v>1965</v>
      </c>
      <c r="Q16">
        <v>242</v>
      </c>
      <c r="R16">
        <v>25</v>
      </c>
      <c r="S16" t="s">
        <v>108</v>
      </c>
      <c r="T16" t="s">
        <v>129</v>
      </c>
      <c r="U16" t="s">
        <v>131</v>
      </c>
      <c r="V16">
        <v>419343</v>
      </c>
      <c r="Y16" t="s">
        <v>50</v>
      </c>
      <c r="AA16" t="s">
        <v>50</v>
      </c>
      <c r="AC16" t="s">
        <v>50</v>
      </c>
      <c r="AE16" t="s">
        <v>50</v>
      </c>
      <c r="AF16" s="17"/>
      <c r="AG16" t="s">
        <v>50</v>
      </c>
      <c r="AI16" t="s">
        <v>50</v>
      </c>
      <c r="AK16" t="s">
        <v>50</v>
      </c>
      <c r="AM16" t="s">
        <v>50</v>
      </c>
      <c r="AQ16" t="s">
        <v>51</v>
      </c>
      <c r="AR16">
        <v>1</v>
      </c>
      <c r="AU16" t="s">
        <v>135</v>
      </c>
      <c r="AV16" t="s">
        <v>145</v>
      </c>
      <c r="AW16" t="s">
        <v>143</v>
      </c>
      <c r="AX16" t="s">
        <v>52</v>
      </c>
      <c r="AY16" t="s">
        <v>52</v>
      </c>
      <c r="AZ16" t="s">
        <v>52</v>
      </c>
      <c r="BA16" s="32" t="s">
        <v>138</v>
      </c>
      <c r="BB16" s="32" t="s">
        <v>51</v>
      </c>
      <c r="BC16" s="32" t="s">
        <v>52</v>
      </c>
      <c r="BD16" s="32" t="s">
        <v>209</v>
      </c>
      <c r="BE16" s="32" t="s">
        <v>200</v>
      </c>
      <c r="BF16" s="32"/>
      <c r="BG16" s="30">
        <v>307.86</v>
      </c>
      <c r="BH16" s="30">
        <v>-15.39</v>
      </c>
      <c r="BI16" s="30">
        <v>0</v>
      </c>
      <c r="BJ16" s="98">
        <v>24.27</v>
      </c>
      <c r="BK16" s="30">
        <v>-1.21</v>
      </c>
      <c r="BL16" s="30">
        <v>7.6</v>
      </c>
      <c r="BM16" s="30">
        <v>-0.38</v>
      </c>
      <c r="BN16" s="98">
        <v>0</v>
      </c>
      <c r="BO16" s="30">
        <v>0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65">
        <v>0</v>
      </c>
    </row>
    <row r="17" spans="1:73" x14ac:dyDescent="0.25">
      <c r="A17" t="s">
        <v>176</v>
      </c>
      <c r="B17" t="s">
        <v>54</v>
      </c>
      <c r="C17" t="s">
        <v>139</v>
      </c>
      <c r="D17" t="s">
        <v>178</v>
      </c>
      <c r="E17" s="21">
        <v>42233</v>
      </c>
      <c r="F17">
        <v>400</v>
      </c>
      <c r="G17" t="s">
        <v>149</v>
      </c>
      <c r="H17" s="21">
        <v>33730</v>
      </c>
      <c r="I17" s="27" t="s">
        <v>208</v>
      </c>
      <c r="J17" t="s">
        <v>50</v>
      </c>
      <c r="K17">
        <v>1</v>
      </c>
      <c r="L17">
        <v>2</v>
      </c>
      <c r="M17" t="s">
        <v>116</v>
      </c>
      <c r="N17" t="s">
        <v>122</v>
      </c>
      <c r="O17" t="s">
        <v>126</v>
      </c>
      <c r="P17">
        <v>1965</v>
      </c>
      <c r="Q17">
        <v>242</v>
      </c>
      <c r="R17">
        <v>25</v>
      </c>
      <c r="S17" t="s">
        <v>108</v>
      </c>
      <c r="T17" t="s">
        <v>129</v>
      </c>
      <c r="U17" t="s">
        <v>131</v>
      </c>
      <c r="V17">
        <v>419343</v>
      </c>
      <c r="Y17" t="s">
        <v>50</v>
      </c>
      <c r="AA17" t="s">
        <v>50</v>
      </c>
      <c r="AC17" t="s">
        <v>50</v>
      </c>
      <c r="AE17" t="s">
        <v>50</v>
      </c>
      <c r="AF17" s="17"/>
      <c r="AG17" t="s">
        <v>50</v>
      </c>
      <c r="AI17" t="s">
        <v>50</v>
      </c>
      <c r="AK17" t="s">
        <v>50</v>
      </c>
      <c r="AM17" t="s">
        <v>50</v>
      </c>
      <c r="AO17">
        <v>635.47</v>
      </c>
      <c r="AQ17" t="s">
        <v>51</v>
      </c>
      <c r="AR17">
        <v>1</v>
      </c>
      <c r="AU17" t="s">
        <v>135</v>
      </c>
      <c r="AV17" t="s">
        <v>145</v>
      </c>
      <c r="AW17" t="s">
        <v>143</v>
      </c>
      <c r="AX17" t="s">
        <v>52</v>
      </c>
      <c r="AY17" t="s">
        <v>52</v>
      </c>
      <c r="AZ17" t="s">
        <v>52</v>
      </c>
      <c r="BA17" s="32" t="s">
        <v>138</v>
      </c>
      <c r="BB17" s="32" t="s">
        <v>51</v>
      </c>
      <c r="BC17" s="32" t="s">
        <v>52</v>
      </c>
      <c r="BD17" s="32" t="s">
        <v>209</v>
      </c>
      <c r="BE17" s="32" t="s">
        <v>200</v>
      </c>
      <c r="BF17" s="32"/>
      <c r="BG17" s="30">
        <v>362.22</v>
      </c>
      <c r="BH17" s="30">
        <v>-18.11</v>
      </c>
      <c r="BI17" s="30">
        <v>0</v>
      </c>
      <c r="BJ17" s="98">
        <v>24.27</v>
      </c>
      <c r="BK17" s="98" t="s">
        <v>480</v>
      </c>
      <c r="BL17" s="30">
        <v>7.6</v>
      </c>
      <c r="BM17" s="30">
        <v>-0.38</v>
      </c>
      <c r="BN17" s="98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65">
        <v>1</v>
      </c>
    </row>
    <row r="18" spans="1:73" x14ac:dyDescent="0.25">
      <c r="A18" t="s">
        <v>167</v>
      </c>
      <c r="B18" t="s">
        <v>54</v>
      </c>
      <c r="C18" t="s">
        <v>140</v>
      </c>
      <c r="D18" t="s">
        <v>49</v>
      </c>
      <c r="E18" s="21">
        <v>41873</v>
      </c>
      <c r="F18">
        <v>700</v>
      </c>
      <c r="G18" t="s">
        <v>106</v>
      </c>
      <c r="H18" s="21">
        <v>16303</v>
      </c>
      <c r="I18" s="29" t="s">
        <v>210</v>
      </c>
      <c r="J18" t="s">
        <v>50</v>
      </c>
      <c r="K18">
        <v>4</v>
      </c>
      <c r="L18">
        <v>1</v>
      </c>
      <c r="M18" t="s">
        <v>117</v>
      </c>
      <c r="N18" t="s">
        <v>123</v>
      </c>
      <c r="O18" t="s">
        <v>125</v>
      </c>
      <c r="P18">
        <v>2013</v>
      </c>
      <c r="Q18">
        <v>134</v>
      </c>
      <c r="R18">
        <v>44</v>
      </c>
      <c r="S18" t="s">
        <v>109</v>
      </c>
      <c r="T18" t="s">
        <v>130</v>
      </c>
      <c r="U18" t="s">
        <v>131</v>
      </c>
      <c r="V18">
        <v>864327</v>
      </c>
      <c r="W18">
        <v>64700</v>
      </c>
      <c r="X18">
        <v>1300</v>
      </c>
      <c r="Y18" t="s">
        <v>47</v>
      </c>
      <c r="Z18">
        <v>44000</v>
      </c>
      <c r="AA18" t="s">
        <v>155</v>
      </c>
      <c r="AB18">
        <v>6000</v>
      </c>
      <c r="AC18" t="s">
        <v>50</v>
      </c>
      <c r="AE18" t="s">
        <v>50</v>
      </c>
      <c r="AF18" s="17"/>
      <c r="AG18" t="s">
        <v>50</v>
      </c>
      <c r="AI18" t="s">
        <v>50</v>
      </c>
      <c r="AK18" t="s">
        <v>50</v>
      </c>
      <c r="AM18" t="s">
        <v>50</v>
      </c>
      <c r="AQ18" t="s">
        <v>52</v>
      </c>
      <c r="AR18">
        <v>4</v>
      </c>
      <c r="AU18" t="s">
        <v>107</v>
      </c>
      <c r="AV18" t="s">
        <v>147</v>
      </c>
      <c r="AW18" t="s">
        <v>142</v>
      </c>
      <c r="AX18" t="s">
        <v>51</v>
      </c>
      <c r="AY18" t="s">
        <v>51</v>
      </c>
      <c r="AZ18" t="s">
        <v>51</v>
      </c>
      <c r="BA18" s="32" t="s">
        <v>137</v>
      </c>
      <c r="BB18" s="32" t="s">
        <v>51</v>
      </c>
      <c r="BC18" s="32" t="s">
        <v>52</v>
      </c>
      <c r="BD18" s="32" t="s">
        <v>211</v>
      </c>
      <c r="BE18" s="32" t="s">
        <v>200</v>
      </c>
      <c r="BF18" s="32"/>
      <c r="BG18" s="30">
        <v>823.01</v>
      </c>
      <c r="BH18" s="30">
        <v>0</v>
      </c>
      <c r="BI18" s="30">
        <v>0</v>
      </c>
      <c r="BJ18" s="98">
        <v>0</v>
      </c>
      <c r="BK18" s="30">
        <v>0</v>
      </c>
      <c r="BL18" s="30">
        <v>42.66</v>
      </c>
      <c r="BM18" s="30">
        <v>0</v>
      </c>
      <c r="BN18" s="98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65">
        <v>0</v>
      </c>
    </row>
    <row r="19" spans="1:73" x14ac:dyDescent="0.25">
      <c r="A19" t="s">
        <v>168</v>
      </c>
      <c r="B19" t="s">
        <v>54</v>
      </c>
      <c r="C19" t="s">
        <v>140</v>
      </c>
      <c r="D19" t="s">
        <v>178</v>
      </c>
      <c r="E19" s="21">
        <v>42238</v>
      </c>
      <c r="F19">
        <v>700</v>
      </c>
      <c r="G19" t="s">
        <v>106</v>
      </c>
      <c r="H19" s="21">
        <v>16303</v>
      </c>
      <c r="I19" s="29" t="s">
        <v>210</v>
      </c>
      <c r="J19" t="s">
        <v>50</v>
      </c>
      <c r="K19">
        <v>4</v>
      </c>
      <c r="L19">
        <v>1</v>
      </c>
      <c r="M19" t="s">
        <v>117</v>
      </c>
      <c r="N19" t="s">
        <v>123</v>
      </c>
      <c r="O19" t="s">
        <v>125</v>
      </c>
      <c r="P19">
        <v>2013</v>
      </c>
      <c r="Q19">
        <v>134</v>
      </c>
      <c r="R19">
        <v>44</v>
      </c>
      <c r="S19" t="s">
        <v>109</v>
      </c>
      <c r="T19" t="s">
        <v>130</v>
      </c>
      <c r="U19" t="s">
        <v>131</v>
      </c>
      <c r="V19">
        <v>864327</v>
      </c>
      <c r="W19">
        <v>64700</v>
      </c>
      <c r="X19">
        <v>1300</v>
      </c>
      <c r="Y19" t="s">
        <v>47</v>
      </c>
      <c r="Z19">
        <v>44000</v>
      </c>
      <c r="AA19" t="s">
        <v>155</v>
      </c>
      <c r="AB19">
        <v>6000</v>
      </c>
      <c r="AC19" t="s">
        <v>50</v>
      </c>
      <c r="AE19" t="s">
        <v>50</v>
      </c>
      <c r="AF19" s="17"/>
      <c r="AG19" t="s">
        <v>50</v>
      </c>
      <c r="AI19" t="s">
        <v>50</v>
      </c>
      <c r="AK19" t="s">
        <v>50</v>
      </c>
      <c r="AM19" t="s">
        <v>50</v>
      </c>
      <c r="AO19">
        <v>1245.3699999999999</v>
      </c>
      <c r="AQ19" t="s">
        <v>52</v>
      </c>
      <c r="AR19">
        <v>4</v>
      </c>
      <c r="AU19" t="s">
        <v>107</v>
      </c>
      <c r="AV19" t="s">
        <v>147</v>
      </c>
      <c r="AW19" t="s">
        <v>142</v>
      </c>
      <c r="AX19" t="s">
        <v>51</v>
      </c>
      <c r="AY19" t="s">
        <v>51</v>
      </c>
      <c r="AZ19" t="s">
        <v>51</v>
      </c>
      <c r="BA19" t="s">
        <v>137</v>
      </c>
      <c r="BB19" t="s">
        <v>51</v>
      </c>
      <c r="BC19" t="s">
        <v>52</v>
      </c>
      <c r="BD19" t="s">
        <v>211</v>
      </c>
      <c r="BE19" t="s">
        <v>200</v>
      </c>
      <c r="BG19" s="30">
        <v>956.44</v>
      </c>
      <c r="BH19" s="30">
        <v>0</v>
      </c>
      <c r="BI19" s="30">
        <v>0</v>
      </c>
      <c r="BJ19" s="98">
        <v>0</v>
      </c>
      <c r="BK19" s="30">
        <v>0</v>
      </c>
      <c r="BL19" s="30">
        <v>42.66</v>
      </c>
      <c r="BM19" s="30">
        <v>0</v>
      </c>
      <c r="BN19" s="98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65">
        <v>1</v>
      </c>
    </row>
    <row r="20" spans="1:73" x14ac:dyDescent="0.25">
      <c r="A20" t="s">
        <v>169</v>
      </c>
      <c r="B20" t="s">
        <v>54</v>
      </c>
      <c r="C20" t="s">
        <v>141</v>
      </c>
      <c r="D20" t="s">
        <v>49</v>
      </c>
      <c r="E20" s="21">
        <v>41946</v>
      </c>
      <c r="F20">
        <v>550</v>
      </c>
      <c r="G20" t="s">
        <v>148</v>
      </c>
      <c r="H20" s="21">
        <v>31465</v>
      </c>
      <c r="J20" t="s">
        <v>212</v>
      </c>
      <c r="K20">
        <v>1</v>
      </c>
      <c r="L20">
        <v>0</v>
      </c>
      <c r="M20" t="s">
        <v>119</v>
      </c>
      <c r="N20" t="s">
        <v>124</v>
      </c>
      <c r="O20" t="s">
        <v>127</v>
      </c>
      <c r="P20">
        <v>1987</v>
      </c>
      <c r="Q20">
        <v>76</v>
      </c>
      <c r="R20">
        <v>14</v>
      </c>
      <c r="S20" t="s">
        <v>111</v>
      </c>
      <c r="T20" t="s">
        <v>128</v>
      </c>
      <c r="U20" t="s">
        <v>133</v>
      </c>
      <c r="V20">
        <v>240655</v>
      </c>
      <c r="W20">
        <v>9800</v>
      </c>
      <c r="Y20" t="s">
        <v>50</v>
      </c>
      <c r="AA20" t="s">
        <v>50</v>
      </c>
      <c r="AC20" t="s">
        <v>50</v>
      </c>
      <c r="AE20" t="s">
        <v>50</v>
      </c>
      <c r="AF20" s="17"/>
      <c r="AG20" t="s">
        <v>50</v>
      </c>
      <c r="AI20" t="s">
        <v>50</v>
      </c>
      <c r="AK20" t="s">
        <v>50</v>
      </c>
      <c r="AM20" t="s">
        <v>50</v>
      </c>
      <c r="AQ20" t="s">
        <v>51</v>
      </c>
      <c r="AS20" t="s">
        <v>51</v>
      </c>
      <c r="AU20" t="s">
        <v>107</v>
      </c>
      <c r="AV20" t="s">
        <v>145</v>
      </c>
      <c r="AW20" t="s">
        <v>144</v>
      </c>
      <c r="AX20" t="s">
        <v>52</v>
      </c>
      <c r="AY20" t="s">
        <v>52</v>
      </c>
      <c r="AZ20" t="s">
        <v>51</v>
      </c>
      <c r="BA20" t="s">
        <v>137</v>
      </c>
      <c r="BB20" t="s">
        <v>52</v>
      </c>
      <c r="BC20" t="s">
        <v>52</v>
      </c>
      <c r="BG20" s="30">
        <v>638.89</v>
      </c>
      <c r="BH20" s="30">
        <v>-44.72</v>
      </c>
      <c r="BI20" s="30">
        <v>0</v>
      </c>
      <c r="BJ20" s="98">
        <v>82.21</v>
      </c>
      <c r="BK20" s="30">
        <v>-5.75</v>
      </c>
      <c r="BL20" s="30">
        <v>0</v>
      </c>
      <c r="BM20" s="30">
        <v>0</v>
      </c>
      <c r="BN20" s="30">
        <v>50.66</v>
      </c>
      <c r="BO20" s="30">
        <v>-3.55</v>
      </c>
      <c r="BP20" s="30">
        <v>0</v>
      </c>
      <c r="BQ20" s="30">
        <v>0</v>
      </c>
      <c r="BR20" s="30">
        <v>0</v>
      </c>
      <c r="BS20" s="30">
        <v>0</v>
      </c>
      <c r="BT20" s="30">
        <v>0</v>
      </c>
      <c r="BU20" s="65">
        <v>0</v>
      </c>
    </row>
    <row r="21" spans="1:73" x14ac:dyDescent="0.25">
      <c r="A21" t="s">
        <v>170</v>
      </c>
      <c r="B21" t="s">
        <v>54</v>
      </c>
      <c r="C21" t="s">
        <v>141</v>
      </c>
      <c r="D21" t="s">
        <v>178</v>
      </c>
      <c r="E21" s="21">
        <v>42311</v>
      </c>
      <c r="F21">
        <v>550</v>
      </c>
      <c r="G21" t="s">
        <v>148</v>
      </c>
      <c r="H21" s="21">
        <v>31465</v>
      </c>
      <c r="J21" t="s">
        <v>212</v>
      </c>
      <c r="K21">
        <v>1</v>
      </c>
      <c r="L21">
        <v>0</v>
      </c>
      <c r="M21" t="s">
        <v>119</v>
      </c>
      <c r="N21" t="s">
        <v>124</v>
      </c>
      <c r="O21" t="s">
        <v>127</v>
      </c>
      <c r="P21">
        <v>1987</v>
      </c>
      <c r="Q21">
        <v>76</v>
      </c>
      <c r="R21">
        <v>14</v>
      </c>
      <c r="S21" t="s">
        <v>111</v>
      </c>
      <c r="T21" t="s">
        <v>128</v>
      </c>
      <c r="U21" t="s">
        <v>133</v>
      </c>
      <c r="V21">
        <v>240655</v>
      </c>
      <c r="W21">
        <v>9800</v>
      </c>
      <c r="Y21" t="s">
        <v>50</v>
      </c>
      <c r="AA21" t="s">
        <v>50</v>
      </c>
      <c r="AC21" t="s">
        <v>50</v>
      </c>
      <c r="AE21" t="s">
        <v>50</v>
      </c>
      <c r="AF21" s="17"/>
      <c r="AG21" t="s">
        <v>50</v>
      </c>
      <c r="AI21" t="s">
        <v>50</v>
      </c>
      <c r="AK21" t="s">
        <v>50</v>
      </c>
      <c r="AM21" t="s">
        <v>50</v>
      </c>
      <c r="AO21">
        <v>659.28</v>
      </c>
      <c r="AQ21" t="s">
        <v>51</v>
      </c>
      <c r="AS21" t="s">
        <v>51</v>
      </c>
      <c r="AU21" t="s">
        <v>107</v>
      </c>
      <c r="AV21" t="s">
        <v>145</v>
      </c>
      <c r="AW21" t="s">
        <v>144</v>
      </c>
      <c r="AX21" t="s">
        <v>52</v>
      </c>
      <c r="AY21" t="s">
        <v>52</v>
      </c>
      <c r="AZ21" t="s">
        <v>51</v>
      </c>
      <c r="BA21" t="s">
        <v>137</v>
      </c>
      <c r="BB21" t="s">
        <v>52</v>
      </c>
      <c r="BC21" t="s">
        <v>52</v>
      </c>
      <c r="BG21" s="30">
        <v>751.58</v>
      </c>
      <c r="BH21" s="30">
        <v>-52.61</v>
      </c>
      <c r="BI21" s="30">
        <v>0</v>
      </c>
      <c r="BJ21" s="98">
        <v>82.21</v>
      </c>
      <c r="BK21" s="30">
        <v>-5.75</v>
      </c>
      <c r="BL21" s="30">
        <v>0</v>
      </c>
      <c r="BM21" s="30">
        <v>0</v>
      </c>
      <c r="BN21" s="30">
        <v>50.66</v>
      </c>
      <c r="BO21" s="30">
        <v>-3.55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65">
        <v>1</v>
      </c>
    </row>
    <row r="22" spans="1:73" x14ac:dyDescent="0.25">
      <c r="A22" t="s">
        <v>173</v>
      </c>
      <c r="B22" t="s">
        <v>54</v>
      </c>
      <c r="C22" t="s">
        <v>140</v>
      </c>
      <c r="D22" t="s">
        <v>49</v>
      </c>
      <c r="E22" s="21">
        <v>41876</v>
      </c>
      <c r="F22">
        <v>700</v>
      </c>
      <c r="G22" t="s">
        <v>106</v>
      </c>
      <c r="H22" s="21">
        <v>16303</v>
      </c>
      <c r="J22" s="26" t="s">
        <v>213</v>
      </c>
      <c r="K22">
        <v>4</v>
      </c>
      <c r="L22">
        <v>1</v>
      </c>
      <c r="M22" t="s">
        <v>117</v>
      </c>
      <c r="N22" t="s">
        <v>123</v>
      </c>
      <c r="O22" t="s">
        <v>125</v>
      </c>
      <c r="P22">
        <v>2013</v>
      </c>
      <c r="Q22">
        <v>134</v>
      </c>
      <c r="R22">
        <v>44</v>
      </c>
      <c r="S22" t="s">
        <v>109</v>
      </c>
      <c r="T22" t="s">
        <v>130</v>
      </c>
      <c r="U22" t="s">
        <v>131</v>
      </c>
      <c r="V22">
        <v>864327</v>
      </c>
      <c r="W22">
        <v>64700</v>
      </c>
      <c r="X22">
        <v>1300</v>
      </c>
      <c r="Y22" t="s">
        <v>47</v>
      </c>
      <c r="Z22">
        <v>44000</v>
      </c>
      <c r="AA22" t="s">
        <v>155</v>
      </c>
      <c r="AB22">
        <v>6000</v>
      </c>
      <c r="AC22" t="s">
        <v>50</v>
      </c>
      <c r="AE22" t="s">
        <v>50</v>
      </c>
      <c r="AF22" s="17"/>
      <c r="AG22" t="s">
        <v>50</v>
      </c>
      <c r="AI22" t="s">
        <v>50</v>
      </c>
      <c r="AK22" t="s">
        <v>50</v>
      </c>
      <c r="AM22" t="s">
        <v>50</v>
      </c>
      <c r="AQ22" t="s">
        <v>52</v>
      </c>
      <c r="AR22">
        <v>4</v>
      </c>
      <c r="AU22" t="s">
        <v>107</v>
      </c>
      <c r="AV22" t="s">
        <v>147</v>
      </c>
      <c r="AW22" t="s">
        <v>142</v>
      </c>
      <c r="AX22" t="s">
        <v>51</v>
      </c>
      <c r="AY22" t="s">
        <v>51</v>
      </c>
      <c r="AZ22" t="s">
        <v>51</v>
      </c>
      <c r="BA22" t="s">
        <v>137</v>
      </c>
      <c r="BB22" t="s">
        <v>51</v>
      </c>
      <c r="BC22" t="s">
        <v>52</v>
      </c>
      <c r="BG22" s="30">
        <v>797.29</v>
      </c>
      <c r="BH22" s="30">
        <v>0</v>
      </c>
      <c r="BI22" s="30">
        <v>0</v>
      </c>
      <c r="BJ22" s="98">
        <v>0</v>
      </c>
      <c r="BK22" s="30">
        <v>0</v>
      </c>
      <c r="BL22" s="30">
        <v>42.66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65">
        <v>0</v>
      </c>
    </row>
    <row r="23" spans="1:73" x14ac:dyDescent="0.25">
      <c r="A23" t="s">
        <v>177</v>
      </c>
      <c r="B23" t="s">
        <v>54</v>
      </c>
      <c r="C23" t="s">
        <v>140</v>
      </c>
      <c r="D23" t="s">
        <v>178</v>
      </c>
      <c r="E23" s="21">
        <v>42241</v>
      </c>
      <c r="F23">
        <v>700</v>
      </c>
      <c r="G23" t="s">
        <v>106</v>
      </c>
      <c r="H23" s="21">
        <v>16303</v>
      </c>
      <c r="J23" s="26" t="s">
        <v>213</v>
      </c>
      <c r="K23">
        <v>4</v>
      </c>
      <c r="L23">
        <v>1</v>
      </c>
      <c r="M23" t="s">
        <v>117</v>
      </c>
      <c r="N23" t="s">
        <v>123</v>
      </c>
      <c r="O23" t="s">
        <v>125</v>
      </c>
      <c r="P23">
        <v>2013</v>
      </c>
      <c r="Q23">
        <v>134</v>
      </c>
      <c r="R23">
        <v>44</v>
      </c>
      <c r="S23" t="s">
        <v>109</v>
      </c>
      <c r="T23" t="s">
        <v>130</v>
      </c>
      <c r="U23" t="s">
        <v>131</v>
      </c>
      <c r="V23">
        <v>864327</v>
      </c>
      <c r="W23">
        <v>64700</v>
      </c>
      <c r="X23">
        <v>1300</v>
      </c>
      <c r="Y23" t="s">
        <v>47</v>
      </c>
      <c r="Z23">
        <v>44000</v>
      </c>
      <c r="AA23" t="s">
        <v>155</v>
      </c>
      <c r="AB23">
        <v>6000</v>
      </c>
      <c r="AC23" t="s">
        <v>50</v>
      </c>
      <c r="AE23" t="s">
        <v>50</v>
      </c>
      <c r="AF23" s="17"/>
      <c r="AG23" t="s">
        <v>50</v>
      </c>
      <c r="AI23" t="s">
        <v>50</v>
      </c>
      <c r="AK23" t="s">
        <v>50</v>
      </c>
      <c r="AM23" t="s">
        <v>50</v>
      </c>
      <c r="AO23">
        <v>1205.55</v>
      </c>
      <c r="AQ23" t="s">
        <v>52</v>
      </c>
      <c r="AR23">
        <v>4</v>
      </c>
      <c r="AU23" t="s">
        <v>107</v>
      </c>
      <c r="AV23" t="s">
        <v>147</v>
      </c>
      <c r="AW23" t="s">
        <v>142</v>
      </c>
      <c r="AX23" t="s">
        <v>51</v>
      </c>
      <c r="AY23" t="s">
        <v>51</v>
      </c>
      <c r="AZ23" t="s">
        <v>51</v>
      </c>
      <c r="BA23" t="s">
        <v>137</v>
      </c>
      <c r="BB23" t="s">
        <v>51</v>
      </c>
      <c r="BC23" t="s">
        <v>52</v>
      </c>
      <c r="BG23" s="30">
        <v>925.86</v>
      </c>
      <c r="BH23" s="30">
        <v>0</v>
      </c>
      <c r="BI23" s="30">
        <v>0</v>
      </c>
      <c r="BJ23" s="98">
        <v>0</v>
      </c>
      <c r="BK23" s="30">
        <v>0</v>
      </c>
      <c r="BL23" s="30">
        <v>42.66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65">
        <v>1</v>
      </c>
    </row>
    <row r="24" spans="1:73" x14ac:dyDescent="0.25">
      <c r="A24" t="s">
        <v>179</v>
      </c>
      <c r="B24" t="s">
        <v>54</v>
      </c>
      <c r="C24" t="s">
        <v>185</v>
      </c>
      <c r="D24" t="s">
        <v>49</v>
      </c>
      <c r="E24" s="21">
        <v>41985</v>
      </c>
      <c r="F24">
        <v>5000</v>
      </c>
      <c r="G24" t="s">
        <v>106</v>
      </c>
      <c r="H24" s="21">
        <v>32339</v>
      </c>
      <c r="I24" s="29" t="s">
        <v>214</v>
      </c>
      <c r="K24">
        <v>7</v>
      </c>
      <c r="L24">
        <v>3</v>
      </c>
      <c r="M24" t="s">
        <v>116</v>
      </c>
      <c r="N24" t="s">
        <v>186</v>
      </c>
      <c r="O24" t="s">
        <v>127</v>
      </c>
      <c r="P24">
        <v>1978</v>
      </c>
      <c r="Q24">
        <v>100</v>
      </c>
      <c r="R24">
        <v>8</v>
      </c>
      <c r="S24" t="s">
        <v>112</v>
      </c>
      <c r="T24" t="s">
        <v>130</v>
      </c>
      <c r="U24" t="s">
        <v>112</v>
      </c>
      <c r="V24">
        <v>1168746</v>
      </c>
      <c r="W24">
        <v>57865</v>
      </c>
      <c r="X24">
        <v>14938</v>
      </c>
      <c r="Y24" t="s">
        <v>153</v>
      </c>
      <c r="Z24">
        <v>5299</v>
      </c>
      <c r="AA24" t="s">
        <v>150</v>
      </c>
      <c r="AB24">
        <v>19848</v>
      </c>
      <c r="AF24" s="17"/>
      <c r="AQ24" t="s">
        <v>51</v>
      </c>
      <c r="AS24" t="s">
        <v>51</v>
      </c>
      <c r="AU24" t="s">
        <v>107</v>
      </c>
      <c r="AV24" t="s">
        <v>146</v>
      </c>
      <c r="AW24" t="s">
        <v>142</v>
      </c>
      <c r="AX24" t="s">
        <v>51</v>
      </c>
      <c r="AY24" t="s">
        <v>51</v>
      </c>
      <c r="AZ24" t="s">
        <v>51</v>
      </c>
      <c r="BA24" t="s">
        <v>138</v>
      </c>
      <c r="BB24" t="s">
        <v>52</v>
      </c>
      <c r="BC24" t="s">
        <v>52</v>
      </c>
      <c r="BD24" t="s">
        <v>215</v>
      </c>
      <c r="BE24" t="s">
        <v>200</v>
      </c>
      <c r="BG24" s="30">
        <v>1155.3800000000001</v>
      </c>
      <c r="BH24" s="30">
        <v>0</v>
      </c>
      <c r="BI24" s="30">
        <v>0</v>
      </c>
      <c r="BJ24" s="98">
        <v>506.1</v>
      </c>
      <c r="BK24" s="30">
        <v>0</v>
      </c>
      <c r="BL24" s="30">
        <v>0</v>
      </c>
      <c r="BM24" s="30">
        <v>0</v>
      </c>
      <c r="BN24" s="30">
        <v>311.08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65">
        <v>0</v>
      </c>
    </row>
    <row r="25" spans="1:73" x14ac:dyDescent="0.25">
      <c r="A25" t="s">
        <v>182</v>
      </c>
      <c r="B25" t="s">
        <v>54</v>
      </c>
      <c r="C25" t="s">
        <v>185</v>
      </c>
      <c r="D25" t="s">
        <v>178</v>
      </c>
      <c r="E25" s="21">
        <v>42350</v>
      </c>
      <c r="F25">
        <v>5000</v>
      </c>
      <c r="G25" t="s">
        <v>106</v>
      </c>
      <c r="H25" s="21">
        <v>32339</v>
      </c>
      <c r="I25" s="29" t="s">
        <v>214</v>
      </c>
      <c r="K25">
        <v>7</v>
      </c>
      <c r="L25">
        <v>3</v>
      </c>
      <c r="M25" t="s">
        <v>116</v>
      </c>
      <c r="N25" t="s">
        <v>186</v>
      </c>
      <c r="O25" t="s">
        <v>127</v>
      </c>
      <c r="P25">
        <v>1978</v>
      </c>
      <c r="Q25">
        <v>100</v>
      </c>
      <c r="R25">
        <v>8</v>
      </c>
      <c r="S25" t="s">
        <v>112</v>
      </c>
      <c r="T25" t="s">
        <v>130</v>
      </c>
      <c r="U25" t="s">
        <v>112</v>
      </c>
      <c r="V25">
        <v>1168746</v>
      </c>
      <c r="W25">
        <v>57865</v>
      </c>
      <c r="X25">
        <v>14938</v>
      </c>
      <c r="Y25" t="s">
        <v>153</v>
      </c>
      <c r="Z25">
        <v>5299</v>
      </c>
      <c r="AA25" t="s">
        <v>150</v>
      </c>
      <c r="AB25">
        <v>19848</v>
      </c>
      <c r="AF25" s="17"/>
      <c r="AO25">
        <v>1656.99</v>
      </c>
      <c r="AQ25" t="s">
        <v>51</v>
      </c>
      <c r="AS25" t="s">
        <v>51</v>
      </c>
      <c r="AU25" t="s">
        <v>107</v>
      </c>
      <c r="AV25" t="s">
        <v>146</v>
      </c>
      <c r="AW25" t="s">
        <v>142</v>
      </c>
      <c r="AX25" t="s">
        <v>51</v>
      </c>
      <c r="AY25" t="s">
        <v>51</v>
      </c>
      <c r="AZ25" t="s">
        <v>51</v>
      </c>
      <c r="BA25" t="s">
        <v>138</v>
      </c>
      <c r="BB25" t="s">
        <v>52</v>
      </c>
      <c r="BC25" t="s">
        <v>52</v>
      </c>
      <c r="BD25" t="s">
        <v>215</v>
      </c>
      <c r="BE25" t="s">
        <v>200</v>
      </c>
      <c r="BG25" s="30">
        <v>1342.16</v>
      </c>
      <c r="BH25" s="30">
        <v>0</v>
      </c>
      <c r="BI25" s="30">
        <v>0</v>
      </c>
      <c r="BJ25" s="98">
        <v>506.1</v>
      </c>
      <c r="BK25" s="30">
        <v>0</v>
      </c>
      <c r="BL25" s="30">
        <v>0</v>
      </c>
      <c r="BM25" s="30">
        <v>0</v>
      </c>
      <c r="BN25" s="30">
        <v>311.08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65">
        <v>1</v>
      </c>
    </row>
    <row r="26" spans="1:73" x14ac:dyDescent="0.25">
      <c r="A26" t="s">
        <v>180</v>
      </c>
      <c r="B26" t="s">
        <v>54</v>
      </c>
      <c r="C26" t="s">
        <v>185</v>
      </c>
      <c r="D26" t="s">
        <v>49</v>
      </c>
      <c r="E26" s="21">
        <v>41981</v>
      </c>
      <c r="F26">
        <v>550</v>
      </c>
      <c r="G26" t="s">
        <v>149</v>
      </c>
      <c r="H26" s="21">
        <v>30407</v>
      </c>
      <c r="I26" s="29" t="s">
        <v>214</v>
      </c>
      <c r="K26">
        <v>5</v>
      </c>
      <c r="L26">
        <v>4</v>
      </c>
      <c r="M26" t="s">
        <v>116</v>
      </c>
      <c r="N26" t="s">
        <v>123</v>
      </c>
      <c r="O26" t="s">
        <v>126</v>
      </c>
      <c r="P26">
        <v>1941</v>
      </c>
      <c r="Q26">
        <v>200</v>
      </c>
      <c r="R26">
        <v>16</v>
      </c>
      <c r="S26" t="s">
        <v>112</v>
      </c>
      <c r="T26" t="s">
        <v>128</v>
      </c>
      <c r="U26" t="s">
        <v>188</v>
      </c>
      <c r="V26">
        <v>660813</v>
      </c>
      <c r="Y26" t="s">
        <v>154</v>
      </c>
      <c r="Z26">
        <v>12948</v>
      </c>
      <c r="AA26" t="s">
        <v>150</v>
      </c>
      <c r="AB26">
        <v>2717</v>
      </c>
      <c r="AC26" t="s">
        <v>47</v>
      </c>
      <c r="AD26">
        <v>17521</v>
      </c>
      <c r="AF26" s="17"/>
      <c r="AQ26" t="s">
        <v>51</v>
      </c>
      <c r="AR26">
        <v>1</v>
      </c>
      <c r="AS26" t="s">
        <v>51</v>
      </c>
      <c r="AT26" t="s">
        <v>51</v>
      </c>
      <c r="AU26" t="s">
        <v>107</v>
      </c>
      <c r="AV26" t="s">
        <v>146</v>
      </c>
      <c r="AW26" t="s">
        <v>144</v>
      </c>
      <c r="AX26" t="s">
        <v>51</v>
      </c>
      <c r="AY26" t="s">
        <v>52</v>
      </c>
      <c r="AZ26" t="s">
        <v>52</v>
      </c>
      <c r="BA26" t="s">
        <v>138</v>
      </c>
      <c r="BB26" t="s">
        <v>51</v>
      </c>
      <c r="BC26" t="s">
        <v>52</v>
      </c>
      <c r="BD26" t="s">
        <v>216</v>
      </c>
      <c r="BE26" t="s">
        <v>200</v>
      </c>
      <c r="BG26" s="98" t="s">
        <v>481</v>
      </c>
      <c r="BH26" s="98" t="s">
        <v>482</v>
      </c>
      <c r="BI26" s="98">
        <v>0</v>
      </c>
      <c r="BJ26" s="98">
        <v>151.28</v>
      </c>
      <c r="BK26" s="30">
        <v>-10.59</v>
      </c>
      <c r="BL26" s="30">
        <v>7.6</v>
      </c>
      <c r="BM26" s="30">
        <v>-0.53</v>
      </c>
      <c r="BN26" s="30">
        <v>126.65</v>
      </c>
      <c r="BO26" s="30">
        <v>-8.8699999999999992</v>
      </c>
      <c r="BP26" s="30">
        <v>228</v>
      </c>
      <c r="BQ26" s="30">
        <v>-15.96</v>
      </c>
      <c r="BR26" s="30">
        <v>0</v>
      </c>
      <c r="BS26" s="30">
        <v>0</v>
      </c>
      <c r="BT26" s="30">
        <v>0</v>
      </c>
      <c r="BU26" s="65">
        <v>0</v>
      </c>
    </row>
    <row r="27" spans="1:73" x14ac:dyDescent="0.25">
      <c r="A27" t="s">
        <v>183</v>
      </c>
      <c r="B27" t="s">
        <v>54</v>
      </c>
      <c r="C27" t="s">
        <v>185</v>
      </c>
      <c r="D27" t="s">
        <v>178</v>
      </c>
      <c r="E27" s="21">
        <v>42346</v>
      </c>
      <c r="F27">
        <v>550</v>
      </c>
      <c r="G27" t="s">
        <v>149</v>
      </c>
      <c r="H27" s="21">
        <v>30407</v>
      </c>
      <c r="I27" s="29" t="s">
        <v>214</v>
      </c>
      <c r="K27">
        <v>5</v>
      </c>
      <c r="L27">
        <v>4</v>
      </c>
      <c r="M27" t="s">
        <v>116</v>
      </c>
      <c r="N27" t="s">
        <v>123</v>
      </c>
      <c r="O27" t="s">
        <v>126</v>
      </c>
      <c r="P27">
        <v>1941</v>
      </c>
      <c r="Q27">
        <v>200</v>
      </c>
      <c r="R27">
        <v>16</v>
      </c>
      <c r="S27" t="s">
        <v>112</v>
      </c>
      <c r="T27" t="s">
        <v>128</v>
      </c>
      <c r="U27" t="s">
        <v>188</v>
      </c>
      <c r="V27">
        <v>660813</v>
      </c>
      <c r="Y27" t="s">
        <v>154</v>
      </c>
      <c r="Z27">
        <v>12948</v>
      </c>
      <c r="AA27" t="s">
        <v>150</v>
      </c>
      <c r="AB27">
        <v>2717</v>
      </c>
      <c r="AC27" t="s">
        <v>47</v>
      </c>
      <c r="AD27">
        <v>17521</v>
      </c>
      <c r="AF27" s="17"/>
      <c r="AO27">
        <v>961.45</v>
      </c>
      <c r="AQ27" t="s">
        <v>51</v>
      </c>
      <c r="AR27">
        <v>1</v>
      </c>
      <c r="AS27" t="s">
        <v>51</v>
      </c>
      <c r="AT27" t="s">
        <v>51</v>
      </c>
      <c r="AU27" t="s">
        <v>107</v>
      </c>
      <c r="AV27" t="s">
        <v>146</v>
      </c>
      <c r="AW27" t="s">
        <v>144</v>
      </c>
      <c r="AX27" t="s">
        <v>51</v>
      </c>
      <c r="AY27" t="s">
        <v>52</v>
      </c>
      <c r="AZ27" t="s">
        <v>52</v>
      </c>
      <c r="BA27" t="s">
        <v>138</v>
      </c>
      <c r="BB27" t="s">
        <v>51</v>
      </c>
      <c r="BC27" t="s">
        <v>52</v>
      </c>
      <c r="BD27" t="s">
        <v>216</v>
      </c>
      <c r="BE27" t="s">
        <v>200</v>
      </c>
      <c r="BG27" s="98" t="s">
        <v>483</v>
      </c>
      <c r="BH27" s="98">
        <v>-38.36</v>
      </c>
      <c r="BI27" s="98">
        <v>0</v>
      </c>
      <c r="BJ27" s="98">
        <v>151.28</v>
      </c>
      <c r="BK27" s="30">
        <v>-10.59</v>
      </c>
      <c r="BL27" s="30">
        <v>7.6</v>
      </c>
      <c r="BM27" s="30">
        <v>-0.53</v>
      </c>
      <c r="BN27" s="30">
        <v>126.65</v>
      </c>
      <c r="BO27" s="30">
        <v>-8.8699999999999992</v>
      </c>
      <c r="BP27" s="30">
        <v>228</v>
      </c>
      <c r="BQ27" s="30">
        <v>-15.96</v>
      </c>
      <c r="BR27" s="30">
        <v>0</v>
      </c>
      <c r="BS27" s="30">
        <v>0</v>
      </c>
      <c r="BT27" s="30">
        <v>0</v>
      </c>
      <c r="BU27" s="65">
        <v>1</v>
      </c>
    </row>
    <row r="28" spans="1:73" x14ac:dyDescent="0.25">
      <c r="A28" t="s">
        <v>181</v>
      </c>
      <c r="B28" t="s">
        <v>54</v>
      </c>
      <c r="C28" t="s">
        <v>185</v>
      </c>
      <c r="D28" t="s">
        <v>49</v>
      </c>
      <c r="E28" s="21">
        <v>41926</v>
      </c>
      <c r="F28">
        <v>5000</v>
      </c>
      <c r="G28" t="s">
        <v>106</v>
      </c>
      <c r="H28" s="21">
        <v>29553</v>
      </c>
      <c r="I28" s="29" t="s">
        <v>201</v>
      </c>
      <c r="K28">
        <v>5</v>
      </c>
      <c r="L28">
        <v>1</v>
      </c>
      <c r="M28" t="s">
        <v>113</v>
      </c>
      <c r="N28" t="s">
        <v>121</v>
      </c>
      <c r="O28" t="s">
        <v>127</v>
      </c>
      <c r="P28">
        <v>1998</v>
      </c>
      <c r="Q28">
        <v>220</v>
      </c>
      <c r="R28">
        <v>60</v>
      </c>
      <c r="S28" t="s">
        <v>187</v>
      </c>
      <c r="T28" t="s">
        <v>129</v>
      </c>
      <c r="U28" t="s">
        <v>112</v>
      </c>
      <c r="V28">
        <v>506779</v>
      </c>
      <c r="W28">
        <v>44976</v>
      </c>
      <c r="Y28" t="s">
        <v>150</v>
      </c>
      <c r="Z28">
        <v>3040</v>
      </c>
      <c r="AA28" t="s">
        <v>151</v>
      </c>
      <c r="AB28">
        <v>76910</v>
      </c>
      <c r="AC28" t="s">
        <v>154</v>
      </c>
      <c r="AD28">
        <v>11566</v>
      </c>
      <c r="AE28" t="s">
        <v>151</v>
      </c>
      <c r="AF28" s="17">
        <v>54512</v>
      </c>
      <c r="AP28">
        <v>25000</v>
      </c>
      <c r="AQ28" t="s">
        <v>51</v>
      </c>
      <c r="AU28" t="s">
        <v>135</v>
      </c>
      <c r="AV28" t="s">
        <v>145</v>
      </c>
      <c r="AW28" t="s">
        <v>143</v>
      </c>
      <c r="AX28" t="s">
        <v>51</v>
      </c>
      <c r="AY28" t="s">
        <v>52</v>
      </c>
      <c r="AZ28" t="s">
        <v>51</v>
      </c>
      <c r="BA28" t="s">
        <v>138</v>
      </c>
      <c r="BB28" t="s">
        <v>52</v>
      </c>
      <c r="BC28" t="s">
        <v>52</v>
      </c>
      <c r="BD28" t="s">
        <v>217</v>
      </c>
      <c r="BE28" t="s">
        <v>200</v>
      </c>
      <c r="BG28" s="30">
        <v>399.59</v>
      </c>
      <c r="BH28" s="98" t="s">
        <v>484</v>
      </c>
      <c r="BI28" s="30">
        <v>0</v>
      </c>
      <c r="BJ28" s="98">
        <v>127.13</v>
      </c>
      <c r="BK28" s="30">
        <v>-6.36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101.43</v>
      </c>
      <c r="BS28" s="30">
        <v>-5.07</v>
      </c>
      <c r="BT28" s="30">
        <v>0</v>
      </c>
      <c r="BU28" s="65">
        <v>0</v>
      </c>
    </row>
    <row r="29" spans="1:73" x14ac:dyDescent="0.25">
      <c r="A29" t="s">
        <v>184</v>
      </c>
      <c r="B29" t="s">
        <v>54</v>
      </c>
      <c r="C29" t="s">
        <v>185</v>
      </c>
      <c r="D29" t="s">
        <v>178</v>
      </c>
      <c r="E29" s="21">
        <v>42291</v>
      </c>
      <c r="F29">
        <v>5000</v>
      </c>
      <c r="G29" t="s">
        <v>106</v>
      </c>
      <c r="H29" s="21">
        <v>29553</v>
      </c>
      <c r="I29" s="29" t="s">
        <v>201</v>
      </c>
      <c r="K29">
        <v>5</v>
      </c>
      <c r="L29">
        <v>1</v>
      </c>
      <c r="M29" t="s">
        <v>113</v>
      </c>
      <c r="N29" t="s">
        <v>121</v>
      </c>
      <c r="O29" t="s">
        <v>127</v>
      </c>
      <c r="P29">
        <v>1998</v>
      </c>
      <c r="Q29">
        <v>220</v>
      </c>
      <c r="R29">
        <v>60</v>
      </c>
      <c r="S29" t="s">
        <v>187</v>
      </c>
      <c r="T29" t="s">
        <v>129</v>
      </c>
      <c r="U29" t="s">
        <v>112</v>
      </c>
      <c r="V29">
        <v>506779</v>
      </c>
      <c r="W29">
        <v>44976</v>
      </c>
      <c r="Y29" t="s">
        <v>150</v>
      </c>
      <c r="Z29">
        <v>3040</v>
      </c>
      <c r="AA29" t="s">
        <v>151</v>
      </c>
      <c r="AB29">
        <v>76910</v>
      </c>
      <c r="AC29" t="s">
        <v>154</v>
      </c>
      <c r="AD29">
        <v>11566</v>
      </c>
      <c r="AE29" t="s">
        <v>151</v>
      </c>
      <c r="AF29" s="17">
        <v>54512</v>
      </c>
      <c r="AO29" s="3" t="s">
        <v>220</v>
      </c>
      <c r="AP29">
        <v>25000</v>
      </c>
      <c r="AQ29" t="s">
        <v>51</v>
      </c>
      <c r="AU29" t="s">
        <v>135</v>
      </c>
      <c r="AV29" t="s">
        <v>145</v>
      </c>
      <c r="AW29" t="s">
        <v>143</v>
      </c>
      <c r="AX29" t="s">
        <v>51</v>
      </c>
      <c r="AY29" t="s">
        <v>52</v>
      </c>
      <c r="AZ29" t="s">
        <v>51</v>
      </c>
      <c r="BA29" t="s">
        <v>138</v>
      </c>
      <c r="BB29" t="s">
        <v>52</v>
      </c>
      <c r="BC29" t="s">
        <v>52</v>
      </c>
      <c r="BD29" t="s">
        <v>217</v>
      </c>
      <c r="BE29" t="s">
        <v>200</v>
      </c>
      <c r="BG29" s="30">
        <v>451.49</v>
      </c>
      <c r="BH29" s="30">
        <v>-22.57</v>
      </c>
      <c r="BI29" s="30">
        <v>0</v>
      </c>
      <c r="BJ29" s="98">
        <v>127.13</v>
      </c>
      <c r="BK29" s="30">
        <v>-6.36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119.33</v>
      </c>
      <c r="BS29" s="30">
        <v>-5.97</v>
      </c>
      <c r="BT29" s="30">
        <v>0</v>
      </c>
      <c r="BU29" s="65">
        <v>1</v>
      </c>
    </row>
    <row r="30" spans="1:73" x14ac:dyDescent="0.25">
      <c r="A30" t="s">
        <v>189</v>
      </c>
      <c r="B30" t="s">
        <v>54</v>
      </c>
      <c r="C30" t="s">
        <v>141</v>
      </c>
      <c r="D30" t="s">
        <v>49</v>
      </c>
      <c r="E30" s="21">
        <v>41957</v>
      </c>
      <c r="F30">
        <v>700</v>
      </c>
      <c r="G30" t="s">
        <v>106</v>
      </c>
      <c r="H30" s="21">
        <v>29553</v>
      </c>
      <c r="I30" s="29" t="s">
        <v>218</v>
      </c>
      <c r="J30" t="s">
        <v>50</v>
      </c>
      <c r="K30">
        <v>10</v>
      </c>
      <c r="L30">
        <v>2</v>
      </c>
      <c r="M30" t="s">
        <v>118</v>
      </c>
      <c r="N30" t="s">
        <v>113</v>
      </c>
      <c r="O30" t="s">
        <v>127</v>
      </c>
      <c r="P30">
        <v>1946</v>
      </c>
      <c r="Q30">
        <v>254</v>
      </c>
      <c r="R30">
        <v>139</v>
      </c>
      <c r="S30" t="s">
        <v>112</v>
      </c>
      <c r="T30" t="s">
        <v>129</v>
      </c>
      <c r="U30" t="s">
        <v>133</v>
      </c>
      <c r="V30">
        <v>4000000</v>
      </c>
      <c r="W30">
        <v>11060</v>
      </c>
      <c r="X30">
        <v>49578</v>
      </c>
      <c r="Y30" t="s">
        <v>150</v>
      </c>
      <c r="Z30">
        <v>18000</v>
      </c>
      <c r="AA30" t="s">
        <v>151</v>
      </c>
      <c r="AB30">
        <v>63000</v>
      </c>
      <c r="AC30" t="s">
        <v>155</v>
      </c>
      <c r="AD30">
        <v>33570</v>
      </c>
      <c r="AE30" t="s">
        <v>48</v>
      </c>
      <c r="AF30" s="17">
        <v>71000</v>
      </c>
      <c r="AG30" t="s">
        <v>152</v>
      </c>
      <c r="AH30">
        <v>1800</v>
      </c>
      <c r="AI30" t="s">
        <v>153</v>
      </c>
      <c r="AJ30">
        <v>3000</v>
      </c>
      <c r="AK30" t="s">
        <v>155</v>
      </c>
      <c r="AL30">
        <v>4000</v>
      </c>
      <c r="AM30" t="s">
        <v>150</v>
      </c>
      <c r="AN30">
        <v>2000</v>
      </c>
      <c r="AQ30" t="s">
        <v>51</v>
      </c>
      <c r="AR30">
        <v>6</v>
      </c>
      <c r="AS30" t="s">
        <v>51</v>
      </c>
      <c r="AT30" t="s">
        <v>51</v>
      </c>
      <c r="AU30" t="s">
        <v>107</v>
      </c>
      <c r="AV30" t="s">
        <v>145</v>
      </c>
      <c r="AW30" t="s">
        <v>142</v>
      </c>
      <c r="AX30" t="s">
        <v>51</v>
      </c>
      <c r="AY30" t="s">
        <v>51</v>
      </c>
      <c r="AZ30" t="s">
        <v>51</v>
      </c>
      <c r="BA30" t="s">
        <v>137</v>
      </c>
      <c r="BB30" t="s">
        <v>51</v>
      </c>
      <c r="BC30" t="s">
        <v>52</v>
      </c>
      <c r="BE30" t="s">
        <v>219</v>
      </c>
      <c r="BG30" s="30">
        <v>3487.11</v>
      </c>
      <c r="BH30" s="30">
        <v>0</v>
      </c>
      <c r="BI30" s="30">
        <v>0</v>
      </c>
      <c r="BJ30" s="98" t="s">
        <v>485</v>
      </c>
      <c r="BK30" s="30">
        <v>0</v>
      </c>
      <c r="BL30" s="30">
        <v>79.98</v>
      </c>
      <c r="BM30" s="30">
        <v>0</v>
      </c>
      <c r="BN30" s="30">
        <v>444.4</v>
      </c>
      <c r="BO30" s="30">
        <v>0</v>
      </c>
      <c r="BP30" s="30" t="s">
        <v>486</v>
      </c>
      <c r="BQ30" s="30">
        <v>0</v>
      </c>
      <c r="BR30" s="30">
        <v>0</v>
      </c>
      <c r="BS30" s="30">
        <v>0</v>
      </c>
      <c r="BT30" s="30">
        <v>0</v>
      </c>
      <c r="BU30" s="65">
        <v>0</v>
      </c>
    </row>
    <row r="31" spans="1:73" x14ac:dyDescent="0.25">
      <c r="A31" t="s">
        <v>190</v>
      </c>
      <c r="B31" t="s">
        <v>54</v>
      </c>
      <c r="C31" t="s">
        <v>141</v>
      </c>
      <c r="D31" t="s">
        <v>178</v>
      </c>
      <c r="E31" s="21">
        <v>42322</v>
      </c>
      <c r="F31">
        <v>700</v>
      </c>
      <c r="G31" t="s">
        <v>106</v>
      </c>
      <c r="H31" s="21">
        <v>29553</v>
      </c>
      <c r="I31" s="29" t="s">
        <v>218</v>
      </c>
      <c r="J31" t="s">
        <v>50</v>
      </c>
      <c r="K31">
        <v>10</v>
      </c>
      <c r="L31">
        <v>2</v>
      </c>
      <c r="M31" t="s">
        <v>118</v>
      </c>
      <c r="N31" t="s">
        <v>113</v>
      </c>
      <c r="O31" t="s">
        <v>127</v>
      </c>
      <c r="P31">
        <v>1946</v>
      </c>
      <c r="Q31">
        <v>254</v>
      </c>
      <c r="R31">
        <v>139</v>
      </c>
      <c r="S31" t="s">
        <v>112</v>
      </c>
      <c r="T31" t="s">
        <v>129</v>
      </c>
      <c r="U31" t="s">
        <v>133</v>
      </c>
      <c r="V31">
        <v>4000000</v>
      </c>
      <c r="W31">
        <v>11060</v>
      </c>
      <c r="X31">
        <v>49578</v>
      </c>
      <c r="Y31" t="s">
        <v>150</v>
      </c>
      <c r="Z31">
        <v>18000</v>
      </c>
      <c r="AA31" t="s">
        <v>151</v>
      </c>
      <c r="AB31">
        <v>63000</v>
      </c>
      <c r="AC31" t="s">
        <v>155</v>
      </c>
      <c r="AD31">
        <v>33570</v>
      </c>
      <c r="AE31" t="s">
        <v>48</v>
      </c>
      <c r="AF31" s="17">
        <v>71000</v>
      </c>
      <c r="AG31" t="s">
        <v>152</v>
      </c>
      <c r="AH31">
        <v>1800</v>
      </c>
      <c r="AI31" t="s">
        <v>153</v>
      </c>
      <c r="AJ31">
        <v>3000</v>
      </c>
      <c r="AK31" t="s">
        <v>155</v>
      </c>
      <c r="AL31">
        <v>4000</v>
      </c>
      <c r="AM31" t="s">
        <v>150</v>
      </c>
      <c r="AN31">
        <v>2000</v>
      </c>
      <c r="AO31">
        <v>4140.63</v>
      </c>
      <c r="AQ31" t="s">
        <v>51</v>
      </c>
      <c r="AR31">
        <v>6</v>
      </c>
      <c r="AS31" t="s">
        <v>51</v>
      </c>
      <c r="AT31" t="s">
        <v>51</v>
      </c>
      <c r="AU31" t="s">
        <v>107</v>
      </c>
      <c r="AV31" t="s">
        <v>145</v>
      </c>
      <c r="AW31" t="s">
        <v>142</v>
      </c>
      <c r="AX31" t="s">
        <v>51</v>
      </c>
      <c r="AY31" t="s">
        <v>51</v>
      </c>
      <c r="AZ31" t="s">
        <v>51</v>
      </c>
      <c r="BA31" t="s">
        <v>137</v>
      </c>
      <c r="BB31" t="s">
        <v>51</v>
      </c>
      <c r="BC31" t="s">
        <v>52</v>
      </c>
      <c r="BE31" t="s">
        <v>219</v>
      </c>
      <c r="BG31" s="30">
        <v>4057.82</v>
      </c>
      <c r="BH31" s="30">
        <v>0</v>
      </c>
      <c r="BI31" s="30">
        <v>0</v>
      </c>
      <c r="BJ31" s="98" t="s">
        <v>485</v>
      </c>
      <c r="BK31" s="30">
        <v>0</v>
      </c>
      <c r="BL31" s="30">
        <v>79.98</v>
      </c>
      <c r="BM31" s="30">
        <v>0</v>
      </c>
      <c r="BN31" s="30">
        <v>444.4</v>
      </c>
      <c r="BO31" s="30">
        <v>0</v>
      </c>
      <c r="BP31" s="30" t="s">
        <v>486</v>
      </c>
      <c r="BQ31" s="30">
        <v>0</v>
      </c>
      <c r="BR31" s="30">
        <v>0</v>
      </c>
      <c r="BS31" s="30">
        <v>0</v>
      </c>
      <c r="BT31" s="30">
        <v>0</v>
      </c>
      <c r="BU31" s="65">
        <v>1</v>
      </c>
    </row>
    <row r="32" spans="1:73" x14ac:dyDescent="0.25">
      <c r="A32" t="s">
        <v>191</v>
      </c>
      <c r="B32" t="s">
        <v>54</v>
      </c>
      <c r="C32" t="s">
        <v>139</v>
      </c>
      <c r="D32" t="s">
        <v>49</v>
      </c>
      <c r="E32" s="21">
        <v>42133</v>
      </c>
      <c r="F32">
        <v>1200</v>
      </c>
      <c r="G32" t="s">
        <v>106</v>
      </c>
      <c r="H32" s="21">
        <v>26041</v>
      </c>
      <c r="I32" s="29" t="s">
        <v>210</v>
      </c>
      <c r="J32" t="s">
        <v>50</v>
      </c>
      <c r="K32">
        <v>1</v>
      </c>
      <c r="L32">
        <v>0</v>
      </c>
      <c r="M32" t="s">
        <v>116</v>
      </c>
      <c r="N32" t="s">
        <v>122</v>
      </c>
      <c r="O32" t="s">
        <v>126</v>
      </c>
      <c r="P32">
        <v>1990</v>
      </c>
      <c r="Q32">
        <v>88</v>
      </c>
      <c r="R32">
        <v>20</v>
      </c>
      <c r="S32" t="s">
        <v>110</v>
      </c>
      <c r="T32" t="s">
        <v>130</v>
      </c>
      <c r="U32" t="s">
        <v>132</v>
      </c>
      <c r="V32">
        <v>71131</v>
      </c>
      <c r="X32">
        <v>13000</v>
      </c>
      <c r="Y32" t="s">
        <v>50</v>
      </c>
      <c r="AA32" t="s">
        <v>50</v>
      </c>
      <c r="AC32" t="s">
        <v>50</v>
      </c>
      <c r="AE32" t="s">
        <v>50</v>
      </c>
      <c r="AF32" s="17"/>
      <c r="AG32" t="s">
        <v>50</v>
      </c>
      <c r="AI32" t="s">
        <v>50</v>
      </c>
      <c r="AK32" t="s">
        <v>50</v>
      </c>
      <c r="AM32" t="s">
        <v>50</v>
      </c>
      <c r="AQ32" t="s">
        <v>52</v>
      </c>
      <c r="AU32" t="s">
        <v>107</v>
      </c>
      <c r="AV32" t="s">
        <v>145</v>
      </c>
      <c r="AW32" t="s">
        <v>144</v>
      </c>
      <c r="AX32" t="s">
        <v>52</v>
      </c>
      <c r="AY32" t="s">
        <v>51</v>
      </c>
      <c r="AZ32" t="s">
        <v>52</v>
      </c>
      <c r="BA32" t="s">
        <v>138</v>
      </c>
      <c r="BB32" t="s">
        <v>52</v>
      </c>
      <c r="BC32" t="s">
        <v>52</v>
      </c>
      <c r="BD32" t="s">
        <v>211</v>
      </c>
      <c r="BE32" t="s">
        <v>200</v>
      </c>
      <c r="BG32" s="30">
        <v>256.13</v>
      </c>
      <c r="BH32" s="30">
        <v>-17.93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65">
        <v>0</v>
      </c>
    </row>
    <row r="33" spans="1:73" x14ac:dyDescent="0.25">
      <c r="A33" t="s">
        <v>192</v>
      </c>
      <c r="B33" t="s">
        <v>54</v>
      </c>
      <c r="C33" t="s">
        <v>139</v>
      </c>
      <c r="D33" t="s">
        <v>178</v>
      </c>
      <c r="E33" s="21">
        <v>42499</v>
      </c>
      <c r="F33">
        <v>1200</v>
      </c>
      <c r="G33" t="s">
        <v>106</v>
      </c>
      <c r="H33" s="21">
        <v>26041</v>
      </c>
      <c r="I33" s="29" t="s">
        <v>210</v>
      </c>
      <c r="J33" t="s">
        <v>50</v>
      </c>
      <c r="K33">
        <v>1</v>
      </c>
      <c r="L33">
        <v>0</v>
      </c>
      <c r="M33" t="s">
        <v>116</v>
      </c>
      <c r="N33" t="s">
        <v>122</v>
      </c>
      <c r="O33" t="s">
        <v>126</v>
      </c>
      <c r="P33">
        <v>1990</v>
      </c>
      <c r="Q33">
        <v>88</v>
      </c>
      <c r="R33">
        <v>20</v>
      </c>
      <c r="S33" t="s">
        <v>110</v>
      </c>
      <c r="T33" t="s">
        <v>130</v>
      </c>
      <c r="U33" t="s">
        <v>132</v>
      </c>
      <c r="V33">
        <v>71131</v>
      </c>
      <c r="X33">
        <v>13000</v>
      </c>
      <c r="Y33" t="s">
        <v>50</v>
      </c>
      <c r="AA33" t="s">
        <v>50</v>
      </c>
      <c r="AC33" t="s">
        <v>50</v>
      </c>
      <c r="AE33" t="s">
        <v>50</v>
      </c>
      <c r="AF33" s="17"/>
      <c r="AG33" t="s">
        <v>50</v>
      </c>
      <c r="AI33" t="s">
        <v>50</v>
      </c>
      <c r="AK33" t="s">
        <v>50</v>
      </c>
      <c r="AM33" t="s">
        <v>50</v>
      </c>
      <c r="AO33">
        <v>328.84</v>
      </c>
      <c r="AQ33" t="s">
        <v>52</v>
      </c>
      <c r="AU33" t="s">
        <v>107</v>
      </c>
      <c r="AV33" t="s">
        <v>145</v>
      </c>
      <c r="AW33" t="s">
        <v>144</v>
      </c>
      <c r="AX33" t="s">
        <v>52</v>
      </c>
      <c r="AY33" t="s">
        <v>51</v>
      </c>
      <c r="AZ33" t="s">
        <v>52</v>
      </c>
      <c r="BA33" t="s">
        <v>138</v>
      </c>
      <c r="BB33" t="s">
        <v>52</v>
      </c>
      <c r="BC33" t="s">
        <v>52</v>
      </c>
      <c r="BD33" t="s">
        <v>211</v>
      </c>
      <c r="BE33" t="s">
        <v>200</v>
      </c>
      <c r="BG33" s="30">
        <v>299.24</v>
      </c>
      <c r="BH33" s="30">
        <v>-20.95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65">
        <v>1</v>
      </c>
    </row>
    <row r="34" spans="1:73" x14ac:dyDescent="0.25">
      <c r="A34" t="s">
        <v>193</v>
      </c>
      <c r="B34" t="s">
        <v>54</v>
      </c>
      <c r="C34" t="s">
        <v>139</v>
      </c>
      <c r="D34" t="s">
        <v>49</v>
      </c>
      <c r="E34" s="21">
        <v>42104</v>
      </c>
      <c r="F34">
        <v>1200</v>
      </c>
      <c r="G34" t="s">
        <v>106</v>
      </c>
      <c r="H34" s="21">
        <v>26041</v>
      </c>
      <c r="I34" s="27" t="s">
        <v>202</v>
      </c>
      <c r="J34" t="s">
        <v>50</v>
      </c>
      <c r="K34">
        <v>1</v>
      </c>
      <c r="L34">
        <v>0</v>
      </c>
      <c r="M34" t="s">
        <v>116</v>
      </c>
      <c r="N34" t="s">
        <v>122</v>
      </c>
      <c r="O34" t="s">
        <v>126</v>
      </c>
      <c r="P34">
        <v>1990</v>
      </c>
      <c r="Q34">
        <v>88</v>
      </c>
      <c r="R34">
        <v>20</v>
      </c>
      <c r="S34" t="s">
        <v>110</v>
      </c>
      <c r="T34" t="s">
        <v>130</v>
      </c>
      <c r="U34" t="s">
        <v>132</v>
      </c>
      <c r="V34">
        <v>71131</v>
      </c>
      <c r="X34">
        <v>13000</v>
      </c>
      <c r="Y34" t="s">
        <v>50</v>
      </c>
      <c r="AA34" t="s">
        <v>50</v>
      </c>
      <c r="AC34" t="s">
        <v>50</v>
      </c>
      <c r="AE34" t="s">
        <v>50</v>
      </c>
      <c r="AF34" s="17"/>
      <c r="AG34" t="s">
        <v>50</v>
      </c>
      <c r="AI34" t="s">
        <v>50</v>
      </c>
      <c r="AK34" t="s">
        <v>50</v>
      </c>
      <c r="AM34" t="s">
        <v>50</v>
      </c>
      <c r="AQ34" t="s">
        <v>52</v>
      </c>
      <c r="AU34" t="s">
        <v>107</v>
      </c>
      <c r="AV34" t="s">
        <v>145</v>
      </c>
      <c r="AW34" t="s">
        <v>144</v>
      </c>
      <c r="AX34" t="s">
        <v>52</v>
      </c>
      <c r="AY34" t="s">
        <v>51</v>
      </c>
      <c r="AZ34" t="s">
        <v>52</v>
      </c>
      <c r="BA34" t="s">
        <v>138</v>
      </c>
      <c r="BB34" t="s">
        <v>52</v>
      </c>
      <c r="BC34" t="s">
        <v>52</v>
      </c>
      <c r="BD34" t="s">
        <v>203</v>
      </c>
      <c r="BE34" t="s">
        <v>204</v>
      </c>
      <c r="BG34" s="30">
        <v>216.98</v>
      </c>
      <c r="BH34" s="30">
        <v>-15.19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65">
        <v>0</v>
      </c>
    </row>
    <row r="35" spans="1:73" x14ac:dyDescent="0.25">
      <c r="A35" t="s">
        <v>194</v>
      </c>
      <c r="B35" t="s">
        <v>54</v>
      </c>
      <c r="C35" t="s">
        <v>139</v>
      </c>
      <c r="D35" t="s">
        <v>178</v>
      </c>
      <c r="E35" s="21">
        <v>42470</v>
      </c>
      <c r="F35">
        <v>1200</v>
      </c>
      <c r="G35" t="s">
        <v>106</v>
      </c>
      <c r="H35" s="21">
        <v>26041</v>
      </c>
      <c r="I35" s="27" t="s">
        <v>202</v>
      </c>
      <c r="J35" t="s">
        <v>50</v>
      </c>
      <c r="K35">
        <v>1</v>
      </c>
      <c r="L35">
        <v>0</v>
      </c>
      <c r="M35" t="s">
        <v>116</v>
      </c>
      <c r="N35" t="s">
        <v>122</v>
      </c>
      <c r="O35" t="s">
        <v>126</v>
      </c>
      <c r="P35">
        <v>1990</v>
      </c>
      <c r="Q35">
        <v>88</v>
      </c>
      <c r="R35">
        <v>20</v>
      </c>
      <c r="S35" t="s">
        <v>110</v>
      </c>
      <c r="T35" t="s">
        <v>130</v>
      </c>
      <c r="U35" t="s">
        <v>132</v>
      </c>
      <c r="V35">
        <v>71131</v>
      </c>
      <c r="X35">
        <v>13000</v>
      </c>
      <c r="Y35" t="s">
        <v>50</v>
      </c>
      <c r="AA35" t="s">
        <v>50</v>
      </c>
      <c r="AC35" t="s">
        <v>50</v>
      </c>
      <c r="AE35" t="s">
        <v>50</v>
      </c>
      <c r="AF35" s="17"/>
      <c r="AG35" t="s">
        <v>50</v>
      </c>
      <c r="AI35" t="s">
        <v>50</v>
      </c>
      <c r="AK35" t="s">
        <v>50</v>
      </c>
      <c r="AM35" t="s">
        <v>50</v>
      </c>
      <c r="AO35">
        <v>278.23</v>
      </c>
      <c r="AQ35" t="s">
        <v>52</v>
      </c>
      <c r="AU35" t="s">
        <v>107</v>
      </c>
      <c r="AV35" t="s">
        <v>145</v>
      </c>
      <c r="AW35" t="s">
        <v>144</v>
      </c>
      <c r="AX35" t="s">
        <v>52</v>
      </c>
      <c r="AY35" t="s">
        <v>51</v>
      </c>
      <c r="AZ35" t="s">
        <v>52</v>
      </c>
      <c r="BA35" t="s">
        <v>138</v>
      </c>
      <c r="BB35" t="s">
        <v>52</v>
      </c>
      <c r="BC35" t="s">
        <v>52</v>
      </c>
      <c r="BD35" t="s">
        <v>203</v>
      </c>
      <c r="BE35" t="s">
        <v>204</v>
      </c>
      <c r="BG35" s="30">
        <v>253.19</v>
      </c>
      <c r="BH35" s="30">
        <v>-17.72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65">
        <v>1</v>
      </c>
    </row>
    <row r="36" spans="1:73" x14ac:dyDescent="0.25">
      <c r="A36" t="s">
        <v>195</v>
      </c>
      <c r="B36" t="s">
        <v>54</v>
      </c>
      <c r="C36" t="s">
        <v>141</v>
      </c>
      <c r="D36" t="s">
        <v>49</v>
      </c>
      <c r="E36" s="21">
        <v>41987</v>
      </c>
      <c r="F36">
        <v>550</v>
      </c>
      <c r="G36" t="s">
        <v>106</v>
      </c>
      <c r="H36" s="21">
        <v>26526</v>
      </c>
      <c r="I36" s="27" t="s">
        <v>202</v>
      </c>
      <c r="J36" t="s">
        <v>50</v>
      </c>
      <c r="K36">
        <v>12</v>
      </c>
      <c r="L36">
        <v>1</v>
      </c>
      <c r="M36" t="s">
        <v>118</v>
      </c>
      <c r="N36" t="s">
        <v>113</v>
      </c>
      <c r="O36" t="s">
        <v>127</v>
      </c>
      <c r="P36">
        <v>1946</v>
      </c>
      <c r="Q36">
        <v>254</v>
      </c>
      <c r="R36">
        <v>139</v>
      </c>
      <c r="S36" t="s">
        <v>112</v>
      </c>
      <c r="T36" t="s">
        <v>129</v>
      </c>
      <c r="U36" t="s">
        <v>133</v>
      </c>
      <c r="V36">
        <v>3532510</v>
      </c>
      <c r="W36">
        <v>11060</v>
      </c>
      <c r="X36">
        <v>49578</v>
      </c>
      <c r="Y36" t="s">
        <v>150</v>
      </c>
      <c r="Z36">
        <v>18000</v>
      </c>
      <c r="AA36" t="s">
        <v>151</v>
      </c>
      <c r="AB36">
        <v>63000</v>
      </c>
      <c r="AC36" t="s">
        <v>155</v>
      </c>
      <c r="AD36">
        <v>33570</v>
      </c>
      <c r="AE36" t="s">
        <v>48</v>
      </c>
      <c r="AF36" s="17">
        <v>71000</v>
      </c>
      <c r="AG36" t="s">
        <v>152</v>
      </c>
      <c r="AH36">
        <v>1800</v>
      </c>
      <c r="AI36" t="s">
        <v>153</v>
      </c>
      <c r="AJ36">
        <v>3000</v>
      </c>
      <c r="AK36" t="s">
        <v>155</v>
      </c>
      <c r="AL36">
        <v>4000</v>
      </c>
      <c r="AM36" t="s">
        <v>150</v>
      </c>
      <c r="AN36">
        <v>2000</v>
      </c>
      <c r="AP36">
        <v>8000</v>
      </c>
      <c r="AQ36" t="s">
        <v>51</v>
      </c>
      <c r="AR36">
        <v>6</v>
      </c>
      <c r="AS36" t="s">
        <v>51</v>
      </c>
      <c r="AT36" t="s">
        <v>51</v>
      </c>
      <c r="AU36" t="s">
        <v>107</v>
      </c>
      <c r="AV36" t="s">
        <v>145</v>
      </c>
      <c r="AW36" t="s">
        <v>142</v>
      </c>
      <c r="AX36" t="s">
        <v>51</v>
      </c>
      <c r="AY36" t="s">
        <v>51</v>
      </c>
      <c r="AZ36" t="s">
        <v>51</v>
      </c>
      <c r="BA36" t="s">
        <v>137</v>
      </c>
      <c r="BB36" t="s">
        <v>51</v>
      </c>
      <c r="BC36" t="s">
        <v>52</v>
      </c>
      <c r="BD36" t="s">
        <v>203</v>
      </c>
      <c r="BE36" t="s">
        <v>204</v>
      </c>
      <c r="BG36" s="30">
        <v>3205.65</v>
      </c>
      <c r="BH36" s="30">
        <v>0</v>
      </c>
      <c r="BI36" s="30">
        <v>0</v>
      </c>
      <c r="BJ36" s="30">
        <v>469.32</v>
      </c>
      <c r="BK36" s="30">
        <v>0</v>
      </c>
      <c r="BL36" s="30">
        <v>79.98</v>
      </c>
      <c r="BM36" s="30">
        <v>0</v>
      </c>
      <c r="BN36" s="30">
        <v>533.28</v>
      </c>
      <c r="BO36" s="30">
        <v>0</v>
      </c>
      <c r="BP36" s="30">
        <v>960</v>
      </c>
      <c r="BQ36" s="30">
        <v>0</v>
      </c>
      <c r="BR36" s="30">
        <v>178.92</v>
      </c>
      <c r="BS36" s="30">
        <v>0</v>
      </c>
      <c r="BT36" s="30">
        <v>0</v>
      </c>
      <c r="BU36" s="65">
        <v>0</v>
      </c>
    </row>
    <row r="37" spans="1:73" x14ac:dyDescent="0.25">
      <c r="A37" t="s">
        <v>196</v>
      </c>
      <c r="B37" t="s">
        <v>54</v>
      </c>
      <c r="C37" t="s">
        <v>141</v>
      </c>
      <c r="D37" t="s">
        <v>178</v>
      </c>
      <c r="E37" s="21">
        <v>42352</v>
      </c>
      <c r="F37">
        <v>550</v>
      </c>
      <c r="G37" t="s">
        <v>106</v>
      </c>
      <c r="H37" s="21">
        <v>26526</v>
      </c>
      <c r="I37" s="27" t="s">
        <v>202</v>
      </c>
      <c r="J37" t="s">
        <v>50</v>
      </c>
      <c r="K37">
        <v>12</v>
      </c>
      <c r="L37">
        <v>1</v>
      </c>
      <c r="M37" t="s">
        <v>118</v>
      </c>
      <c r="N37" t="s">
        <v>113</v>
      </c>
      <c r="O37" t="s">
        <v>127</v>
      </c>
      <c r="P37">
        <v>1946</v>
      </c>
      <c r="Q37">
        <v>254</v>
      </c>
      <c r="R37">
        <v>139</v>
      </c>
      <c r="S37" t="s">
        <v>112</v>
      </c>
      <c r="T37" t="s">
        <v>129</v>
      </c>
      <c r="U37" t="s">
        <v>133</v>
      </c>
      <c r="V37">
        <v>3532510</v>
      </c>
      <c r="W37">
        <v>11060</v>
      </c>
      <c r="X37">
        <v>49578</v>
      </c>
      <c r="Y37" t="s">
        <v>150</v>
      </c>
      <c r="Z37">
        <v>18000</v>
      </c>
      <c r="AA37" t="s">
        <v>151</v>
      </c>
      <c r="AB37">
        <v>63000</v>
      </c>
      <c r="AC37" t="s">
        <v>155</v>
      </c>
      <c r="AD37">
        <v>33570</v>
      </c>
      <c r="AE37" t="s">
        <v>48</v>
      </c>
      <c r="AF37" s="17">
        <v>71000</v>
      </c>
      <c r="AG37" t="s">
        <v>152</v>
      </c>
      <c r="AH37">
        <v>1800</v>
      </c>
      <c r="AI37" t="s">
        <v>153</v>
      </c>
      <c r="AJ37">
        <v>3000</v>
      </c>
      <c r="AK37" t="s">
        <v>155</v>
      </c>
      <c r="AL37">
        <v>4000</v>
      </c>
      <c r="AM37" t="s">
        <v>150</v>
      </c>
      <c r="AN37">
        <v>2000</v>
      </c>
      <c r="AO37">
        <v>3725.68</v>
      </c>
      <c r="AP37">
        <v>8000</v>
      </c>
      <c r="AQ37" t="s">
        <v>51</v>
      </c>
      <c r="AR37">
        <v>6</v>
      </c>
      <c r="AS37" t="s">
        <v>51</v>
      </c>
      <c r="AT37" t="s">
        <v>51</v>
      </c>
      <c r="AU37" t="s">
        <v>107</v>
      </c>
      <c r="AV37" t="s">
        <v>145</v>
      </c>
      <c r="AW37" t="s">
        <v>142</v>
      </c>
      <c r="AX37" t="s">
        <v>51</v>
      </c>
      <c r="AY37" t="s">
        <v>51</v>
      </c>
      <c r="AZ37" t="s">
        <v>51</v>
      </c>
      <c r="BA37" t="s">
        <v>137</v>
      </c>
      <c r="BB37" t="s">
        <v>51</v>
      </c>
      <c r="BC37" t="s">
        <v>52</v>
      </c>
      <c r="BD37" t="s">
        <v>203</v>
      </c>
      <c r="BE37" t="s">
        <v>204</v>
      </c>
      <c r="BG37" s="30">
        <v>3725.68</v>
      </c>
      <c r="BH37" s="30">
        <v>0</v>
      </c>
      <c r="BI37" s="30">
        <v>0</v>
      </c>
      <c r="BJ37" s="30">
        <v>469.32</v>
      </c>
      <c r="BK37" s="30">
        <v>0</v>
      </c>
      <c r="BL37" s="30">
        <v>79.98</v>
      </c>
      <c r="BM37" s="30">
        <v>0</v>
      </c>
      <c r="BN37" s="30">
        <v>533.28</v>
      </c>
      <c r="BO37" s="30">
        <v>0</v>
      </c>
      <c r="BP37" s="30">
        <v>960</v>
      </c>
      <c r="BQ37" s="30">
        <v>0</v>
      </c>
      <c r="BR37" s="30">
        <v>210.5</v>
      </c>
      <c r="BS37" s="30">
        <v>0</v>
      </c>
      <c r="BT37" s="30">
        <v>0</v>
      </c>
      <c r="BU37" s="65">
        <v>1</v>
      </c>
    </row>
    <row r="38" spans="1:73" x14ac:dyDescent="0.25">
      <c r="BU38" s="64"/>
    </row>
    <row r="39" spans="1:73" x14ac:dyDescent="0.25">
      <c r="BU39" s="64"/>
    </row>
    <row r="40" spans="1:73" x14ac:dyDescent="0.25">
      <c r="A40">
        <v>1</v>
      </c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  <c r="Q40">
        <v>17</v>
      </c>
      <c r="R40">
        <v>18</v>
      </c>
      <c r="S40">
        <v>19</v>
      </c>
      <c r="T40">
        <v>20</v>
      </c>
      <c r="U40">
        <v>21</v>
      </c>
      <c r="V40">
        <v>22</v>
      </c>
      <c r="W40">
        <v>23</v>
      </c>
      <c r="X40">
        <v>24</v>
      </c>
      <c r="Y40">
        <v>25</v>
      </c>
      <c r="Z40">
        <v>26</v>
      </c>
      <c r="AA40">
        <v>27</v>
      </c>
      <c r="AB40">
        <v>28</v>
      </c>
      <c r="AC40">
        <v>29</v>
      </c>
      <c r="AD40">
        <v>30</v>
      </c>
      <c r="AE40">
        <v>31</v>
      </c>
      <c r="AF40">
        <v>32</v>
      </c>
      <c r="AG40">
        <v>33</v>
      </c>
      <c r="AH40">
        <v>34</v>
      </c>
      <c r="AI40">
        <v>35</v>
      </c>
      <c r="AJ40">
        <v>36</v>
      </c>
      <c r="AK40">
        <v>37</v>
      </c>
      <c r="AL40">
        <v>38</v>
      </c>
      <c r="AM40">
        <v>39</v>
      </c>
      <c r="AN40">
        <v>40</v>
      </c>
      <c r="AO40">
        <v>41</v>
      </c>
      <c r="AP40">
        <v>42</v>
      </c>
      <c r="AQ40">
        <v>43</v>
      </c>
      <c r="AR40">
        <v>44</v>
      </c>
      <c r="AS40">
        <v>45</v>
      </c>
      <c r="AT40">
        <v>46</v>
      </c>
      <c r="AU40">
        <v>47</v>
      </c>
      <c r="AV40">
        <v>48</v>
      </c>
      <c r="AW40">
        <v>49</v>
      </c>
      <c r="AX40">
        <v>50</v>
      </c>
      <c r="AY40">
        <v>51</v>
      </c>
      <c r="AZ40">
        <v>52</v>
      </c>
      <c r="BA40">
        <v>53</v>
      </c>
      <c r="BB40">
        <v>54</v>
      </c>
      <c r="BC40">
        <v>55</v>
      </c>
      <c r="BD40">
        <v>56</v>
      </c>
      <c r="BE40">
        <v>57</v>
      </c>
      <c r="BF40">
        <v>58</v>
      </c>
      <c r="BG40" s="30">
        <v>59</v>
      </c>
      <c r="BH40">
        <v>60</v>
      </c>
      <c r="BI40" s="30">
        <v>61</v>
      </c>
      <c r="BJ40">
        <v>62</v>
      </c>
      <c r="BK40" s="30">
        <v>63</v>
      </c>
      <c r="BL40">
        <v>64</v>
      </c>
      <c r="BM40" s="30">
        <v>65</v>
      </c>
      <c r="BN40">
        <v>66</v>
      </c>
      <c r="BO40" s="30">
        <v>67</v>
      </c>
      <c r="BP40">
        <v>68</v>
      </c>
      <c r="BQ40" s="30">
        <v>69</v>
      </c>
      <c r="BR40" s="30">
        <v>70</v>
      </c>
      <c r="BS40" s="30">
        <v>71</v>
      </c>
      <c r="BT40" s="30">
        <v>72</v>
      </c>
      <c r="BU40" s="6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-History-</vt:lpstr>
      <vt:lpstr>US testing</vt:lpstr>
      <vt:lpstr>PreConditions</vt:lpstr>
      <vt:lpstr>General</vt:lpstr>
      <vt:lpstr>Risk Information</vt:lpstr>
      <vt:lpstr>Sum Insured</vt:lpstr>
      <vt:lpstr>Options</vt:lpstr>
      <vt:lpstr>Premium</vt:lpstr>
      <vt:lpstr>House</vt:lpstr>
      <vt:lpstr>Integration test</vt:lpstr>
      <vt:lpstr>Integration test Data</vt:lpstr>
      <vt:lpstr>Environment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2018-04-11T13:33:11Z</dcterms:modified>
</cp:coreProperties>
</file>