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xir-pcsteng01\xlabs_t3\t3\Reduced precision NN\RPNN_Data\"/>
    </mc:Choice>
  </mc:AlternateContent>
  <bookViews>
    <workbookView xWindow="0" yWindow="0" windowWidth="15360" windowHeight="7755" tabRatio="937" activeTab="4"/>
  </bookViews>
  <sheets>
    <sheet name="Target 10KFPS" sheetId="1" r:id="rId1"/>
    <sheet name="Realistic" sheetId="2" r:id="rId2"/>
    <sheet name="6KFPS" sheetId="16" r:id="rId3"/>
    <sheet name="Julian's pruning (30%)" sheetId="17" r:id="rId4"/>
    <sheet name="Julian's pruning (30%)-fast" sheetId="18" r:id="rId5"/>
    <sheet name="Julian's pruning (40%)" sheetId="21" r:id="rId6"/>
    <sheet name="Julian's pruning (50%)" sheetId="23" r:id="rId7"/>
    <sheet name="Dorefanet-Roofline" sheetId="6" r:id="rId8"/>
    <sheet name="KU115" sheetId="3" r:id="rId9"/>
    <sheet name="KU115-BinaryNet-faster" sheetId="12" r:id="rId10"/>
    <sheet name="KU115-BinaryNet" sheetId="4" r:id="rId11"/>
    <sheet name="Darknet" sheetId="13" r:id="rId12"/>
    <sheet name="Darknet19" sheetId="19" r:id="rId13"/>
    <sheet name="Darknet19_HWGQ" sheetId="20" r:id="rId14"/>
    <sheet name="Darknet-Roofline" sheetId="15" r:id="rId15"/>
    <sheet name="Darknet-Tiny" sheetId="14" r:id="rId16"/>
    <sheet name="KU115-Slow" sheetId="5" r:id="rId17"/>
    <sheet name="Binarynet Roofline" sheetId="7" r:id="rId18"/>
    <sheet name="Fast" sheetId="8" r:id="rId19"/>
    <sheet name="OI Evaluation" sheetId="9" r:id="rId20"/>
    <sheet name="Dorefanet-100" sheetId="10" r:id="rId21"/>
    <sheet name="Slow" sheetId="11" r:id="rId22"/>
  </sheets>
  <calcPr calcId="152511"/>
</workbook>
</file>

<file path=xl/calcChain.xml><?xml version="1.0" encoding="utf-8"?>
<calcChain xmlns="http://schemas.openxmlformats.org/spreadsheetml/2006/main">
  <c r="AG23" i="18" l="1"/>
  <c r="AF23" i="18"/>
  <c r="AC23" i="18"/>
  <c r="AB23" i="18"/>
  <c r="AF22" i="18"/>
  <c r="AC22" i="18"/>
  <c r="AB22" i="18"/>
  <c r="AF21" i="18"/>
  <c r="AC21" i="18"/>
  <c r="AG21" i="18" s="1"/>
  <c r="AB21" i="18"/>
  <c r="AC18" i="18"/>
  <c r="AG18" i="18" s="1"/>
  <c r="AB18" i="18"/>
  <c r="AA18" i="18"/>
  <c r="X18" i="18"/>
  <c r="Y18" i="18" s="1"/>
  <c r="Z18" i="18" s="1"/>
  <c r="AF18" i="18" s="1"/>
  <c r="W18" i="18"/>
  <c r="AC16" i="18"/>
  <c r="AG16" i="18" s="1"/>
  <c r="AB16" i="18"/>
  <c r="AA16" i="18"/>
  <c r="X16" i="18"/>
  <c r="Y16" i="18" s="1"/>
  <c r="Z16" i="18" s="1"/>
  <c r="AF16" i="18" s="1"/>
  <c r="W16" i="18"/>
  <c r="AG11" i="18"/>
  <c r="AC11" i="18"/>
  <c r="AB11" i="18"/>
  <c r="AA11" i="18"/>
  <c r="X11" i="18"/>
  <c r="Y11" i="18" s="1"/>
  <c r="Z11" i="18" s="1"/>
  <c r="AF11" i="18" s="1"/>
  <c r="W11" i="18"/>
  <c r="AG7" i="18"/>
  <c r="AC7" i="18"/>
  <c r="AB7" i="18"/>
  <c r="AA7" i="18"/>
  <c r="X7" i="18"/>
  <c r="Y7" i="18" s="1"/>
  <c r="Z7" i="18" s="1"/>
  <c r="AF7" i="18" s="1"/>
  <c r="W7" i="18"/>
  <c r="AF4" i="18"/>
  <c r="AC4" i="18"/>
  <c r="AG4" i="18" s="1"/>
  <c r="AB4" i="18"/>
  <c r="AA4" i="18"/>
  <c r="X4" i="18"/>
  <c r="Y4" i="18" s="1"/>
  <c r="Z4" i="18" s="1"/>
  <c r="W4" i="18"/>
  <c r="Z7" i="17"/>
  <c r="Z11" i="17"/>
  <c r="Z16" i="17"/>
  <c r="Z18" i="17"/>
  <c r="Z4" i="17"/>
  <c r="Y7" i="17"/>
  <c r="Y11" i="17"/>
  <c r="Y16" i="17"/>
  <c r="Y18" i="17"/>
  <c r="Y4" i="17"/>
  <c r="X7" i="17"/>
  <c r="X11" i="17"/>
  <c r="X16" i="17"/>
  <c r="X18" i="17"/>
  <c r="X4" i="17"/>
  <c r="W7" i="17"/>
  <c r="W11" i="17"/>
  <c r="W16" i="17"/>
  <c r="W18" i="17"/>
  <c r="W4" i="17"/>
  <c r="AG22" i="18" l="1"/>
  <c r="J27" i="23"/>
  <c r="T23" i="23"/>
  <c r="V23" i="23" s="1"/>
  <c r="Q23" i="23"/>
  <c r="P23" i="23"/>
  <c r="O23" i="23"/>
  <c r="D23" i="23"/>
  <c r="S23" i="23" s="1"/>
  <c r="T22" i="23"/>
  <c r="V22" i="23" s="1"/>
  <c r="Q22" i="23"/>
  <c r="P22" i="23"/>
  <c r="O22" i="23"/>
  <c r="D22" i="23"/>
  <c r="Y22" i="23" s="1"/>
  <c r="C22" i="23"/>
  <c r="H22" i="23" s="1"/>
  <c r="C23" i="23" s="1"/>
  <c r="H23" i="23" s="1"/>
  <c r="T21" i="23"/>
  <c r="V21" i="23" s="1"/>
  <c r="Q21" i="23"/>
  <c r="O21" i="23"/>
  <c r="I21" i="23"/>
  <c r="I22" i="23" s="1"/>
  <c r="J20" i="23"/>
  <c r="C20" i="23"/>
  <c r="H20" i="23" s="1"/>
  <c r="J19" i="23"/>
  <c r="D19" i="23"/>
  <c r="G19" i="23" s="1"/>
  <c r="D20" i="23" s="1"/>
  <c r="G20" i="23" s="1"/>
  <c r="D21" i="23" s="1"/>
  <c r="T18" i="23"/>
  <c r="V18" i="23" s="1"/>
  <c r="Q18" i="23"/>
  <c r="O18" i="23"/>
  <c r="J17" i="23"/>
  <c r="D17" i="23"/>
  <c r="G17" i="23" s="1"/>
  <c r="D18" i="23" s="1"/>
  <c r="T16" i="23"/>
  <c r="V16" i="23" s="1"/>
  <c r="Q16" i="23"/>
  <c r="O16" i="23"/>
  <c r="I16" i="23"/>
  <c r="I17" i="23" s="1"/>
  <c r="I18" i="23" s="1"/>
  <c r="J15" i="23"/>
  <c r="I15" i="23"/>
  <c r="J14" i="23"/>
  <c r="J12" i="23"/>
  <c r="D12" i="23"/>
  <c r="G12" i="23" s="1"/>
  <c r="D13" i="23" s="1"/>
  <c r="G13" i="23" s="1"/>
  <c r="D14" i="23" s="1"/>
  <c r="G14" i="23" s="1"/>
  <c r="D15" i="23" s="1"/>
  <c r="G15" i="23" s="1"/>
  <c r="D16" i="23" s="1"/>
  <c r="T11" i="23"/>
  <c r="V11" i="23" s="1"/>
  <c r="Q11" i="23"/>
  <c r="O11" i="23"/>
  <c r="I10" i="23"/>
  <c r="I11" i="23" s="1"/>
  <c r="J9" i="23"/>
  <c r="D8" i="23"/>
  <c r="G8" i="23" s="1"/>
  <c r="D9" i="23" s="1"/>
  <c r="G9" i="23" s="1"/>
  <c r="D10" i="23" s="1"/>
  <c r="G10" i="23" s="1"/>
  <c r="D11" i="23" s="1"/>
  <c r="T7" i="23"/>
  <c r="V7" i="23" s="1"/>
  <c r="Q7" i="23"/>
  <c r="O7" i="23"/>
  <c r="I7" i="23"/>
  <c r="J6" i="23"/>
  <c r="I6" i="23"/>
  <c r="J5" i="23"/>
  <c r="D5" i="23"/>
  <c r="G5" i="23" s="1"/>
  <c r="D6" i="23" s="1"/>
  <c r="G6" i="23" s="1"/>
  <c r="D7" i="23" s="1"/>
  <c r="T4" i="23"/>
  <c r="V4" i="23" s="1"/>
  <c r="S4" i="23"/>
  <c r="Z4" i="23" s="1"/>
  <c r="AD4" i="23" s="1"/>
  <c r="Q4" i="23"/>
  <c r="P4" i="23"/>
  <c r="O4" i="23"/>
  <c r="I4" i="23"/>
  <c r="I5" i="23" s="1"/>
  <c r="D4" i="23"/>
  <c r="Y4" i="23" s="1"/>
  <c r="J3" i="23"/>
  <c r="H3" i="23"/>
  <c r="C4" i="23" s="1"/>
  <c r="Y23" i="23" l="1"/>
  <c r="Z23" i="23"/>
  <c r="U23" i="23"/>
  <c r="I19" i="23"/>
  <c r="I20" i="23" s="1"/>
  <c r="S21" i="23"/>
  <c r="Y21" i="23"/>
  <c r="P21" i="23"/>
  <c r="H4" i="23"/>
  <c r="Y16" i="23"/>
  <c r="P16" i="23"/>
  <c r="S16" i="23"/>
  <c r="S7" i="23"/>
  <c r="Y7" i="23"/>
  <c r="P7" i="23"/>
  <c r="Y11" i="23"/>
  <c r="P11" i="23"/>
  <c r="S11" i="23"/>
  <c r="S18" i="23"/>
  <c r="Y18" i="23"/>
  <c r="P18" i="23"/>
  <c r="I23" i="23"/>
  <c r="J23" i="23" s="1"/>
  <c r="J22" i="23"/>
  <c r="I12" i="23"/>
  <c r="I13" i="23" s="1"/>
  <c r="I14" i="23" s="1"/>
  <c r="J4" i="23"/>
  <c r="J21" i="23"/>
  <c r="I8" i="23"/>
  <c r="I9" i="23" s="1"/>
  <c r="U4" i="23"/>
  <c r="S22" i="23"/>
  <c r="R22" i="23" l="1"/>
  <c r="AC22" i="23" s="1"/>
  <c r="R23" i="23"/>
  <c r="AC23" i="23" s="1"/>
  <c r="U21" i="23"/>
  <c r="Z21" i="23"/>
  <c r="U16" i="23"/>
  <c r="Z16" i="23"/>
  <c r="AD16" i="23" s="1"/>
  <c r="R21" i="23"/>
  <c r="AC21" i="23" s="1"/>
  <c r="Z18" i="23"/>
  <c r="AD18" i="23" s="1"/>
  <c r="U18" i="23"/>
  <c r="Z22" i="23"/>
  <c r="U22" i="23"/>
  <c r="U11" i="23"/>
  <c r="Z11" i="23"/>
  <c r="AD11" i="23" s="1"/>
  <c r="C5" i="23"/>
  <c r="H5" i="23" s="1"/>
  <c r="C6" i="23" s="1"/>
  <c r="H6" i="23" s="1"/>
  <c r="C7" i="23" s="1"/>
  <c r="X4" i="23"/>
  <c r="Z7" i="23"/>
  <c r="AD7" i="23" s="1"/>
  <c r="U7" i="23"/>
  <c r="R4" i="23"/>
  <c r="W4" i="23"/>
  <c r="AD23" i="23"/>
  <c r="AD21" i="23" l="1"/>
  <c r="AD22" i="23"/>
  <c r="AC4" i="23"/>
  <c r="H7" i="23"/>
  <c r="C8" i="23" l="1"/>
  <c r="H8" i="23" s="1"/>
  <c r="X7" i="23"/>
  <c r="J7" i="23"/>
  <c r="W7" i="23"/>
  <c r="R7" i="23" l="1"/>
  <c r="J8" i="23"/>
  <c r="C9" i="23"/>
  <c r="H9" i="23" s="1"/>
  <c r="C10" i="23" s="1"/>
  <c r="H10" i="23" s="1"/>
  <c r="C11" i="23" s="1"/>
  <c r="H11" i="23" l="1"/>
  <c r="AC7" i="23"/>
  <c r="C12" i="23" l="1"/>
  <c r="H12" i="23" s="1"/>
  <c r="C13" i="23" s="1"/>
  <c r="H13" i="23" s="1"/>
  <c r="X11" i="23"/>
  <c r="J11" i="23"/>
  <c r="W11" i="23"/>
  <c r="R11" i="23" l="1"/>
  <c r="C14" i="23"/>
  <c r="H14" i="23" s="1"/>
  <c r="C15" i="23" s="1"/>
  <c r="H15" i="23" s="1"/>
  <c r="C16" i="23" s="1"/>
  <c r="J13" i="23"/>
  <c r="H16" i="23" l="1"/>
  <c r="W16" i="23" s="1"/>
  <c r="AC11" i="23"/>
  <c r="X16" i="23" l="1"/>
  <c r="C17" i="23"/>
  <c r="H17" i="23" s="1"/>
  <c r="C18" i="23" s="1"/>
  <c r="J16" i="23"/>
  <c r="R16" i="23" l="1"/>
  <c r="H18" i="23"/>
  <c r="AC16" i="23" l="1"/>
  <c r="X18" i="23"/>
  <c r="C19" i="23"/>
  <c r="J18" i="23"/>
  <c r="W18" i="23"/>
  <c r="R18" i="23" l="1"/>
  <c r="K18" i="23"/>
  <c r="J2" i="23"/>
  <c r="K11" i="23"/>
  <c r="K16" i="23"/>
  <c r="K21" i="23"/>
  <c r="K4" i="23"/>
  <c r="K7" i="23"/>
  <c r="K22" i="23"/>
  <c r="K23" i="23"/>
  <c r="S1" i="23"/>
  <c r="AC18" i="23" l="1"/>
  <c r="K1" i="23"/>
  <c r="M1" i="23" s="1"/>
  <c r="AE23" i="23" l="1"/>
  <c r="AE21" i="23"/>
  <c r="AE22" i="23"/>
  <c r="J27" i="21" l="1"/>
  <c r="T23" i="21"/>
  <c r="V23" i="21" s="1"/>
  <c r="Q23" i="21"/>
  <c r="O23" i="21"/>
  <c r="D23" i="21"/>
  <c r="S23" i="21" s="1"/>
  <c r="Y22" i="21"/>
  <c r="T22" i="21"/>
  <c r="V22" i="21" s="1"/>
  <c r="Q22" i="21"/>
  <c r="O22" i="21"/>
  <c r="D22" i="21"/>
  <c r="S22" i="21" s="1"/>
  <c r="C22" i="21"/>
  <c r="H22" i="21" s="1"/>
  <c r="C23" i="21" s="1"/>
  <c r="H23" i="21" s="1"/>
  <c r="T21" i="21"/>
  <c r="V21" i="21" s="1"/>
  <c r="Q21" i="21"/>
  <c r="O21" i="21"/>
  <c r="I21" i="21"/>
  <c r="I22" i="21" s="1"/>
  <c r="J20" i="21"/>
  <c r="C20" i="21"/>
  <c r="H20" i="21" s="1"/>
  <c r="J19" i="21"/>
  <c r="D19" i="21"/>
  <c r="G19" i="21" s="1"/>
  <c r="D20" i="21" s="1"/>
  <c r="G20" i="21" s="1"/>
  <c r="T18" i="21"/>
  <c r="V18" i="21" s="1"/>
  <c r="Q18" i="21"/>
  <c r="O18" i="21"/>
  <c r="J17" i="21"/>
  <c r="D17" i="21"/>
  <c r="G17" i="21" s="1"/>
  <c r="D18" i="21" s="1"/>
  <c r="T16" i="21"/>
  <c r="V16" i="21" s="1"/>
  <c r="Q16" i="21"/>
  <c r="O16" i="21"/>
  <c r="J15" i="21"/>
  <c r="I15" i="21"/>
  <c r="I16" i="21" s="1"/>
  <c r="J14" i="21"/>
  <c r="J12" i="21"/>
  <c r="D12" i="21"/>
  <c r="G12" i="21" s="1"/>
  <c r="D13" i="21" s="1"/>
  <c r="G13" i="21" s="1"/>
  <c r="D14" i="21" s="1"/>
  <c r="G14" i="21" s="1"/>
  <c r="D15" i="21" s="1"/>
  <c r="G15" i="21" s="1"/>
  <c r="D16" i="21" s="1"/>
  <c r="T11" i="21"/>
  <c r="V11" i="21" s="1"/>
  <c r="Q11" i="21"/>
  <c r="O11" i="21"/>
  <c r="I10" i="21"/>
  <c r="I11" i="21" s="1"/>
  <c r="I12" i="21" s="1"/>
  <c r="I13" i="21" s="1"/>
  <c r="I14" i="21" s="1"/>
  <c r="J9" i="21"/>
  <c r="D8" i="21"/>
  <c r="G8" i="21" s="1"/>
  <c r="D9" i="21" s="1"/>
  <c r="G9" i="21" s="1"/>
  <c r="D10" i="21" s="1"/>
  <c r="G10" i="21" s="1"/>
  <c r="D11" i="21" s="1"/>
  <c r="T7" i="21"/>
  <c r="V7" i="21" s="1"/>
  <c r="Q7" i="21"/>
  <c r="O7" i="21"/>
  <c r="J6" i="21"/>
  <c r="I6" i="21"/>
  <c r="I7" i="21" s="1"/>
  <c r="I8" i="21" s="1"/>
  <c r="I9" i="21" s="1"/>
  <c r="J5" i="21"/>
  <c r="D5" i="21"/>
  <c r="G5" i="21" s="1"/>
  <c r="D6" i="21" s="1"/>
  <c r="G6" i="21" s="1"/>
  <c r="D7" i="21" s="1"/>
  <c r="T4" i="21"/>
  <c r="V4" i="21" s="1"/>
  <c r="Q4" i="21"/>
  <c r="O4" i="21"/>
  <c r="I4" i="21"/>
  <c r="I5" i="21" s="1"/>
  <c r="D4" i="21"/>
  <c r="Y4" i="21" s="1"/>
  <c r="J3" i="21"/>
  <c r="H3" i="21"/>
  <c r="C4" i="21" s="1"/>
  <c r="J45" i="20"/>
  <c r="D40" i="20"/>
  <c r="D39" i="20"/>
  <c r="J38" i="20"/>
  <c r="D38" i="20"/>
  <c r="D37" i="20"/>
  <c r="D36" i="20"/>
  <c r="J35" i="20"/>
  <c r="D35" i="20"/>
  <c r="D34" i="20"/>
  <c r="D33" i="20"/>
  <c r="J32" i="20"/>
  <c r="D32" i="20"/>
  <c r="D31" i="20"/>
  <c r="J30" i="20"/>
  <c r="D30" i="20"/>
  <c r="D29" i="20"/>
  <c r="J28" i="20"/>
  <c r="D28" i="20"/>
  <c r="D27" i="20"/>
  <c r="D26" i="20"/>
  <c r="J25" i="20"/>
  <c r="D25" i="20"/>
  <c r="T24" i="20"/>
  <c r="V24" i="20" s="1"/>
  <c r="D24" i="20"/>
  <c r="S24" i="20" s="1"/>
  <c r="U24" i="20" s="1"/>
  <c r="AD23" i="20"/>
  <c r="T23" i="20"/>
  <c r="V23" i="20" s="1"/>
  <c r="Q23" i="20"/>
  <c r="O23" i="20"/>
  <c r="D23" i="20"/>
  <c r="P23" i="20" s="1"/>
  <c r="AD22" i="20"/>
  <c r="T22" i="20"/>
  <c r="V22" i="20" s="1"/>
  <c r="Q22" i="20"/>
  <c r="O22" i="20"/>
  <c r="J22" i="20"/>
  <c r="D22" i="20"/>
  <c r="S22" i="20" s="1"/>
  <c r="AD21" i="20"/>
  <c r="T21" i="20"/>
  <c r="V21" i="20" s="1"/>
  <c r="Q21" i="20"/>
  <c r="O21" i="20"/>
  <c r="D21" i="20"/>
  <c r="P21" i="20" s="1"/>
  <c r="J20" i="20"/>
  <c r="D20" i="20"/>
  <c r="D19" i="20"/>
  <c r="AD18" i="20"/>
  <c r="T18" i="20"/>
  <c r="V18" i="20" s="1"/>
  <c r="Q18" i="20"/>
  <c r="O18" i="20"/>
  <c r="J18" i="20"/>
  <c r="D18" i="20"/>
  <c r="P18" i="20" s="1"/>
  <c r="D17" i="20"/>
  <c r="AD16" i="20"/>
  <c r="T16" i="20"/>
  <c r="V16" i="20" s="1"/>
  <c r="S16" i="20"/>
  <c r="Q16" i="20"/>
  <c r="O16" i="20"/>
  <c r="D16" i="20"/>
  <c r="P16" i="20" s="1"/>
  <c r="J15" i="20"/>
  <c r="D15" i="20"/>
  <c r="D14" i="20"/>
  <c r="D13" i="20"/>
  <c r="J12" i="20"/>
  <c r="D12" i="20"/>
  <c r="AD11" i="20"/>
  <c r="T11" i="20"/>
  <c r="V11" i="20" s="1"/>
  <c r="Q11" i="20"/>
  <c r="O11" i="20"/>
  <c r="D11" i="20"/>
  <c r="S11" i="20" s="1"/>
  <c r="D10" i="20"/>
  <c r="J9" i="20"/>
  <c r="D9" i="20"/>
  <c r="D8" i="20"/>
  <c r="AD7" i="20"/>
  <c r="T7" i="20"/>
  <c r="V7" i="20" s="1"/>
  <c r="Q7" i="20"/>
  <c r="P7" i="20"/>
  <c r="O7" i="20"/>
  <c r="D7" i="20"/>
  <c r="S7" i="20" s="1"/>
  <c r="J6" i="20"/>
  <c r="D6" i="20"/>
  <c r="D5" i="20"/>
  <c r="AD4" i="20"/>
  <c r="Y4" i="20"/>
  <c r="T4" i="20"/>
  <c r="V4" i="20" s="1"/>
  <c r="Q4" i="20"/>
  <c r="O4" i="20"/>
  <c r="I4" i="20"/>
  <c r="I5" i="20" s="1"/>
  <c r="I6" i="20" s="1"/>
  <c r="I7" i="20" s="1"/>
  <c r="D4" i="20"/>
  <c r="S4" i="20" s="1"/>
  <c r="J3" i="20"/>
  <c r="H3" i="20"/>
  <c r="C4" i="20" s="1"/>
  <c r="J38" i="19"/>
  <c r="D40" i="19"/>
  <c r="D39" i="19"/>
  <c r="D38" i="19"/>
  <c r="D37" i="19"/>
  <c r="J35" i="19"/>
  <c r="D36" i="19"/>
  <c r="D35" i="19"/>
  <c r="D34" i="19"/>
  <c r="D33" i="19"/>
  <c r="J32" i="19"/>
  <c r="D32" i="19"/>
  <c r="D31" i="19"/>
  <c r="D30" i="19"/>
  <c r="D29" i="19"/>
  <c r="J28" i="19"/>
  <c r="D28" i="19"/>
  <c r="D27" i="19"/>
  <c r="D26" i="19"/>
  <c r="D25" i="19"/>
  <c r="T24" i="19"/>
  <c r="V24" i="19" s="1"/>
  <c r="S24" i="19"/>
  <c r="U24" i="19" s="1"/>
  <c r="D24" i="19"/>
  <c r="AD23" i="19"/>
  <c r="T23" i="19"/>
  <c r="V23" i="19" s="1"/>
  <c r="Q23" i="19"/>
  <c r="P23" i="19"/>
  <c r="O23" i="19"/>
  <c r="D23" i="19"/>
  <c r="S23" i="19" s="1"/>
  <c r="AD22" i="19"/>
  <c r="T22" i="19"/>
  <c r="V22" i="19" s="1"/>
  <c r="Q22" i="19"/>
  <c r="O22" i="19"/>
  <c r="J22" i="19"/>
  <c r="D22" i="19"/>
  <c r="Y22" i="19" s="1"/>
  <c r="AD21" i="19"/>
  <c r="T21" i="19"/>
  <c r="V21" i="19" s="1"/>
  <c r="Q21" i="19"/>
  <c r="O21" i="19"/>
  <c r="D21" i="19"/>
  <c r="S21" i="19" s="1"/>
  <c r="J20" i="19"/>
  <c r="D20" i="19"/>
  <c r="D19" i="19"/>
  <c r="AD18" i="19"/>
  <c r="T18" i="19"/>
  <c r="V18" i="19" s="1"/>
  <c r="Q18" i="19"/>
  <c r="O18" i="19"/>
  <c r="J18" i="19"/>
  <c r="D18" i="19"/>
  <c r="S18" i="19" s="1"/>
  <c r="D17" i="19"/>
  <c r="AD16" i="19"/>
  <c r="T16" i="19"/>
  <c r="V16" i="19" s="1"/>
  <c r="Q16" i="19"/>
  <c r="O16" i="19"/>
  <c r="D16" i="19"/>
  <c r="S16" i="19" s="1"/>
  <c r="J15" i="19"/>
  <c r="D15" i="19"/>
  <c r="D14" i="19"/>
  <c r="D13" i="19"/>
  <c r="J12" i="19"/>
  <c r="D12" i="19"/>
  <c r="AD11" i="19"/>
  <c r="T11" i="19"/>
  <c r="V11" i="19" s="1"/>
  <c r="Q11" i="19"/>
  <c r="O11" i="19"/>
  <c r="D11" i="19"/>
  <c r="S11" i="19" s="1"/>
  <c r="D10" i="19"/>
  <c r="J9" i="19"/>
  <c r="D9" i="19"/>
  <c r="D8" i="19"/>
  <c r="AD7" i="19"/>
  <c r="T7" i="19"/>
  <c r="V7" i="19" s="1"/>
  <c r="Q7" i="19"/>
  <c r="O7" i="19"/>
  <c r="D7" i="19"/>
  <c r="Y7" i="19" s="1"/>
  <c r="J6" i="19"/>
  <c r="D6" i="19"/>
  <c r="D5" i="19"/>
  <c r="AD4" i="19"/>
  <c r="T4" i="19"/>
  <c r="V4" i="19" s="1"/>
  <c r="Q4" i="19"/>
  <c r="O4" i="19"/>
  <c r="I4" i="19"/>
  <c r="I5" i="19" s="1"/>
  <c r="I6" i="19" s="1"/>
  <c r="I7" i="19" s="1"/>
  <c r="D4" i="19"/>
  <c r="P4" i="19" s="1"/>
  <c r="C4" i="19"/>
  <c r="J3" i="19"/>
  <c r="H3" i="19"/>
  <c r="J27" i="18"/>
  <c r="T23" i="18"/>
  <c r="V23" i="18" s="1"/>
  <c r="Q23" i="18"/>
  <c r="O23" i="18"/>
  <c r="D23" i="18"/>
  <c r="S23" i="18" s="1"/>
  <c r="T22" i="18"/>
  <c r="V22" i="18" s="1"/>
  <c r="S22" i="18"/>
  <c r="U22" i="18" s="1"/>
  <c r="Q22" i="18"/>
  <c r="O22" i="18"/>
  <c r="D22" i="18"/>
  <c r="P22" i="18" s="1"/>
  <c r="C22" i="18"/>
  <c r="H22" i="18" s="1"/>
  <c r="C23" i="18" s="1"/>
  <c r="H23" i="18" s="1"/>
  <c r="T21" i="18"/>
  <c r="V21" i="18" s="1"/>
  <c r="Q21" i="18"/>
  <c r="O21" i="18"/>
  <c r="I21" i="18"/>
  <c r="I22" i="18" s="1"/>
  <c r="J20" i="18"/>
  <c r="C20" i="18"/>
  <c r="H20" i="18" s="1"/>
  <c r="J19" i="18"/>
  <c r="D19" i="18"/>
  <c r="G19" i="18" s="1"/>
  <c r="D20" i="18" s="1"/>
  <c r="G20" i="18" s="1"/>
  <c r="T18" i="18"/>
  <c r="V18" i="18" s="1"/>
  <c r="Q18" i="18"/>
  <c r="O18" i="18"/>
  <c r="J17" i="18"/>
  <c r="D17" i="18"/>
  <c r="G17" i="18" s="1"/>
  <c r="D18" i="18" s="1"/>
  <c r="T16" i="18"/>
  <c r="V16" i="18" s="1"/>
  <c r="Q16" i="18"/>
  <c r="O16" i="18"/>
  <c r="I16" i="18"/>
  <c r="I17" i="18" s="1"/>
  <c r="I18" i="18" s="1"/>
  <c r="J15" i="18"/>
  <c r="I15" i="18"/>
  <c r="J14" i="18"/>
  <c r="J12" i="18"/>
  <c r="D12" i="18"/>
  <c r="G12" i="18" s="1"/>
  <c r="D13" i="18" s="1"/>
  <c r="G13" i="18" s="1"/>
  <c r="D14" i="18" s="1"/>
  <c r="G14" i="18" s="1"/>
  <c r="D15" i="18" s="1"/>
  <c r="G15" i="18" s="1"/>
  <c r="D16" i="18" s="1"/>
  <c r="T11" i="18"/>
  <c r="V11" i="18" s="1"/>
  <c r="Q11" i="18"/>
  <c r="O11" i="18"/>
  <c r="I10" i="18"/>
  <c r="I11" i="18" s="1"/>
  <c r="J9" i="18"/>
  <c r="D8" i="18"/>
  <c r="G8" i="18" s="1"/>
  <c r="D9" i="18" s="1"/>
  <c r="G9" i="18" s="1"/>
  <c r="D10" i="18" s="1"/>
  <c r="G10" i="18" s="1"/>
  <c r="D11" i="18" s="1"/>
  <c r="T7" i="18"/>
  <c r="V7" i="18" s="1"/>
  <c r="Q7" i="18"/>
  <c r="O7" i="18"/>
  <c r="I7" i="18"/>
  <c r="I8" i="18" s="1"/>
  <c r="I9" i="18" s="1"/>
  <c r="J6" i="18"/>
  <c r="I6" i="18"/>
  <c r="J5" i="18"/>
  <c r="D5" i="18"/>
  <c r="G5" i="18" s="1"/>
  <c r="D6" i="18" s="1"/>
  <c r="G6" i="18" s="1"/>
  <c r="D7" i="18" s="1"/>
  <c r="T4" i="18"/>
  <c r="V4" i="18" s="1"/>
  <c r="Q4" i="18"/>
  <c r="O4" i="18"/>
  <c r="I4" i="18"/>
  <c r="I5" i="18" s="1"/>
  <c r="D4" i="18"/>
  <c r="J3" i="18"/>
  <c r="H3" i="18"/>
  <c r="C4" i="18" s="1"/>
  <c r="J27" i="17"/>
  <c r="D21" i="21" l="1"/>
  <c r="Z4" i="20"/>
  <c r="AF4" i="20" s="1"/>
  <c r="U4" i="20"/>
  <c r="U23" i="18"/>
  <c r="Z22" i="21"/>
  <c r="U22" i="21"/>
  <c r="P22" i="20"/>
  <c r="AD26" i="20"/>
  <c r="P22" i="19"/>
  <c r="P4" i="20"/>
  <c r="Y16" i="20"/>
  <c r="Y18" i="20"/>
  <c r="P23" i="18"/>
  <c r="Y23" i="19"/>
  <c r="Y22" i="20"/>
  <c r="P4" i="21"/>
  <c r="P22" i="21"/>
  <c r="Y4" i="19"/>
  <c r="Y16" i="19"/>
  <c r="Y18" i="19"/>
  <c r="Y7" i="20"/>
  <c r="AD26" i="19"/>
  <c r="Y21" i="19"/>
  <c r="P21" i="21"/>
  <c r="Y21" i="21"/>
  <c r="S21" i="21"/>
  <c r="S18" i="21"/>
  <c r="Y18" i="21"/>
  <c r="P18" i="21"/>
  <c r="Z23" i="21"/>
  <c r="U23" i="21"/>
  <c r="I17" i="21"/>
  <c r="I18" i="21" s="1"/>
  <c r="H4" i="21"/>
  <c r="J4" i="21" s="1"/>
  <c r="Y7" i="21"/>
  <c r="P7" i="21"/>
  <c r="S7" i="21"/>
  <c r="S11" i="21"/>
  <c r="Y11" i="21"/>
  <c r="P11" i="21"/>
  <c r="J22" i="21"/>
  <c r="I23" i="21"/>
  <c r="J23" i="21" s="1"/>
  <c r="P16" i="21"/>
  <c r="S16" i="21"/>
  <c r="Y16" i="21"/>
  <c r="AD22" i="21"/>
  <c r="S4" i="21"/>
  <c r="J21" i="21"/>
  <c r="Y23" i="21"/>
  <c r="P23" i="21"/>
  <c r="U11" i="20"/>
  <c r="I8" i="20"/>
  <c r="I9" i="20" s="1"/>
  <c r="I10" i="20" s="1"/>
  <c r="H4" i="20"/>
  <c r="U7" i="20"/>
  <c r="Z7" i="20"/>
  <c r="AF7" i="20" s="1"/>
  <c r="U22" i="20"/>
  <c r="Z22" i="20"/>
  <c r="S21" i="20"/>
  <c r="S23" i="20"/>
  <c r="U16" i="20"/>
  <c r="S18" i="20"/>
  <c r="P11" i="20"/>
  <c r="Y11" i="20"/>
  <c r="Y21" i="20"/>
  <c r="Y23" i="20"/>
  <c r="P21" i="19"/>
  <c r="P18" i="19"/>
  <c r="I8" i="19"/>
  <c r="I9" i="19" s="1"/>
  <c r="I10" i="19" s="1"/>
  <c r="U16" i="19"/>
  <c r="Z23" i="19"/>
  <c r="U23" i="19"/>
  <c r="U11" i="19"/>
  <c r="Z21" i="19"/>
  <c r="U21" i="19"/>
  <c r="S7" i="19"/>
  <c r="H4" i="19"/>
  <c r="W4" i="19" s="1"/>
  <c r="S4" i="19"/>
  <c r="P11" i="19"/>
  <c r="U18" i="19"/>
  <c r="Y11" i="19"/>
  <c r="P16" i="19"/>
  <c r="S22" i="19"/>
  <c r="P7" i="19"/>
  <c r="S11" i="18"/>
  <c r="P11" i="18"/>
  <c r="P16" i="18"/>
  <c r="S16" i="18"/>
  <c r="I12" i="18"/>
  <c r="I13" i="18" s="1"/>
  <c r="I14" i="18" s="1"/>
  <c r="S18" i="18"/>
  <c r="P18" i="18"/>
  <c r="I19" i="18"/>
  <c r="I20" i="18" s="1"/>
  <c r="I23" i="18"/>
  <c r="J23" i="18" s="1"/>
  <c r="J22" i="18"/>
  <c r="P7" i="18"/>
  <c r="S7" i="18"/>
  <c r="H4" i="18"/>
  <c r="J4" i="18" s="1"/>
  <c r="D21" i="18"/>
  <c r="S4" i="18"/>
  <c r="P4" i="18"/>
  <c r="W4" i="21" l="1"/>
  <c r="Z11" i="21"/>
  <c r="AD11" i="21" s="1"/>
  <c r="U11" i="21"/>
  <c r="U16" i="21"/>
  <c r="Z16" i="21"/>
  <c r="AD16" i="21" s="1"/>
  <c r="AD23" i="21"/>
  <c r="R4" i="21"/>
  <c r="R23" i="21"/>
  <c r="AC23" i="21" s="1"/>
  <c r="C5" i="21"/>
  <c r="H5" i="21" s="1"/>
  <c r="C6" i="21" s="1"/>
  <c r="H6" i="21" s="1"/>
  <c r="C7" i="21" s="1"/>
  <c r="X4" i="21"/>
  <c r="U18" i="21"/>
  <c r="Z18" i="21"/>
  <c r="AD18" i="21" s="1"/>
  <c r="R21" i="21"/>
  <c r="AC21" i="21" s="1"/>
  <c r="U7" i="21"/>
  <c r="Z7" i="21"/>
  <c r="AD7" i="21" s="1"/>
  <c r="U4" i="21"/>
  <c r="Z4" i="21"/>
  <c r="AD4" i="21" s="1"/>
  <c r="R22" i="21"/>
  <c r="AC22" i="21" s="1"/>
  <c r="Z21" i="21"/>
  <c r="U21" i="21"/>
  <c r="I19" i="21"/>
  <c r="I20" i="21" s="1"/>
  <c r="Z21" i="20"/>
  <c r="U21" i="20"/>
  <c r="C5" i="20"/>
  <c r="H5" i="20" s="1"/>
  <c r="J4" i="20"/>
  <c r="X4" i="20"/>
  <c r="AF22" i="20"/>
  <c r="I11" i="20"/>
  <c r="U18" i="20"/>
  <c r="Z23" i="20"/>
  <c r="U23" i="20"/>
  <c r="W4" i="20"/>
  <c r="Z7" i="19"/>
  <c r="AF7" i="19" s="1"/>
  <c r="U7" i="19"/>
  <c r="AF21" i="19"/>
  <c r="U4" i="19"/>
  <c r="Z4" i="19"/>
  <c r="AF4" i="19" s="1"/>
  <c r="AF23" i="19"/>
  <c r="U22" i="19"/>
  <c r="Z22" i="19"/>
  <c r="X4" i="19"/>
  <c r="C5" i="19"/>
  <c r="H5" i="19" s="1"/>
  <c r="J4" i="19"/>
  <c r="I11" i="19"/>
  <c r="R4" i="18"/>
  <c r="R22" i="18"/>
  <c r="R23" i="18"/>
  <c r="U11" i="18"/>
  <c r="U4" i="18"/>
  <c r="P21" i="18"/>
  <c r="S21" i="18"/>
  <c r="U16" i="18"/>
  <c r="C5" i="18"/>
  <c r="H5" i="18" s="1"/>
  <c r="C6" i="18" s="1"/>
  <c r="H6" i="18" s="1"/>
  <c r="C7" i="18" s="1"/>
  <c r="J21" i="18"/>
  <c r="U7" i="18"/>
  <c r="U18" i="18"/>
  <c r="AC4" i="21" l="1"/>
  <c r="H7" i="21"/>
  <c r="AD21" i="21"/>
  <c r="AF23" i="20"/>
  <c r="C6" i="20"/>
  <c r="H6" i="20" s="1"/>
  <c r="C7" i="20" s="1"/>
  <c r="J5" i="20"/>
  <c r="R4" i="20"/>
  <c r="I12" i="20"/>
  <c r="I13" i="20" s="1"/>
  <c r="Z11" i="20"/>
  <c r="AF11" i="20" s="1"/>
  <c r="AF21" i="20"/>
  <c r="I12" i="19"/>
  <c r="I13" i="19" s="1"/>
  <c r="Z11" i="19"/>
  <c r="AF11" i="19" s="1"/>
  <c r="R4" i="19"/>
  <c r="C6" i="19"/>
  <c r="H6" i="19" s="1"/>
  <c r="C7" i="19" s="1"/>
  <c r="J5" i="19"/>
  <c r="AF22" i="19"/>
  <c r="U21" i="18"/>
  <c r="R21" i="18"/>
  <c r="H7" i="18"/>
  <c r="X7" i="21" l="1"/>
  <c r="C8" i="21"/>
  <c r="H8" i="21" s="1"/>
  <c r="J7" i="21"/>
  <c r="W7" i="21"/>
  <c r="AE4" i="20"/>
  <c r="I14" i="20"/>
  <c r="I15" i="20" s="1"/>
  <c r="I16" i="20" s="1"/>
  <c r="H7" i="20"/>
  <c r="W7" i="20" s="1"/>
  <c r="AE4" i="19"/>
  <c r="H7" i="19"/>
  <c r="W7" i="19"/>
  <c r="I14" i="19"/>
  <c r="I15" i="19" s="1"/>
  <c r="I16" i="19" s="1"/>
  <c r="C8" i="18"/>
  <c r="H8" i="18" s="1"/>
  <c r="J7" i="18"/>
  <c r="R7" i="21" l="1"/>
  <c r="C9" i="21"/>
  <c r="H9" i="21" s="1"/>
  <c r="C10" i="21" s="1"/>
  <c r="H10" i="21" s="1"/>
  <c r="C11" i="21" s="1"/>
  <c r="J8" i="21"/>
  <c r="C8" i="20"/>
  <c r="H8" i="20" s="1"/>
  <c r="X7" i="20"/>
  <c r="J7" i="20"/>
  <c r="I17" i="20"/>
  <c r="Z16" i="20"/>
  <c r="AF16" i="20" s="1"/>
  <c r="I17" i="19"/>
  <c r="I18" i="19" s="1"/>
  <c r="Z16" i="19"/>
  <c r="AF16" i="19" s="1"/>
  <c r="X7" i="19"/>
  <c r="C8" i="19"/>
  <c r="H8" i="19" s="1"/>
  <c r="J7" i="19"/>
  <c r="R7" i="18"/>
  <c r="J8" i="18"/>
  <c r="C9" i="18"/>
  <c r="H9" i="18" s="1"/>
  <c r="C10" i="18" s="1"/>
  <c r="H10" i="18" s="1"/>
  <c r="C11" i="18" s="1"/>
  <c r="H11" i="21" l="1"/>
  <c r="AC7" i="21"/>
  <c r="I18" i="20"/>
  <c r="R7" i="20"/>
  <c r="C9" i="20"/>
  <c r="H9" i="20" s="1"/>
  <c r="C10" i="20" s="1"/>
  <c r="H10" i="20" s="1"/>
  <c r="J8" i="20"/>
  <c r="C9" i="19"/>
  <c r="H9" i="19" s="1"/>
  <c r="C10" i="19" s="1"/>
  <c r="H10" i="19" s="1"/>
  <c r="J8" i="19"/>
  <c r="I19" i="19"/>
  <c r="Z18" i="19"/>
  <c r="AF18" i="19" s="1"/>
  <c r="R18" i="19"/>
  <c r="R7" i="19"/>
  <c r="H11" i="18"/>
  <c r="D23" i="17"/>
  <c r="P23" i="17" s="1"/>
  <c r="D5" i="17"/>
  <c r="G5" i="17" s="1"/>
  <c r="D6" i="17" s="1"/>
  <c r="G6" i="17" s="1"/>
  <c r="D7" i="17" s="1"/>
  <c r="D22" i="17"/>
  <c r="P22" i="17" s="1"/>
  <c r="T23" i="17"/>
  <c r="V23" i="17" s="1"/>
  <c r="Q23" i="17"/>
  <c r="O23" i="17"/>
  <c r="Q22" i="17"/>
  <c r="C22" i="17"/>
  <c r="H22" i="17" s="1"/>
  <c r="C23" i="17" s="1"/>
  <c r="H23" i="17" s="1"/>
  <c r="T21" i="17"/>
  <c r="V21" i="17" s="1"/>
  <c r="Q21" i="17"/>
  <c r="O21" i="17"/>
  <c r="I21" i="17"/>
  <c r="I22" i="17" s="1"/>
  <c r="J20" i="17"/>
  <c r="C20" i="17"/>
  <c r="H20" i="17" s="1"/>
  <c r="J19" i="17"/>
  <c r="Q18" i="17"/>
  <c r="J17" i="17"/>
  <c r="Q16" i="17"/>
  <c r="J15" i="17"/>
  <c r="I15" i="17"/>
  <c r="I16" i="17" s="1"/>
  <c r="I17" i="17" s="1"/>
  <c r="I18" i="17" s="1"/>
  <c r="J14" i="17"/>
  <c r="J12" i="17"/>
  <c r="Q11" i="17"/>
  <c r="I10" i="17"/>
  <c r="I11" i="17" s="1"/>
  <c r="I12" i="17" s="1"/>
  <c r="I13" i="17" s="1"/>
  <c r="I14" i="17" s="1"/>
  <c r="J9" i="17"/>
  <c r="Q7" i="17"/>
  <c r="J6" i="17"/>
  <c r="I6" i="17"/>
  <c r="I7" i="17" s="1"/>
  <c r="J5" i="17"/>
  <c r="T4" i="17"/>
  <c r="V4" i="17" s="1"/>
  <c r="S4" i="17"/>
  <c r="Q4" i="17"/>
  <c r="O4" i="17"/>
  <c r="I4" i="17"/>
  <c r="D4" i="17"/>
  <c r="AB4" i="17" s="1"/>
  <c r="J3" i="17"/>
  <c r="H3" i="17"/>
  <c r="C4" i="17" s="1"/>
  <c r="Y23" i="16"/>
  <c r="T23" i="16"/>
  <c r="V23" i="16" s="1"/>
  <c r="Q23" i="16"/>
  <c r="O23" i="16"/>
  <c r="D23" i="16"/>
  <c r="P23" i="16" s="1"/>
  <c r="Y22" i="16"/>
  <c r="V22" i="16"/>
  <c r="T22" i="16"/>
  <c r="Q22" i="16"/>
  <c r="P22" i="16"/>
  <c r="O22" i="16"/>
  <c r="I22" i="16"/>
  <c r="H22" i="16"/>
  <c r="C23" i="16" s="1"/>
  <c r="H23" i="16" s="1"/>
  <c r="D22" i="16"/>
  <c r="S22" i="16" s="1"/>
  <c r="U22" i="16" s="1"/>
  <c r="C22" i="16"/>
  <c r="T21" i="16"/>
  <c r="V21" i="16" s="1"/>
  <c r="Q21" i="16"/>
  <c r="O21" i="16"/>
  <c r="I21" i="16"/>
  <c r="J20" i="16"/>
  <c r="D20" i="16"/>
  <c r="C20" i="16"/>
  <c r="H20" i="16" s="1"/>
  <c r="D21" i="16" s="1"/>
  <c r="J19" i="16"/>
  <c r="D19" i="16"/>
  <c r="Y18" i="16"/>
  <c r="T18" i="16"/>
  <c r="V18" i="16" s="1"/>
  <c r="Q18" i="16"/>
  <c r="O18" i="16"/>
  <c r="D18" i="16"/>
  <c r="S18" i="16" s="1"/>
  <c r="J17" i="16"/>
  <c r="D17" i="16"/>
  <c r="V16" i="16"/>
  <c r="T16" i="16"/>
  <c r="Q16" i="16"/>
  <c r="O16" i="16"/>
  <c r="D16" i="16"/>
  <c r="S16" i="16" s="1"/>
  <c r="J15" i="16"/>
  <c r="I15" i="16"/>
  <c r="I16" i="16" s="1"/>
  <c r="D15" i="16"/>
  <c r="J14" i="16"/>
  <c r="D14" i="16"/>
  <c r="D13" i="16"/>
  <c r="J12" i="16"/>
  <c r="D12" i="16"/>
  <c r="T11" i="16"/>
  <c r="V11" i="16" s="1"/>
  <c r="Q11" i="16"/>
  <c r="O11" i="16"/>
  <c r="D11" i="16"/>
  <c r="S11" i="16" s="1"/>
  <c r="D10" i="16"/>
  <c r="J9" i="16"/>
  <c r="D9" i="16"/>
  <c r="D8" i="16"/>
  <c r="T7" i="16"/>
  <c r="V7" i="16" s="1"/>
  <c r="Q7" i="16"/>
  <c r="O7" i="16"/>
  <c r="D7" i="16"/>
  <c r="S7" i="16" s="1"/>
  <c r="J6" i="16"/>
  <c r="I6" i="16"/>
  <c r="I7" i="16" s="1"/>
  <c r="D6" i="16"/>
  <c r="J5" i="16"/>
  <c r="I5" i="16"/>
  <c r="D5" i="16"/>
  <c r="T4" i="16"/>
  <c r="V4" i="16" s="1"/>
  <c r="Q4" i="16"/>
  <c r="O4" i="16"/>
  <c r="I4" i="16"/>
  <c r="D4" i="16"/>
  <c r="S4" i="16" s="1"/>
  <c r="J3" i="16"/>
  <c r="H3" i="16"/>
  <c r="C4" i="16" s="1"/>
  <c r="P7" i="16" l="1"/>
  <c r="J22" i="16"/>
  <c r="Y7" i="16"/>
  <c r="I23" i="16"/>
  <c r="J23" i="16" s="1"/>
  <c r="R23" i="16" s="1"/>
  <c r="AC23" i="16" s="1"/>
  <c r="S23" i="16"/>
  <c r="Z23" i="16" s="1"/>
  <c r="P4" i="17"/>
  <c r="X11" i="21"/>
  <c r="C12" i="21"/>
  <c r="H12" i="21" s="1"/>
  <c r="C13" i="21" s="1"/>
  <c r="H13" i="21" s="1"/>
  <c r="J11" i="21"/>
  <c r="W11" i="21"/>
  <c r="AE7" i="20"/>
  <c r="J10" i="20"/>
  <c r="I19" i="20"/>
  <c r="R18" i="20"/>
  <c r="Z18" i="20"/>
  <c r="AF18" i="20" s="1"/>
  <c r="AE7" i="19"/>
  <c r="I20" i="19"/>
  <c r="I21" i="19" s="1"/>
  <c r="I22" i="19" s="1"/>
  <c r="C11" i="19"/>
  <c r="J10" i="19"/>
  <c r="C12" i="18"/>
  <c r="H12" i="18" s="1"/>
  <c r="C13" i="18" s="1"/>
  <c r="H13" i="18" s="1"/>
  <c r="J11" i="18"/>
  <c r="T7" i="17"/>
  <c r="V7" i="17" s="1"/>
  <c r="AC4" i="17"/>
  <c r="AG4" i="17" s="1"/>
  <c r="T22" i="17"/>
  <c r="V22" i="17" s="1"/>
  <c r="AB22" i="17"/>
  <c r="O22" i="17"/>
  <c r="P7" i="17"/>
  <c r="U4" i="17"/>
  <c r="S7" i="17"/>
  <c r="U7" i="17" s="1"/>
  <c r="S22" i="17"/>
  <c r="U22" i="17" s="1"/>
  <c r="I19" i="17"/>
  <c r="I20" i="17" s="1"/>
  <c r="H4" i="17"/>
  <c r="I23" i="17"/>
  <c r="J23" i="17" s="1"/>
  <c r="J22" i="17"/>
  <c r="I8" i="17"/>
  <c r="I9" i="17" s="1"/>
  <c r="I5" i="17"/>
  <c r="S23" i="17"/>
  <c r="AB23" i="17"/>
  <c r="Z4" i="16"/>
  <c r="AD4" i="16" s="1"/>
  <c r="U4" i="16"/>
  <c r="I8" i="16"/>
  <c r="I9" i="16" s="1"/>
  <c r="I10" i="16" s="1"/>
  <c r="I11" i="16" s="1"/>
  <c r="I17" i="16"/>
  <c r="I18" i="16" s="1"/>
  <c r="AD23" i="16"/>
  <c r="R22" i="16"/>
  <c r="AC22" i="16" s="1"/>
  <c r="I12" i="16"/>
  <c r="I13" i="16" s="1"/>
  <c r="I14" i="16" s="1"/>
  <c r="Z11" i="16"/>
  <c r="AD11" i="16" s="1"/>
  <c r="U11" i="16"/>
  <c r="P21" i="16"/>
  <c r="Y21" i="16"/>
  <c r="J21" i="16"/>
  <c r="S21" i="16"/>
  <c r="U18" i="16"/>
  <c r="H4" i="16"/>
  <c r="W4" i="16" s="1"/>
  <c r="U7" i="16"/>
  <c r="Z7" i="16"/>
  <c r="AD7" i="16" s="1"/>
  <c r="Z16" i="16"/>
  <c r="AD16" i="16" s="1"/>
  <c r="U16" i="16"/>
  <c r="P4" i="16"/>
  <c r="Z22" i="16"/>
  <c r="U23" i="16"/>
  <c r="P11" i="16"/>
  <c r="P16" i="16"/>
  <c r="Y4" i="16"/>
  <c r="Y11" i="16"/>
  <c r="Y16" i="16"/>
  <c r="P18" i="16"/>
  <c r="R11" i="21" l="1"/>
  <c r="C14" i="21"/>
  <c r="H14" i="21" s="1"/>
  <c r="C15" i="21" s="1"/>
  <c r="H15" i="21" s="1"/>
  <c r="C16" i="21" s="1"/>
  <c r="J13" i="21"/>
  <c r="I20" i="20"/>
  <c r="I21" i="20" s="1"/>
  <c r="I22" i="20" s="1"/>
  <c r="H11" i="20"/>
  <c r="W11" i="20" s="1"/>
  <c r="H11" i="19"/>
  <c r="W11" i="19"/>
  <c r="I23" i="19"/>
  <c r="R22" i="19"/>
  <c r="AE22" i="19" s="1"/>
  <c r="R11" i="18"/>
  <c r="C14" i="18"/>
  <c r="H14" i="18" s="1"/>
  <c r="C15" i="18" s="1"/>
  <c r="H15" i="18" s="1"/>
  <c r="C16" i="18" s="1"/>
  <c r="J13" i="18"/>
  <c r="O7" i="17"/>
  <c r="D8" i="17"/>
  <c r="G8" i="17" s="1"/>
  <c r="D9" i="17" s="1"/>
  <c r="G9" i="17" s="1"/>
  <c r="D10" i="17" s="1"/>
  <c r="G10" i="17" s="1"/>
  <c r="D11" i="17" s="1"/>
  <c r="AB7" i="17"/>
  <c r="AC22" i="17"/>
  <c r="AC7" i="17"/>
  <c r="AG7" i="17" s="1"/>
  <c r="AC23" i="17"/>
  <c r="U23" i="17"/>
  <c r="R23" i="17"/>
  <c r="AF23" i="17" s="1"/>
  <c r="AG22" i="17"/>
  <c r="R22" i="17"/>
  <c r="AF22" i="17" s="1"/>
  <c r="C5" i="17"/>
  <c r="H5" i="17" s="1"/>
  <c r="C6" i="17" s="1"/>
  <c r="H6" i="17" s="1"/>
  <c r="C7" i="17" s="1"/>
  <c r="AA4" i="17"/>
  <c r="J4" i="17"/>
  <c r="I19" i="16"/>
  <c r="I20" i="16" s="1"/>
  <c r="X4" i="16"/>
  <c r="C5" i="16"/>
  <c r="H5" i="16" s="1"/>
  <c r="C6" i="16" s="1"/>
  <c r="H6" i="16" s="1"/>
  <c r="C7" i="16" s="1"/>
  <c r="J4" i="16"/>
  <c r="AD22" i="16"/>
  <c r="Z18" i="16"/>
  <c r="AD18" i="16" s="1"/>
  <c r="Z21" i="16"/>
  <c r="U21" i="16"/>
  <c r="R21" i="16"/>
  <c r="AC21" i="16" s="1"/>
  <c r="H16" i="21" l="1"/>
  <c r="AC11" i="21"/>
  <c r="R22" i="20"/>
  <c r="AE22" i="20" s="1"/>
  <c r="I23" i="20"/>
  <c r="X11" i="20"/>
  <c r="C12" i="20"/>
  <c r="H12" i="20" s="1"/>
  <c r="C13" i="20" s="1"/>
  <c r="H13" i="20" s="1"/>
  <c r="J11" i="20"/>
  <c r="J11" i="19"/>
  <c r="X11" i="19"/>
  <c r="C12" i="19"/>
  <c r="H12" i="19" s="1"/>
  <c r="C13" i="19" s="1"/>
  <c r="H13" i="19" s="1"/>
  <c r="I24" i="19"/>
  <c r="H16" i="18"/>
  <c r="S11" i="17"/>
  <c r="R4" i="17"/>
  <c r="H7" i="17"/>
  <c r="AG23" i="17"/>
  <c r="H7" i="16"/>
  <c r="W7" i="16" s="1"/>
  <c r="R4" i="16"/>
  <c r="AD21" i="16"/>
  <c r="X16" i="21" l="1"/>
  <c r="C17" i="21"/>
  <c r="H17" i="21" s="1"/>
  <c r="C18" i="21" s="1"/>
  <c r="J16" i="21"/>
  <c r="W16" i="21"/>
  <c r="C14" i="20"/>
  <c r="H14" i="20" s="1"/>
  <c r="J13" i="20"/>
  <c r="I24" i="20"/>
  <c r="R11" i="20"/>
  <c r="R11" i="19"/>
  <c r="I25" i="19"/>
  <c r="C14" i="19"/>
  <c r="H14" i="19" s="1"/>
  <c r="J13" i="19"/>
  <c r="C17" i="18"/>
  <c r="H17" i="18" s="1"/>
  <c r="C18" i="18" s="1"/>
  <c r="J16" i="18"/>
  <c r="T11" i="17"/>
  <c r="V11" i="17" s="1"/>
  <c r="O11" i="17"/>
  <c r="D12" i="17"/>
  <c r="G12" i="17" s="1"/>
  <c r="D13" i="17" s="1"/>
  <c r="G13" i="17" s="1"/>
  <c r="D14" i="17" s="1"/>
  <c r="G14" i="17" s="1"/>
  <c r="D15" i="17" s="1"/>
  <c r="G15" i="17" s="1"/>
  <c r="D16" i="17" s="1"/>
  <c r="AB11" i="17"/>
  <c r="P11" i="17"/>
  <c r="U11" i="17"/>
  <c r="AC11" i="17"/>
  <c r="AG11" i="17" s="1"/>
  <c r="C8" i="17"/>
  <c r="H8" i="17" s="1"/>
  <c r="AA7" i="17"/>
  <c r="J7" i="17"/>
  <c r="AF4" i="17"/>
  <c r="AC4" i="16"/>
  <c r="C8" i="16"/>
  <c r="H8" i="16" s="1"/>
  <c r="X7" i="16"/>
  <c r="J7" i="16"/>
  <c r="D26" i="15"/>
  <c r="D25" i="15"/>
  <c r="J24" i="15"/>
  <c r="D24" i="15"/>
  <c r="D23" i="15"/>
  <c r="J22" i="15"/>
  <c r="D22" i="15"/>
  <c r="D21" i="15"/>
  <c r="J20" i="15"/>
  <c r="D20" i="15"/>
  <c r="D19" i="15"/>
  <c r="J18" i="15"/>
  <c r="D18" i="15"/>
  <c r="D17" i="15"/>
  <c r="D16" i="15"/>
  <c r="J15" i="15"/>
  <c r="D15" i="15"/>
  <c r="D14" i="15"/>
  <c r="D13" i="15"/>
  <c r="J12" i="15"/>
  <c r="D12" i="15"/>
  <c r="D11" i="15"/>
  <c r="D10" i="15"/>
  <c r="J9" i="15"/>
  <c r="D9" i="15"/>
  <c r="D8" i="15"/>
  <c r="D7" i="15"/>
  <c r="J6" i="15"/>
  <c r="D6" i="15"/>
  <c r="D5" i="15"/>
  <c r="I4" i="15"/>
  <c r="I5" i="15" s="1"/>
  <c r="I6" i="15" s="1"/>
  <c r="I7" i="15" s="1"/>
  <c r="D4" i="15"/>
  <c r="J3" i="15"/>
  <c r="H3" i="15"/>
  <c r="C4" i="15" s="1"/>
  <c r="H4" i="15" s="1"/>
  <c r="C5" i="15" s="1"/>
  <c r="H5" i="15" s="1"/>
  <c r="B44" i="15"/>
  <c r="B43" i="15"/>
  <c r="B42" i="15"/>
  <c r="D27" i="14"/>
  <c r="D28" i="14"/>
  <c r="D29" i="14"/>
  <c r="D30" i="14"/>
  <c r="D31" i="14"/>
  <c r="D32" i="14"/>
  <c r="D26" i="14"/>
  <c r="D25" i="14"/>
  <c r="T24" i="14"/>
  <c r="V24" i="14" s="1"/>
  <c r="D24" i="14"/>
  <c r="S24" i="14" s="1"/>
  <c r="U24" i="14" s="1"/>
  <c r="AD23" i="14"/>
  <c r="T23" i="14"/>
  <c r="V23" i="14" s="1"/>
  <c r="Q23" i="14"/>
  <c r="O23" i="14"/>
  <c r="D23" i="14"/>
  <c r="S23" i="14" s="1"/>
  <c r="U23" i="14" s="1"/>
  <c r="AD22" i="14"/>
  <c r="T22" i="14"/>
  <c r="V22" i="14" s="1"/>
  <c r="Q22" i="14"/>
  <c r="O22" i="14"/>
  <c r="D22" i="14"/>
  <c r="S22" i="14" s="1"/>
  <c r="AD21" i="14"/>
  <c r="T21" i="14"/>
  <c r="V21" i="14" s="1"/>
  <c r="Q21" i="14"/>
  <c r="O21" i="14"/>
  <c r="D21" i="14"/>
  <c r="S21" i="14" s="1"/>
  <c r="U21" i="14" s="1"/>
  <c r="D20" i="14"/>
  <c r="D19" i="14"/>
  <c r="AD18" i="14"/>
  <c r="T18" i="14"/>
  <c r="V18" i="14" s="1"/>
  <c r="Q18" i="14"/>
  <c r="O18" i="14"/>
  <c r="J18" i="14"/>
  <c r="D18" i="14"/>
  <c r="S18" i="14" s="1"/>
  <c r="U18" i="14" s="1"/>
  <c r="D17" i="14"/>
  <c r="AD16" i="14"/>
  <c r="T16" i="14"/>
  <c r="V16" i="14" s="1"/>
  <c r="Q16" i="14"/>
  <c r="O16" i="14"/>
  <c r="D16" i="14"/>
  <c r="S16" i="14" s="1"/>
  <c r="U16" i="14" s="1"/>
  <c r="D15" i="14"/>
  <c r="D14" i="14"/>
  <c r="D13" i="14"/>
  <c r="D12" i="14"/>
  <c r="AD11" i="14"/>
  <c r="T11" i="14"/>
  <c r="V11" i="14" s="1"/>
  <c r="Q11" i="14"/>
  <c r="O11" i="14"/>
  <c r="D11" i="14"/>
  <c r="S11" i="14" s="1"/>
  <c r="D10" i="14"/>
  <c r="J9" i="14"/>
  <c r="D9" i="14"/>
  <c r="D8" i="14"/>
  <c r="AD7" i="14"/>
  <c r="Y7" i="14"/>
  <c r="T7" i="14"/>
  <c r="V7" i="14" s="1"/>
  <c r="Q7" i="14"/>
  <c r="P7" i="14"/>
  <c r="O7" i="14"/>
  <c r="D7" i="14"/>
  <c r="S7" i="14" s="1"/>
  <c r="J6" i="14"/>
  <c r="D6" i="14"/>
  <c r="D5" i="14"/>
  <c r="AD4" i="14"/>
  <c r="AD26" i="14" s="1"/>
  <c r="V4" i="14"/>
  <c r="T4" i="14"/>
  <c r="Q4" i="14"/>
  <c r="O4" i="14"/>
  <c r="I4" i="14"/>
  <c r="I5" i="14" s="1"/>
  <c r="I6" i="14" s="1"/>
  <c r="I7" i="14" s="1"/>
  <c r="D4" i="14"/>
  <c r="P4" i="14" s="1"/>
  <c r="J3" i="14"/>
  <c r="H3" i="14"/>
  <c r="C4" i="14" s="1"/>
  <c r="H4" i="14" s="1"/>
  <c r="Y4" i="14" l="1"/>
  <c r="P18" i="14"/>
  <c r="S4" i="14"/>
  <c r="Z4" i="14" s="1"/>
  <c r="AF4" i="14" s="1"/>
  <c r="R16" i="21"/>
  <c r="H18" i="21"/>
  <c r="W18" i="21" s="1"/>
  <c r="AE11" i="20"/>
  <c r="I25" i="20"/>
  <c r="I26" i="20" s="1"/>
  <c r="C15" i="20"/>
  <c r="H15" i="20" s="1"/>
  <c r="C16" i="20" s="1"/>
  <c r="J14" i="20"/>
  <c r="C15" i="19"/>
  <c r="H15" i="19" s="1"/>
  <c r="C16" i="19" s="1"/>
  <c r="J14" i="19"/>
  <c r="I26" i="19"/>
  <c r="I27" i="19" s="1"/>
  <c r="AE11" i="19"/>
  <c r="R16" i="18"/>
  <c r="H18" i="18"/>
  <c r="P16" i="17"/>
  <c r="S16" i="17"/>
  <c r="AB16" i="17"/>
  <c r="R7" i="17"/>
  <c r="C9" i="17"/>
  <c r="H9" i="17" s="1"/>
  <c r="C10" i="17" s="1"/>
  <c r="H10" i="17" s="1"/>
  <c r="C11" i="17" s="1"/>
  <c r="J8" i="17"/>
  <c r="R7" i="16"/>
  <c r="C9" i="16"/>
  <c r="H9" i="16" s="1"/>
  <c r="C10" i="16" s="1"/>
  <c r="H10" i="16" s="1"/>
  <c r="C11" i="16" s="1"/>
  <c r="J8" i="16"/>
  <c r="I8" i="15"/>
  <c r="I9" i="15" s="1"/>
  <c r="I10" i="15" s="1"/>
  <c r="C6" i="15"/>
  <c r="H6" i="15" s="1"/>
  <c r="C7" i="15" s="1"/>
  <c r="H7" i="15" s="1"/>
  <c r="C8" i="15" s="1"/>
  <c r="H8" i="15" s="1"/>
  <c r="J5" i="15"/>
  <c r="J4" i="15"/>
  <c r="J28" i="14"/>
  <c r="Z23" i="14"/>
  <c r="P23" i="14"/>
  <c r="Z22" i="14"/>
  <c r="AF22" i="14" s="1"/>
  <c r="Y23" i="14"/>
  <c r="P21" i="14"/>
  <c r="Y21" i="14"/>
  <c r="Y18" i="14"/>
  <c r="I8" i="14"/>
  <c r="I9" i="14" s="1"/>
  <c r="I10" i="14" s="1"/>
  <c r="X4" i="14"/>
  <c r="C5" i="14"/>
  <c r="H5" i="14" s="1"/>
  <c r="W4" i="14"/>
  <c r="J4" i="14"/>
  <c r="U11" i="14"/>
  <c r="Z21" i="14"/>
  <c r="P11" i="14"/>
  <c r="Z7" i="14"/>
  <c r="AF7" i="14" s="1"/>
  <c r="U7" i="14"/>
  <c r="P16" i="14"/>
  <c r="AF23" i="14"/>
  <c r="Y11" i="14"/>
  <c r="P22" i="14"/>
  <c r="Y22" i="14"/>
  <c r="Y16" i="14"/>
  <c r="U22" i="14"/>
  <c r="H3" i="13"/>
  <c r="C4" i="13"/>
  <c r="H4" i="13" s="1"/>
  <c r="J6" i="13"/>
  <c r="J9" i="13"/>
  <c r="J12" i="13"/>
  <c r="J15" i="13"/>
  <c r="J18" i="13"/>
  <c r="J20" i="13"/>
  <c r="J22" i="13"/>
  <c r="J24" i="13"/>
  <c r="D23" i="2"/>
  <c r="D22" i="2"/>
  <c r="C22" i="2"/>
  <c r="H22" i="2" s="1"/>
  <c r="C23" i="2" s="1"/>
  <c r="H23" i="2" s="1"/>
  <c r="H20" i="2"/>
  <c r="D21" i="2" s="1"/>
  <c r="D20" i="2"/>
  <c r="C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H3" i="2"/>
  <c r="C4" i="2" s="1"/>
  <c r="H4" i="2" s="1"/>
  <c r="C5" i="2" s="1"/>
  <c r="H5" i="2" s="1"/>
  <c r="C6" i="2" s="1"/>
  <c r="H6" i="2" s="1"/>
  <c r="C7" i="2" s="1"/>
  <c r="H7" i="2" s="1"/>
  <c r="C8" i="2" s="1"/>
  <c r="H8" i="2" s="1"/>
  <c r="C9" i="2" s="1"/>
  <c r="H9" i="2" s="1"/>
  <c r="C10" i="2" s="1"/>
  <c r="H10" i="2" s="1"/>
  <c r="C11" i="2" s="1"/>
  <c r="H11" i="2" s="1"/>
  <c r="C12" i="2" s="1"/>
  <c r="H12" i="2" s="1"/>
  <c r="C13" i="2" s="1"/>
  <c r="H13" i="2" s="1"/>
  <c r="C14" i="2" s="1"/>
  <c r="H14" i="2" s="1"/>
  <c r="C15" i="2" s="1"/>
  <c r="H15" i="2" s="1"/>
  <c r="C16" i="2" s="1"/>
  <c r="H16" i="2" s="1"/>
  <c r="C17" i="2" s="1"/>
  <c r="H17" i="2" s="1"/>
  <c r="C18" i="2" s="1"/>
  <c r="H18" i="2" s="1"/>
  <c r="C19" i="2" s="1"/>
  <c r="D24" i="13"/>
  <c r="S24" i="13" s="1"/>
  <c r="U24" i="13" s="1"/>
  <c r="T24" i="13"/>
  <c r="V24" i="13"/>
  <c r="D25" i="13"/>
  <c r="D26" i="13"/>
  <c r="D21" i="13"/>
  <c r="D22" i="13"/>
  <c r="Y22" i="13" s="1"/>
  <c r="D23" i="13"/>
  <c r="S23" i="13" s="1"/>
  <c r="D6" i="13"/>
  <c r="D7" i="13"/>
  <c r="S7" i="13" s="1"/>
  <c r="AD23" i="13"/>
  <c r="T23" i="13"/>
  <c r="V23" i="13" s="1"/>
  <c r="Q23" i="13"/>
  <c r="O23" i="13"/>
  <c r="AD22" i="13"/>
  <c r="T22" i="13"/>
  <c r="V22" i="13" s="1"/>
  <c r="Q22" i="13"/>
  <c r="P22" i="13"/>
  <c r="O22" i="13"/>
  <c r="AD21" i="13"/>
  <c r="T21" i="13"/>
  <c r="V21" i="13" s="1"/>
  <c r="Q21" i="13"/>
  <c r="O21" i="13"/>
  <c r="D20" i="13"/>
  <c r="D19" i="13"/>
  <c r="AD18" i="13"/>
  <c r="Y18" i="13"/>
  <c r="T18" i="13"/>
  <c r="V18" i="13" s="1"/>
  <c r="Q18" i="13"/>
  <c r="O18" i="13"/>
  <c r="D18" i="13"/>
  <c r="S18" i="13" s="1"/>
  <c r="U18" i="13" s="1"/>
  <c r="D17" i="13"/>
  <c r="AD16" i="13"/>
  <c r="T16" i="13"/>
  <c r="V16" i="13" s="1"/>
  <c r="Q16" i="13"/>
  <c r="O16" i="13"/>
  <c r="D16" i="13"/>
  <c r="Y16" i="13" s="1"/>
  <c r="D15" i="13"/>
  <c r="D14" i="13"/>
  <c r="D13" i="13"/>
  <c r="D12" i="13"/>
  <c r="AD11" i="13"/>
  <c r="Y11" i="13"/>
  <c r="T11" i="13"/>
  <c r="V11" i="13" s="1"/>
  <c r="Q11" i="13"/>
  <c r="O11" i="13"/>
  <c r="D11" i="13"/>
  <c r="S11" i="13" s="1"/>
  <c r="D10" i="13"/>
  <c r="D9" i="13"/>
  <c r="D8" i="13"/>
  <c r="AD7" i="13"/>
  <c r="T7" i="13"/>
  <c r="V7" i="13" s="1"/>
  <c r="Q7" i="13"/>
  <c r="O7" i="13"/>
  <c r="D5" i="13"/>
  <c r="AD4" i="13"/>
  <c r="Y4" i="13"/>
  <c r="T4" i="13"/>
  <c r="V4" i="13" s="1"/>
  <c r="Q4" i="13"/>
  <c r="O4" i="13"/>
  <c r="I4" i="13"/>
  <c r="I5" i="13" s="1"/>
  <c r="I6" i="13" s="1"/>
  <c r="I7" i="13" s="1"/>
  <c r="D4" i="13"/>
  <c r="S4" i="13" s="1"/>
  <c r="J3" i="13"/>
  <c r="AD23" i="12"/>
  <c r="T23" i="12"/>
  <c r="V23" i="12" s="1"/>
  <c r="Q23" i="12"/>
  <c r="O23" i="12"/>
  <c r="D23" i="12"/>
  <c r="P23" i="12" s="1"/>
  <c r="AD22" i="12"/>
  <c r="T22" i="12"/>
  <c r="V22" i="12" s="1"/>
  <c r="S22" i="12"/>
  <c r="Z22" i="12" s="1"/>
  <c r="Q22" i="12"/>
  <c r="O22" i="12"/>
  <c r="H22" i="12"/>
  <c r="C23" i="12" s="1"/>
  <c r="H23" i="12" s="1"/>
  <c r="D22" i="12"/>
  <c r="P22" i="12" s="1"/>
  <c r="C22" i="12"/>
  <c r="AD21" i="12"/>
  <c r="T21" i="12"/>
  <c r="V21" i="12" s="1"/>
  <c r="Q21" i="12"/>
  <c r="O21" i="12"/>
  <c r="I21" i="12"/>
  <c r="J20" i="12"/>
  <c r="D20" i="12"/>
  <c r="C20" i="12"/>
  <c r="H20" i="12" s="1"/>
  <c r="D21" i="12" s="1"/>
  <c r="J19" i="12"/>
  <c r="D19" i="12"/>
  <c r="AD18" i="12"/>
  <c r="T18" i="12"/>
  <c r="V18" i="12" s="1"/>
  <c r="S18" i="12"/>
  <c r="U18" i="12" s="1"/>
  <c r="Q18" i="12"/>
  <c r="P18" i="12"/>
  <c r="O18" i="12"/>
  <c r="D18" i="12"/>
  <c r="Y18" i="12" s="1"/>
  <c r="J17" i="12"/>
  <c r="D17" i="12"/>
  <c r="AD16" i="12"/>
  <c r="Y16" i="12"/>
  <c r="T16" i="12"/>
  <c r="V16" i="12" s="1"/>
  <c r="Q16" i="12"/>
  <c r="P16" i="12"/>
  <c r="O16" i="12"/>
  <c r="D16" i="12"/>
  <c r="S16" i="12" s="1"/>
  <c r="J15" i="12"/>
  <c r="I15" i="12"/>
  <c r="I16" i="12" s="1"/>
  <c r="D15" i="12"/>
  <c r="J14" i="12"/>
  <c r="D14" i="12"/>
  <c r="D13" i="12"/>
  <c r="J12" i="12"/>
  <c r="D12" i="12"/>
  <c r="AD11" i="12"/>
  <c r="Y11" i="12"/>
  <c r="T11" i="12"/>
  <c r="V11" i="12" s="1"/>
  <c r="Q11" i="12"/>
  <c r="P11" i="12"/>
  <c r="O11" i="12"/>
  <c r="D11" i="12"/>
  <c r="S11" i="12" s="1"/>
  <c r="I10" i="12"/>
  <c r="I11" i="12" s="1"/>
  <c r="D10" i="12"/>
  <c r="J9" i="12"/>
  <c r="D9" i="12"/>
  <c r="D8" i="12"/>
  <c r="AD7" i="12"/>
  <c r="T7" i="12"/>
  <c r="V7" i="12" s="1"/>
  <c r="S7" i="12"/>
  <c r="Q7" i="12"/>
  <c r="P7" i="12"/>
  <c r="O7" i="12"/>
  <c r="I7" i="12"/>
  <c r="I8" i="12" s="1"/>
  <c r="I9" i="12" s="1"/>
  <c r="D7" i="12"/>
  <c r="Y7" i="12" s="1"/>
  <c r="J6" i="12"/>
  <c r="I6" i="12"/>
  <c r="D6" i="12"/>
  <c r="J5" i="12"/>
  <c r="D5" i="12"/>
  <c r="AD4" i="12"/>
  <c r="T4" i="12"/>
  <c r="V4" i="12" s="1"/>
  <c r="Q4" i="12"/>
  <c r="O4" i="12"/>
  <c r="I4" i="12"/>
  <c r="I5" i="12" s="1"/>
  <c r="D4" i="12"/>
  <c r="Y4" i="12" s="1"/>
  <c r="J3" i="12"/>
  <c r="H3" i="12"/>
  <c r="C4" i="12" s="1"/>
  <c r="J12" i="1"/>
  <c r="U22" i="12" l="1"/>
  <c r="I28" i="19"/>
  <c r="I29" i="19" s="1"/>
  <c r="Y22" i="12"/>
  <c r="U4" i="14"/>
  <c r="Z7" i="12"/>
  <c r="AF7" i="12" s="1"/>
  <c r="P23" i="13"/>
  <c r="AC16" i="21"/>
  <c r="C19" i="21"/>
  <c r="X18" i="21"/>
  <c r="J18" i="21"/>
  <c r="H16" i="20"/>
  <c r="W16" i="20" s="1"/>
  <c r="I27" i="20"/>
  <c r="H16" i="19"/>
  <c r="W16" i="19" s="1"/>
  <c r="C19" i="18"/>
  <c r="J18" i="18"/>
  <c r="U16" i="17"/>
  <c r="D17" i="17"/>
  <c r="G17" i="17" s="1"/>
  <c r="D18" i="17" s="1"/>
  <c r="T16" i="17"/>
  <c r="V16" i="17" s="1"/>
  <c r="O16" i="17"/>
  <c r="AF7" i="17"/>
  <c r="H11" i="17"/>
  <c r="AC7" i="16"/>
  <c r="H11" i="16"/>
  <c r="W11" i="16" s="1"/>
  <c r="C9" i="15"/>
  <c r="H9" i="15" s="1"/>
  <c r="C10" i="15" s="1"/>
  <c r="H10" i="15" s="1"/>
  <c r="C11" i="15" s="1"/>
  <c r="H11" i="15" s="1"/>
  <c r="J8" i="15"/>
  <c r="I11" i="15"/>
  <c r="I12" i="15" s="1"/>
  <c r="I13" i="15" s="1"/>
  <c r="J7" i="15"/>
  <c r="R4" i="14"/>
  <c r="J5" i="14"/>
  <c r="C6" i="14"/>
  <c r="H6" i="14" s="1"/>
  <c r="C7" i="14" s="1"/>
  <c r="AF21" i="14"/>
  <c r="I11" i="14"/>
  <c r="AD26" i="13"/>
  <c r="P11" i="13"/>
  <c r="P18" i="13"/>
  <c r="Z11" i="13"/>
  <c r="AF11" i="13" s="1"/>
  <c r="X4" i="13"/>
  <c r="C5" i="13"/>
  <c r="J4" i="13"/>
  <c r="Z4" i="13"/>
  <c r="U4" i="13"/>
  <c r="Z23" i="13"/>
  <c r="U23" i="13"/>
  <c r="U7" i="13"/>
  <c r="Z7" i="13"/>
  <c r="AF7" i="13" s="1"/>
  <c r="S21" i="13"/>
  <c r="P21" i="13"/>
  <c r="Y21" i="13"/>
  <c r="I8" i="13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Z18" i="13" s="1"/>
  <c r="AF18" i="13" s="1"/>
  <c r="S16" i="13"/>
  <c r="W4" i="13"/>
  <c r="P7" i="13"/>
  <c r="U11" i="13"/>
  <c r="P4" i="13"/>
  <c r="Y7" i="13"/>
  <c r="S22" i="13"/>
  <c r="Y23" i="13"/>
  <c r="P16" i="13"/>
  <c r="AD26" i="12"/>
  <c r="AF22" i="12"/>
  <c r="H4" i="12"/>
  <c r="W4" i="12" s="1"/>
  <c r="P21" i="12"/>
  <c r="Y21" i="12"/>
  <c r="S21" i="12"/>
  <c r="I12" i="12"/>
  <c r="I13" i="12" s="1"/>
  <c r="I14" i="12" s="1"/>
  <c r="Z11" i="12"/>
  <c r="AF11" i="12" s="1"/>
  <c r="U11" i="12"/>
  <c r="Z16" i="12"/>
  <c r="AF16" i="12" s="1"/>
  <c r="U16" i="12"/>
  <c r="J21" i="12"/>
  <c r="I17" i="12"/>
  <c r="I18" i="12" s="1"/>
  <c r="Z18" i="12"/>
  <c r="AF18" i="12" s="1"/>
  <c r="S4" i="12"/>
  <c r="U7" i="12"/>
  <c r="S23" i="12"/>
  <c r="P4" i="12"/>
  <c r="Y23" i="12"/>
  <c r="I22" i="12"/>
  <c r="I30" i="19" l="1"/>
  <c r="I31" i="19" s="1"/>
  <c r="I32" i="19" s="1"/>
  <c r="I33" i="19" s="1"/>
  <c r="AF4" i="13"/>
  <c r="J10" i="15"/>
  <c r="K18" i="21"/>
  <c r="R18" i="21"/>
  <c r="K1" i="21" s="1"/>
  <c r="J2" i="21"/>
  <c r="S1" i="21"/>
  <c r="K16" i="21"/>
  <c r="K7" i="21"/>
  <c r="K21" i="21"/>
  <c r="K22" i="21"/>
  <c r="K4" i="21"/>
  <c r="K11" i="21"/>
  <c r="K23" i="21"/>
  <c r="I28" i="20"/>
  <c r="I29" i="20" s="1"/>
  <c r="X16" i="20"/>
  <c r="H17" i="20"/>
  <c r="J16" i="20"/>
  <c r="X16" i="19"/>
  <c r="C17" i="19"/>
  <c r="H17" i="19" s="1"/>
  <c r="J16" i="19"/>
  <c r="K18" i="18"/>
  <c r="R18" i="18"/>
  <c r="K16" i="18"/>
  <c r="K22" i="18"/>
  <c r="K11" i="18"/>
  <c r="S1" i="18"/>
  <c r="K7" i="18"/>
  <c r="J2" i="18"/>
  <c r="K21" i="18"/>
  <c r="K4" i="18"/>
  <c r="K23" i="18"/>
  <c r="AB18" i="17"/>
  <c r="S18" i="17"/>
  <c r="AC16" i="17"/>
  <c r="AG16" i="17" s="1"/>
  <c r="C12" i="17"/>
  <c r="H12" i="17" s="1"/>
  <c r="C13" i="17" s="1"/>
  <c r="H13" i="17" s="1"/>
  <c r="AA11" i="17"/>
  <c r="J11" i="17"/>
  <c r="C12" i="16"/>
  <c r="H12" i="16" s="1"/>
  <c r="C13" i="16" s="1"/>
  <c r="H13" i="16" s="1"/>
  <c r="X11" i="16"/>
  <c r="J11" i="16"/>
  <c r="I14" i="15"/>
  <c r="I15" i="15" s="1"/>
  <c r="I16" i="15" s="1"/>
  <c r="C12" i="15"/>
  <c r="H12" i="15" s="1"/>
  <c r="C13" i="15" s="1"/>
  <c r="H13" i="15" s="1"/>
  <c r="C14" i="15" s="1"/>
  <c r="H14" i="15" s="1"/>
  <c r="J11" i="15"/>
  <c r="I12" i="14"/>
  <c r="I13" i="14" s="1"/>
  <c r="Z11" i="14"/>
  <c r="AF11" i="14" s="1"/>
  <c r="AE4" i="14"/>
  <c r="H7" i="14"/>
  <c r="W7" i="14"/>
  <c r="H5" i="13"/>
  <c r="J5" i="13" s="1"/>
  <c r="R4" i="13"/>
  <c r="Z21" i="13"/>
  <c r="U21" i="13"/>
  <c r="U16" i="13"/>
  <c r="Z16" i="13"/>
  <c r="AF16" i="13" s="1"/>
  <c r="U22" i="13"/>
  <c r="Z22" i="13"/>
  <c r="Z26" i="13" s="1"/>
  <c r="Z27" i="13" s="1"/>
  <c r="AF23" i="13"/>
  <c r="I19" i="13"/>
  <c r="U4" i="12"/>
  <c r="Z4" i="12"/>
  <c r="AF4" i="12" s="1"/>
  <c r="C5" i="12"/>
  <c r="H5" i="12" s="1"/>
  <c r="C6" i="12" s="1"/>
  <c r="H6" i="12" s="1"/>
  <c r="C7" i="12" s="1"/>
  <c r="X4" i="12"/>
  <c r="I23" i="12"/>
  <c r="J23" i="12" s="1"/>
  <c r="J22" i="12"/>
  <c r="I19" i="12"/>
  <c r="I20" i="12" s="1"/>
  <c r="J4" i="12"/>
  <c r="R21" i="12"/>
  <c r="AE21" i="12" s="1"/>
  <c r="U21" i="12"/>
  <c r="Z21" i="12"/>
  <c r="U23" i="12"/>
  <c r="Z23" i="12"/>
  <c r="D7" i="1"/>
  <c r="V23" i="11"/>
  <c r="T23" i="11"/>
  <c r="Q23" i="11"/>
  <c r="O23" i="11"/>
  <c r="D23" i="11"/>
  <c r="S23" i="11" s="1"/>
  <c r="AB23" i="11" s="1"/>
  <c r="T22" i="11"/>
  <c r="V22" i="11" s="1"/>
  <c r="S22" i="11"/>
  <c r="Q22" i="11"/>
  <c r="O22" i="11"/>
  <c r="D22" i="11"/>
  <c r="P22" i="11" s="1"/>
  <c r="C22" i="11"/>
  <c r="H22" i="11" s="1"/>
  <c r="C23" i="11" s="1"/>
  <c r="H23" i="11" s="1"/>
  <c r="AA21" i="11"/>
  <c r="T21" i="11"/>
  <c r="V21" i="11" s="1"/>
  <c r="Q21" i="11"/>
  <c r="O21" i="11"/>
  <c r="I21" i="11"/>
  <c r="I22" i="11" s="1"/>
  <c r="I23" i="11" s="1"/>
  <c r="J20" i="11"/>
  <c r="H20" i="11"/>
  <c r="D21" i="11" s="1"/>
  <c r="S21" i="11" s="1"/>
  <c r="D20" i="11"/>
  <c r="C20" i="11"/>
  <c r="Q19" i="11"/>
  <c r="J19" i="11"/>
  <c r="D19" i="11"/>
  <c r="AA18" i="11"/>
  <c r="V18" i="11"/>
  <c r="T18" i="11"/>
  <c r="Q18" i="11"/>
  <c r="O18" i="11"/>
  <c r="D18" i="11"/>
  <c r="S18" i="11" s="1"/>
  <c r="Q17" i="11"/>
  <c r="J17" i="11"/>
  <c r="D17" i="11"/>
  <c r="T16" i="11"/>
  <c r="V16" i="11" s="1"/>
  <c r="Q16" i="11"/>
  <c r="O16" i="11"/>
  <c r="D16" i="11"/>
  <c r="AA16" i="11" s="1"/>
  <c r="Q15" i="11"/>
  <c r="J15" i="11"/>
  <c r="I15" i="11"/>
  <c r="I16" i="11" s="1"/>
  <c r="D15" i="11"/>
  <c r="J14" i="11"/>
  <c r="D14" i="11"/>
  <c r="Q13" i="11"/>
  <c r="D13" i="11"/>
  <c r="Q12" i="11"/>
  <c r="J12" i="11"/>
  <c r="I12" i="11"/>
  <c r="I13" i="11" s="1"/>
  <c r="I14" i="11" s="1"/>
  <c r="D12" i="11"/>
  <c r="T11" i="11"/>
  <c r="V11" i="11" s="1"/>
  <c r="Q11" i="11"/>
  <c r="O11" i="11"/>
  <c r="D11" i="11"/>
  <c r="S11" i="11" s="1"/>
  <c r="I10" i="11"/>
  <c r="I11" i="11" s="1"/>
  <c r="D10" i="11"/>
  <c r="Q9" i="11"/>
  <c r="J9" i="11"/>
  <c r="D9" i="11"/>
  <c r="Q8" i="11"/>
  <c r="D8" i="11"/>
  <c r="AA7" i="11"/>
  <c r="T7" i="11"/>
  <c r="V7" i="11" s="1"/>
  <c r="Q7" i="11"/>
  <c r="O7" i="11"/>
  <c r="D7" i="11"/>
  <c r="P7" i="11" s="1"/>
  <c r="J6" i="11"/>
  <c r="I6" i="11"/>
  <c r="I7" i="11" s="1"/>
  <c r="D6" i="11"/>
  <c r="Q5" i="11"/>
  <c r="J5" i="11"/>
  <c r="D5" i="11"/>
  <c r="T4" i="11"/>
  <c r="V4" i="11" s="1"/>
  <c r="Q4" i="11"/>
  <c r="P4" i="11"/>
  <c r="O4" i="11"/>
  <c r="I4" i="11"/>
  <c r="I5" i="11" s="1"/>
  <c r="D4" i="11"/>
  <c r="AA4" i="11" s="1"/>
  <c r="J3" i="11"/>
  <c r="H3" i="11"/>
  <c r="C4" i="11" s="1"/>
  <c r="T23" i="10"/>
  <c r="V23" i="10" s="1"/>
  <c r="Q23" i="10"/>
  <c r="O23" i="10"/>
  <c r="D23" i="10"/>
  <c r="S23" i="10" s="1"/>
  <c r="T22" i="10"/>
  <c r="V22" i="10" s="1"/>
  <c r="Q22" i="10"/>
  <c r="P22" i="10"/>
  <c r="O22" i="10"/>
  <c r="D22" i="10"/>
  <c r="S22" i="10" s="1"/>
  <c r="C22" i="10"/>
  <c r="H22" i="10" s="1"/>
  <c r="C23" i="10" s="1"/>
  <c r="H23" i="10" s="1"/>
  <c r="T21" i="10"/>
  <c r="V21" i="10" s="1"/>
  <c r="Q21" i="10"/>
  <c r="O21" i="10"/>
  <c r="I21" i="10"/>
  <c r="I22" i="10" s="1"/>
  <c r="J20" i="10"/>
  <c r="D20" i="10"/>
  <c r="C20" i="10"/>
  <c r="H20" i="10" s="1"/>
  <c r="D21" i="10" s="1"/>
  <c r="Q19" i="10"/>
  <c r="J19" i="10"/>
  <c r="D19" i="10"/>
  <c r="V18" i="10"/>
  <c r="T18" i="10"/>
  <c r="S18" i="10"/>
  <c r="Q18" i="10"/>
  <c r="P18" i="10"/>
  <c r="O18" i="10"/>
  <c r="D18" i="10"/>
  <c r="AA18" i="10" s="1"/>
  <c r="Q17" i="10"/>
  <c r="J17" i="10"/>
  <c r="D17" i="10"/>
  <c r="T16" i="10"/>
  <c r="AB16" i="10" s="1"/>
  <c r="S16" i="10"/>
  <c r="U16" i="10" s="1"/>
  <c r="Q16" i="10"/>
  <c r="O16" i="10"/>
  <c r="D16" i="10"/>
  <c r="P16" i="10" s="1"/>
  <c r="Q15" i="10"/>
  <c r="J15" i="10"/>
  <c r="I15" i="10"/>
  <c r="I16" i="10" s="1"/>
  <c r="D15" i="10"/>
  <c r="J14" i="10"/>
  <c r="D14" i="10"/>
  <c r="Q13" i="10"/>
  <c r="D13" i="10"/>
  <c r="Q12" i="10"/>
  <c r="J12" i="10"/>
  <c r="D12" i="10"/>
  <c r="T11" i="10"/>
  <c r="V11" i="10" s="1"/>
  <c r="Q11" i="10"/>
  <c r="O11" i="10"/>
  <c r="D11" i="10"/>
  <c r="I10" i="10"/>
  <c r="I11" i="10" s="1"/>
  <c r="I12" i="10" s="1"/>
  <c r="I13" i="10" s="1"/>
  <c r="I14" i="10" s="1"/>
  <c r="D10" i="10"/>
  <c r="Q9" i="10"/>
  <c r="J9" i="10"/>
  <c r="D9" i="10"/>
  <c r="Q8" i="10"/>
  <c r="D8" i="10"/>
  <c r="T7" i="10"/>
  <c r="V7" i="10" s="1"/>
  <c r="Q7" i="10"/>
  <c r="O7" i="10"/>
  <c r="D7" i="10"/>
  <c r="J6" i="10"/>
  <c r="I6" i="10"/>
  <c r="I7" i="10" s="1"/>
  <c r="I8" i="10" s="1"/>
  <c r="I9" i="10" s="1"/>
  <c r="D6" i="10"/>
  <c r="Q5" i="10"/>
  <c r="J5" i="10"/>
  <c r="D5" i="10"/>
  <c r="T4" i="10"/>
  <c r="V4" i="10" s="1"/>
  <c r="Q4" i="10"/>
  <c r="O4" i="10"/>
  <c r="I4" i="10"/>
  <c r="I5" i="10" s="1"/>
  <c r="D4" i="10"/>
  <c r="J3" i="10"/>
  <c r="H3" i="10"/>
  <c r="C4" i="10" s="1"/>
  <c r="B8" i="9"/>
  <c r="C8" i="9" s="1"/>
  <c r="B6" i="9"/>
  <c r="B10" i="9" s="1"/>
  <c r="B11" i="9" s="1"/>
  <c r="AA23" i="8"/>
  <c r="T23" i="8"/>
  <c r="V23" i="8" s="1"/>
  <c r="Q23" i="8"/>
  <c r="P23" i="8"/>
  <c r="O23" i="8"/>
  <c r="D23" i="8"/>
  <c r="S23" i="8" s="1"/>
  <c r="T22" i="8"/>
  <c r="V22" i="8" s="1"/>
  <c r="Q22" i="8"/>
  <c r="P22" i="8"/>
  <c r="O22" i="8"/>
  <c r="H22" i="8"/>
  <c r="C23" i="8" s="1"/>
  <c r="H23" i="8" s="1"/>
  <c r="D22" i="8"/>
  <c r="S22" i="8" s="1"/>
  <c r="AB22" i="8" s="1"/>
  <c r="C22" i="8"/>
  <c r="T21" i="8"/>
  <c r="V21" i="8" s="1"/>
  <c r="Q21" i="8"/>
  <c r="O21" i="8"/>
  <c r="I21" i="8"/>
  <c r="I22" i="8" s="1"/>
  <c r="D21" i="8"/>
  <c r="J20" i="8"/>
  <c r="H20" i="8"/>
  <c r="D20" i="8"/>
  <c r="C20" i="8"/>
  <c r="J19" i="8"/>
  <c r="D19" i="8"/>
  <c r="T18" i="8"/>
  <c r="V18" i="8" s="1"/>
  <c r="Q18" i="8"/>
  <c r="O18" i="8"/>
  <c r="D18" i="8"/>
  <c r="AA18" i="8" s="1"/>
  <c r="J17" i="8"/>
  <c r="D17" i="8"/>
  <c r="T16" i="8"/>
  <c r="V16" i="8" s="1"/>
  <c r="Q16" i="8"/>
  <c r="O16" i="8"/>
  <c r="D16" i="8"/>
  <c r="J15" i="8"/>
  <c r="I15" i="8"/>
  <c r="I16" i="8" s="1"/>
  <c r="I17" i="8" s="1"/>
  <c r="I18" i="8" s="1"/>
  <c r="D15" i="8"/>
  <c r="J14" i="8"/>
  <c r="D14" i="8"/>
  <c r="D13" i="8"/>
  <c r="J12" i="8"/>
  <c r="D12" i="8"/>
  <c r="AA11" i="8"/>
  <c r="T11" i="8"/>
  <c r="V11" i="8" s="1"/>
  <c r="Q11" i="8"/>
  <c r="O11" i="8"/>
  <c r="D11" i="8"/>
  <c r="S11" i="8" s="1"/>
  <c r="I10" i="8"/>
  <c r="I11" i="8" s="1"/>
  <c r="I12" i="8" s="1"/>
  <c r="I13" i="8" s="1"/>
  <c r="I14" i="8" s="1"/>
  <c r="D10" i="8"/>
  <c r="J9" i="8"/>
  <c r="D9" i="8"/>
  <c r="D8" i="8"/>
  <c r="V7" i="8"/>
  <c r="T7" i="8"/>
  <c r="Q7" i="8"/>
  <c r="O7" i="8"/>
  <c r="D7" i="8"/>
  <c r="AA7" i="8" s="1"/>
  <c r="J6" i="8"/>
  <c r="I6" i="8"/>
  <c r="I7" i="8" s="1"/>
  <c r="I8" i="8" s="1"/>
  <c r="I9" i="8" s="1"/>
  <c r="D6" i="8"/>
  <c r="J5" i="8"/>
  <c r="D5" i="8"/>
  <c r="T4" i="8"/>
  <c r="V4" i="8" s="1"/>
  <c r="Q4" i="8"/>
  <c r="O4" i="8"/>
  <c r="I4" i="8"/>
  <c r="I5" i="8" s="1"/>
  <c r="D4" i="8"/>
  <c r="AA4" i="8" s="1"/>
  <c r="J3" i="8"/>
  <c r="H3" i="8"/>
  <c r="C4" i="8" s="1"/>
  <c r="B40" i="7"/>
  <c r="B39" i="7"/>
  <c r="K10" i="7" s="1"/>
  <c r="B38" i="7"/>
  <c r="D23" i="7"/>
  <c r="D22" i="7"/>
  <c r="C22" i="7"/>
  <c r="H22" i="7" s="1"/>
  <c r="C23" i="7" s="1"/>
  <c r="H23" i="7" s="1"/>
  <c r="I21" i="7"/>
  <c r="I22" i="7" s="1"/>
  <c r="I23" i="7" s="1"/>
  <c r="J23" i="7" s="1"/>
  <c r="K23" i="7" s="1"/>
  <c r="P20" i="7"/>
  <c r="J20" i="7"/>
  <c r="D20" i="7"/>
  <c r="C20" i="7"/>
  <c r="H20" i="7" s="1"/>
  <c r="D21" i="7" s="1"/>
  <c r="J21" i="7" s="1"/>
  <c r="P19" i="7"/>
  <c r="J19" i="7"/>
  <c r="K19" i="7" s="1"/>
  <c r="D19" i="7"/>
  <c r="D18" i="7"/>
  <c r="P17" i="7"/>
  <c r="J17" i="7"/>
  <c r="D17" i="7"/>
  <c r="D16" i="7"/>
  <c r="P15" i="7"/>
  <c r="J15" i="7"/>
  <c r="K15" i="7" s="1"/>
  <c r="I15" i="7"/>
  <c r="I16" i="7" s="1"/>
  <c r="D15" i="7"/>
  <c r="P14" i="7"/>
  <c r="J14" i="7"/>
  <c r="D14" i="7"/>
  <c r="P13" i="7"/>
  <c r="D13" i="7"/>
  <c r="P12" i="7"/>
  <c r="J12" i="7"/>
  <c r="D12" i="7"/>
  <c r="I11" i="7"/>
  <c r="D11" i="7"/>
  <c r="P10" i="7"/>
  <c r="I10" i="7"/>
  <c r="D10" i="7"/>
  <c r="P9" i="7"/>
  <c r="J9" i="7"/>
  <c r="I9" i="7"/>
  <c r="D9" i="7"/>
  <c r="P8" i="7"/>
  <c r="I8" i="7"/>
  <c r="D8" i="7"/>
  <c r="D7" i="7"/>
  <c r="P6" i="7"/>
  <c r="J6" i="7"/>
  <c r="I6" i="7"/>
  <c r="D6" i="7"/>
  <c r="P5" i="7"/>
  <c r="J5" i="7"/>
  <c r="D5" i="7"/>
  <c r="I4" i="7"/>
  <c r="H4" i="7"/>
  <c r="C5" i="7" s="1"/>
  <c r="H5" i="7" s="1"/>
  <c r="C6" i="7" s="1"/>
  <c r="H6" i="7" s="1"/>
  <c r="C7" i="7" s="1"/>
  <c r="H7" i="7" s="1"/>
  <c r="D4" i="7"/>
  <c r="J3" i="7"/>
  <c r="H3" i="7"/>
  <c r="C4" i="7" s="1"/>
  <c r="B40" i="6"/>
  <c r="B39" i="6"/>
  <c r="B38" i="6"/>
  <c r="D23" i="6"/>
  <c r="H22" i="6"/>
  <c r="C23" i="6" s="1"/>
  <c r="H23" i="6" s="1"/>
  <c r="D22" i="6"/>
  <c r="C22" i="6"/>
  <c r="I21" i="6"/>
  <c r="Q20" i="6"/>
  <c r="J20" i="6"/>
  <c r="K20" i="6" s="1"/>
  <c r="D20" i="6"/>
  <c r="C20" i="6"/>
  <c r="H20" i="6" s="1"/>
  <c r="D21" i="6" s="1"/>
  <c r="Q19" i="6"/>
  <c r="J19" i="6"/>
  <c r="K19" i="6" s="1"/>
  <c r="D19" i="6"/>
  <c r="D18" i="6"/>
  <c r="Q17" i="6"/>
  <c r="J17" i="6"/>
  <c r="K17" i="6" s="1"/>
  <c r="D17" i="6"/>
  <c r="D16" i="6"/>
  <c r="Q15" i="6"/>
  <c r="J15" i="6"/>
  <c r="K15" i="6" s="1"/>
  <c r="I15" i="6"/>
  <c r="I16" i="6" s="1"/>
  <c r="I17" i="6" s="1"/>
  <c r="I18" i="6" s="1"/>
  <c r="D15" i="6"/>
  <c r="Q14" i="6"/>
  <c r="J14" i="6"/>
  <c r="K14" i="6" s="1"/>
  <c r="D14" i="6"/>
  <c r="Q13" i="6"/>
  <c r="D13" i="6"/>
  <c r="Q12" i="6"/>
  <c r="J12" i="6"/>
  <c r="K12" i="6" s="1"/>
  <c r="D12" i="6"/>
  <c r="D11" i="6"/>
  <c r="Q10" i="6"/>
  <c r="K10" i="6"/>
  <c r="I10" i="6"/>
  <c r="I11" i="6" s="1"/>
  <c r="I12" i="6" s="1"/>
  <c r="I13" i="6" s="1"/>
  <c r="I14" i="6" s="1"/>
  <c r="D10" i="6"/>
  <c r="Q9" i="6"/>
  <c r="J9" i="6"/>
  <c r="K9" i="6" s="1"/>
  <c r="Q8" i="6"/>
  <c r="I8" i="6"/>
  <c r="I9" i="6" s="1"/>
  <c r="D8" i="6"/>
  <c r="D7" i="6"/>
  <c r="Q6" i="6"/>
  <c r="J6" i="6"/>
  <c r="I6" i="6"/>
  <c r="D6" i="6"/>
  <c r="Q5" i="6"/>
  <c r="J5" i="6"/>
  <c r="D5" i="6"/>
  <c r="I4" i="6"/>
  <c r="D4" i="6"/>
  <c r="J3" i="6"/>
  <c r="H3" i="6"/>
  <c r="C4" i="6" s="1"/>
  <c r="H4" i="6" s="1"/>
  <c r="C5" i="6" s="1"/>
  <c r="H5" i="6" s="1"/>
  <c r="C6" i="6" s="1"/>
  <c r="H6" i="6" s="1"/>
  <c r="C7" i="6" s="1"/>
  <c r="H7" i="6" s="1"/>
  <c r="AD23" i="5"/>
  <c r="V23" i="5"/>
  <c r="T23" i="5"/>
  <c r="Q23" i="5"/>
  <c r="O23" i="5"/>
  <c r="D23" i="5"/>
  <c r="S23" i="5" s="1"/>
  <c r="AD22" i="5"/>
  <c r="V22" i="5"/>
  <c r="T22" i="5"/>
  <c r="Q22" i="5"/>
  <c r="O22" i="5"/>
  <c r="D22" i="5"/>
  <c r="Y22" i="5" s="1"/>
  <c r="C22" i="5"/>
  <c r="H22" i="5" s="1"/>
  <c r="AD21" i="5"/>
  <c r="V21" i="5"/>
  <c r="T21" i="5"/>
  <c r="Q21" i="5"/>
  <c r="O21" i="5"/>
  <c r="I21" i="5"/>
  <c r="I22" i="5" s="1"/>
  <c r="I23" i="5" s="1"/>
  <c r="J20" i="5"/>
  <c r="D20" i="5"/>
  <c r="C20" i="5"/>
  <c r="H20" i="5" s="1"/>
  <c r="D21" i="5" s="1"/>
  <c r="J19" i="5"/>
  <c r="D19" i="5"/>
  <c r="AD18" i="5"/>
  <c r="T18" i="5"/>
  <c r="V18" i="5" s="1"/>
  <c r="Q18" i="5"/>
  <c r="P18" i="5"/>
  <c r="O18" i="5"/>
  <c r="D18" i="5"/>
  <c r="S18" i="5" s="1"/>
  <c r="U18" i="5" s="1"/>
  <c r="J17" i="5"/>
  <c r="D17" i="5"/>
  <c r="AD16" i="5"/>
  <c r="T16" i="5"/>
  <c r="V16" i="5" s="1"/>
  <c r="Q16" i="5"/>
  <c r="O16" i="5"/>
  <c r="D16" i="5"/>
  <c r="J15" i="5"/>
  <c r="I15" i="5"/>
  <c r="I16" i="5" s="1"/>
  <c r="I17" i="5" s="1"/>
  <c r="I18" i="5" s="1"/>
  <c r="D15" i="5"/>
  <c r="J14" i="5"/>
  <c r="D14" i="5"/>
  <c r="D13" i="5"/>
  <c r="J12" i="5"/>
  <c r="D12" i="5"/>
  <c r="AD11" i="5"/>
  <c r="T11" i="5"/>
  <c r="V11" i="5" s="1"/>
  <c r="Q11" i="5"/>
  <c r="O11" i="5"/>
  <c r="D11" i="5"/>
  <c r="Y11" i="5" s="1"/>
  <c r="I10" i="5"/>
  <c r="I11" i="5" s="1"/>
  <c r="D10" i="5"/>
  <c r="J9" i="5"/>
  <c r="D9" i="5"/>
  <c r="I8" i="5"/>
  <c r="I9" i="5" s="1"/>
  <c r="D8" i="5"/>
  <c r="AD7" i="5"/>
  <c r="Y7" i="5"/>
  <c r="T7" i="5"/>
  <c r="V7" i="5" s="1"/>
  <c r="Q7" i="5"/>
  <c r="O7" i="5"/>
  <c r="D7" i="5"/>
  <c r="S7" i="5" s="1"/>
  <c r="J6" i="5"/>
  <c r="I6" i="5"/>
  <c r="I7" i="5" s="1"/>
  <c r="D6" i="5"/>
  <c r="J5" i="5"/>
  <c r="D5" i="5"/>
  <c r="AD4" i="5"/>
  <c r="T4" i="5"/>
  <c r="V4" i="5" s="1"/>
  <c r="Q4" i="5"/>
  <c r="P4" i="5"/>
  <c r="O4" i="5"/>
  <c r="I4" i="5"/>
  <c r="I5" i="5" s="1"/>
  <c r="D4" i="5"/>
  <c r="J3" i="5"/>
  <c r="H3" i="5"/>
  <c r="C4" i="5" s="1"/>
  <c r="AD23" i="4"/>
  <c r="V23" i="4"/>
  <c r="T23" i="4"/>
  <c r="Q23" i="4"/>
  <c r="O23" i="4"/>
  <c r="D23" i="4"/>
  <c r="Y23" i="4" s="1"/>
  <c r="AD22" i="4"/>
  <c r="Y22" i="4"/>
  <c r="U22" i="4"/>
  <c r="T22" i="4"/>
  <c r="V22" i="4" s="1"/>
  <c r="Q22" i="4"/>
  <c r="O22" i="4"/>
  <c r="D22" i="4"/>
  <c r="S22" i="4" s="1"/>
  <c r="C22" i="4"/>
  <c r="H22" i="4" s="1"/>
  <c r="C23" i="4" s="1"/>
  <c r="H23" i="4" s="1"/>
  <c r="AD21" i="4"/>
  <c r="V21" i="4"/>
  <c r="T21" i="4"/>
  <c r="Q21" i="4"/>
  <c r="O21" i="4"/>
  <c r="I21" i="4"/>
  <c r="J21" i="4" s="1"/>
  <c r="R21" i="4" s="1"/>
  <c r="AE21" i="4" s="1"/>
  <c r="D21" i="4"/>
  <c r="Y21" i="4" s="1"/>
  <c r="J20" i="4"/>
  <c r="H20" i="4"/>
  <c r="D20" i="4"/>
  <c r="C20" i="4"/>
  <c r="J19" i="4"/>
  <c r="D19" i="4"/>
  <c r="AD18" i="4"/>
  <c r="Y18" i="4"/>
  <c r="T18" i="4"/>
  <c r="V18" i="4" s="1"/>
  <c r="Q18" i="4"/>
  <c r="O18" i="4"/>
  <c r="D18" i="4"/>
  <c r="S18" i="4" s="1"/>
  <c r="J17" i="4"/>
  <c r="I17" i="4"/>
  <c r="I18" i="4" s="1"/>
  <c r="D17" i="4"/>
  <c r="AD16" i="4"/>
  <c r="T16" i="4"/>
  <c r="V16" i="4" s="1"/>
  <c r="S16" i="4"/>
  <c r="Q16" i="4"/>
  <c r="P16" i="4"/>
  <c r="O16" i="4"/>
  <c r="D16" i="4"/>
  <c r="Y16" i="4" s="1"/>
  <c r="J15" i="4"/>
  <c r="I15" i="4"/>
  <c r="I16" i="4" s="1"/>
  <c r="D15" i="4"/>
  <c r="J14" i="4"/>
  <c r="D14" i="4"/>
  <c r="D13" i="4"/>
  <c r="J12" i="4"/>
  <c r="D12" i="4"/>
  <c r="AD11" i="4"/>
  <c r="Y11" i="4"/>
  <c r="T11" i="4"/>
  <c r="V11" i="4" s="1"/>
  <c r="Q11" i="4"/>
  <c r="O11" i="4"/>
  <c r="I11" i="4"/>
  <c r="D11" i="4"/>
  <c r="S11" i="4" s="1"/>
  <c r="I10" i="4"/>
  <c r="D10" i="4"/>
  <c r="J9" i="4"/>
  <c r="D9" i="4"/>
  <c r="D8" i="4"/>
  <c r="AD7" i="4"/>
  <c r="T7" i="4"/>
  <c r="V7" i="4" s="1"/>
  <c r="Q7" i="4"/>
  <c r="O7" i="4"/>
  <c r="D7" i="4"/>
  <c r="J6" i="4"/>
  <c r="I6" i="4"/>
  <c r="I7" i="4" s="1"/>
  <c r="I8" i="4" s="1"/>
  <c r="I9" i="4" s="1"/>
  <c r="D6" i="4"/>
  <c r="J5" i="4"/>
  <c r="D5" i="4"/>
  <c r="AD4" i="4"/>
  <c r="T4" i="4"/>
  <c r="V4" i="4" s="1"/>
  <c r="S4" i="4"/>
  <c r="Q4" i="4"/>
  <c r="O4" i="4"/>
  <c r="I4" i="4"/>
  <c r="D4" i="4"/>
  <c r="P4" i="4" s="1"/>
  <c r="J3" i="4"/>
  <c r="H3" i="4"/>
  <c r="C4" i="4" s="1"/>
  <c r="AD23" i="3"/>
  <c r="T23" i="3"/>
  <c r="V23" i="3" s="1"/>
  <c r="Q23" i="3"/>
  <c r="O23" i="3"/>
  <c r="J23" i="3"/>
  <c r="R23" i="3" s="1"/>
  <c r="AE23" i="3" s="1"/>
  <c r="D23" i="3"/>
  <c r="AD22" i="3"/>
  <c r="U22" i="3"/>
  <c r="T22" i="3"/>
  <c r="V22" i="3" s="1"/>
  <c r="Q22" i="3"/>
  <c r="P22" i="3"/>
  <c r="O22" i="3"/>
  <c r="D22" i="3"/>
  <c r="S22" i="3" s="1"/>
  <c r="C22" i="3"/>
  <c r="H22" i="3" s="1"/>
  <c r="C23" i="3" s="1"/>
  <c r="H23" i="3" s="1"/>
  <c r="AD21" i="3"/>
  <c r="T21" i="3"/>
  <c r="V21" i="3" s="1"/>
  <c r="Q21" i="3"/>
  <c r="O21" i="3"/>
  <c r="I21" i="3"/>
  <c r="I22" i="3" s="1"/>
  <c r="I23" i="3" s="1"/>
  <c r="J20" i="3"/>
  <c r="D20" i="3"/>
  <c r="C20" i="3"/>
  <c r="H20" i="3" s="1"/>
  <c r="D21" i="3" s="1"/>
  <c r="J19" i="3"/>
  <c r="D19" i="3"/>
  <c r="AD18" i="3"/>
  <c r="T18" i="3"/>
  <c r="V18" i="3" s="1"/>
  <c r="S18" i="3"/>
  <c r="U18" i="3" s="1"/>
  <c r="Q18" i="3"/>
  <c r="P18" i="3"/>
  <c r="O18" i="3"/>
  <c r="D18" i="3"/>
  <c r="Y18" i="3" s="1"/>
  <c r="J17" i="3"/>
  <c r="D17" i="3"/>
  <c r="AD16" i="3"/>
  <c r="V16" i="3"/>
  <c r="T16" i="3"/>
  <c r="Q16" i="3"/>
  <c r="O16" i="3"/>
  <c r="D16" i="3"/>
  <c r="Y16" i="3" s="1"/>
  <c r="J15" i="3"/>
  <c r="I15" i="3"/>
  <c r="I16" i="3" s="1"/>
  <c r="I17" i="3" s="1"/>
  <c r="I18" i="3" s="1"/>
  <c r="D15" i="3"/>
  <c r="J14" i="3"/>
  <c r="D14" i="3"/>
  <c r="D13" i="3"/>
  <c r="J12" i="3"/>
  <c r="D12" i="3"/>
  <c r="AD11" i="3"/>
  <c r="Y11" i="3"/>
  <c r="T11" i="3"/>
  <c r="V11" i="3" s="1"/>
  <c r="S11" i="3"/>
  <c r="Q11" i="3"/>
  <c r="O11" i="3"/>
  <c r="D11" i="3"/>
  <c r="P11" i="3" s="1"/>
  <c r="I10" i="3"/>
  <c r="I11" i="3" s="1"/>
  <c r="D10" i="3"/>
  <c r="J9" i="3"/>
  <c r="D9" i="3"/>
  <c r="D8" i="3"/>
  <c r="AD7" i="3"/>
  <c r="V7" i="3"/>
  <c r="T7" i="3"/>
  <c r="Q7" i="3"/>
  <c r="O7" i="3"/>
  <c r="D7" i="3"/>
  <c r="J6" i="3"/>
  <c r="I6" i="3"/>
  <c r="I7" i="3" s="1"/>
  <c r="I8" i="3" s="1"/>
  <c r="I9" i="3" s="1"/>
  <c r="D6" i="3"/>
  <c r="J5" i="3"/>
  <c r="D5" i="3"/>
  <c r="AD4" i="3"/>
  <c r="T4" i="3"/>
  <c r="V4" i="3" s="1"/>
  <c r="S4" i="3"/>
  <c r="U4" i="3" s="1"/>
  <c r="Q4" i="3"/>
  <c r="O4" i="3"/>
  <c r="I4" i="3"/>
  <c r="I5" i="3" s="1"/>
  <c r="D4" i="3"/>
  <c r="J3" i="3"/>
  <c r="H3" i="3"/>
  <c r="C4" i="3" s="1"/>
  <c r="H4" i="3" s="1"/>
  <c r="X4" i="3" s="1"/>
  <c r="Y23" i="2"/>
  <c r="T23" i="2"/>
  <c r="V23" i="2" s="1"/>
  <c r="S23" i="2"/>
  <c r="U23" i="2" s="1"/>
  <c r="Q23" i="2"/>
  <c r="P23" i="2"/>
  <c r="O23" i="2"/>
  <c r="I23" i="2"/>
  <c r="T22" i="2"/>
  <c r="Z22" i="2" s="1"/>
  <c r="AD22" i="2" s="1"/>
  <c r="S22" i="2"/>
  <c r="U22" i="2" s="1"/>
  <c r="Q22" i="2"/>
  <c r="P22" i="2"/>
  <c r="O22" i="2"/>
  <c r="Y22" i="2"/>
  <c r="T21" i="2"/>
  <c r="V21" i="2" s="1"/>
  <c r="Q21" i="2"/>
  <c r="O21" i="2"/>
  <c r="I21" i="2"/>
  <c r="I22" i="2" s="1"/>
  <c r="J20" i="2"/>
  <c r="Y18" i="2"/>
  <c r="T18" i="2"/>
  <c r="V18" i="2" s="1"/>
  <c r="Q18" i="2"/>
  <c r="P18" i="2"/>
  <c r="O18" i="2"/>
  <c r="S18" i="2"/>
  <c r="U18" i="2" s="1"/>
  <c r="J17" i="2"/>
  <c r="T16" i="2"/>
  <c r="V16" i="2" s="1"/>
  <c r="Q16" i="2"/>
  <c r="O16" i="2"/>
  <c r="S16" i="2"/>
  <c r="U16" i="2" s="1"/>
  <c r="J15" i="2"/>
  <c r="I15" i="2"/>
  <c r="I16" i="2" s="1"/>
  <c r="J14" i="2"/>
  <c r="J12" i="2"/>
  <c r="T11" i="2"/>
  <c r="V11" i="2" s="1"/>
  <c r="Q11" i="2"/>
  <c r="O11" i="2"/>
  <c r="I10" i="2"/>
  <c r="I11" i="2" s="1"/>
  <c r="I12" i="2" s="1"/>
  <c r="I13" i="2" s="1"/>
  <c r="I14" i="2" s="1"/>
  <c r="J9" i="2"/>
  <c r="Y7" i="2"/>
  <c r="T7" i="2"/>
  <c r="V7" i="2" s="1"/>
  <c r="S7" i="2"/>
  <c r="U7" i="2" s="1"/>
  <c r="Q7" i="2"/>
  <c r="P7" i="2"/>
  <c r="O7" i="2"/>
  <c r="J6" i="2"/>
  <c r="I6" i="2"/>
  <c r="I7" i="2" s="1"/>
  <c r="I8" i="2" s="1"/>
  <c r="I9" i="2" s="1"/>
  <c r="J5" i="2"/>
  <c r="Y4" i="2"/>
  <c r="T4" i="2"/>
  <c r="V4" i="2" s="1"/>
  <c r="Q4" i="2"/>
  <c r="P4" i="2"/>
  <c r="O4" i="2"/>
  <c r="I4" i="2"/>
  <c r="I5" i="2" s="1"/>
  <c r="S4" i="2"/>
  <c r="U4" i="2" s="1"/>
  <c r="J3" i="2"/>
  <c r="T23" i="1"/>
  <c r="V23" i="1" s="1"/>
  <c r="Q23" i="1"/>
  <c r="O23" i="1"/>
  <c r="D23" i="1"/>
  <c r="P23" i="1" s="1"/>
  <c r="T22" i="1"/>
  <c r="V22" i="1" s="1"/>
  <c r="Q22" i="1"/>
  <c r="O22" i="1"/>
  <c r="I22" i="1"/>
  <c r="I23" i="1" s="1"/>
  <c r="D22" i="1"/>
  <c r="P22" i="1" s="1"/>
  <c r="C22" i="1"/>
  <c r="H22" i="1" s="1"/>
  <c r="C23" i="1" s="1"/>
  <c r="H23" i="1" s="1"/>
  <c r="T21" i="1"/>
  <c r="V21" i="1" s="1"/>
  <c r="Q21" i="1"/>
  <c r="O21" i="1"/>
  <c r="I21" i="1"/>
  <c r="J20" i="1"/>
  <c r="D20" i="1"/>
  <c r="C20" i="1"/>
  <c r="H20" i="1" s="1"/>
  <c r="D21" i="1" s="1"/>
  <c r="J21" i="1" s="1"/>
  <c r="J19" i="1"/>
  <c r="D19" i="1"/>
  <c r="T18" i="1"/>
  <c r="V18" i="1" s="1"/>
  <c r="Q18" i="1"/>
  <c r="O18" i="1"/>
  <c r="D18" i="1"/>
  <c r="Y18" i="1" s="1"/>
  <c r="J17" i="1"/>
  <c r="D17" i="1"/>
  <c r="Y16" i="1"/>
  <c r="T16" i="1"/>
  <c r="V16" i="1" s="1"/>
  <c r="S16" i="1"/>
  <c r="Q16" i="1"/>
  <c r="P16" i="1"/>
  <c r="O16" i="1"/>
  <c r="I16" i="1"/>
  <c r="I17" i="1" s="1"/>
  <c r="I18" i="1" s="1"/>
  <c r="D16" i="1"/>
  <c r="J15" i="1"/>
  <c r="I15" i="1"/>
  <c r="D15" i="1"/>
  <c r="J14" i="1"/>
  <c r="D14" i="1"/>
  <c r="D13" i="1"/>
  <c r="D12" i="1"/>
  <c r="Y11" i="1"/>
  <c r="T11" i="1"/>
  <c r="V11" i="1" s="1"/>
  <c r="S11" i="1"/>
  <c r="Q11" i="1"/>
  <c r="P11" i="1"/>
  <c r="O11" i="1"/>
  <c r="I11" i="1"/>
  <c r="I12" i="1" s="1"/>
  <c r="I13" i="1" s="1"/>
  <c r="I14" i="1" s="1"/>
  <c r="D11" i="1"/>
  <c r="I10" i="1"/>
  <c r="D10" i="1"/>
  <c r="J9" i="1"/>
  <c r="D9" i="1"/>
  <c r="D8" i="1"/>
  <c r="T7" i="1"/>
  <c r="V7" i="1" s="1"/>
  <c r="Q7" i="1"/>
  <c r="O7" i="1"/>
  <c r="J6" i="1"/>
  <c r="I6" i="1"/>
  <c r="I7" i="1" s="1"/>
  <c r="I8" i="1" s="1"/>
  <c r="I9" i="1" s="1"/>
  <c r="D6" i="1"/>
  <c r="J5" i="1"/>
  <c r="D5" i="1"/>
  <c r="T4" i="1"/>
  <c r="V4" i="1" s="1"/>
  <c r="Q4" i="1"/>
  <c r="O4" i="1"/>
  <c r="I4" i="1"/>
  <c r="D4" i="1"/>
  <c r="S4" i="1" s="1"/>
  <c r="J3" i="1"/>
  <c r="H3" i="1"/>
  <c r="C4" i="1" s="1"/>
  <c r="I23" i="10" l="1"/>
  <c r="J23" i="10" s="1"/>
  <c r="R23" i="10" s="1"/>
  <c r="J22" i="10"/>
  <c r="R22" i="10" s="1"/>
  <c r="H4" i="8"/>
  <c r="W4" i="8"/>
  <c r="Y21" i="3"/>
  <c r="S21" i="3"/>
  <c r="U21" i="3" s="1"/>
  <c r="AB23" i="8"/>
  <c r="AF23" i="8" s="1"/>
  <c r="U23" i="8"/>
  <c r="R21" i="1"/>
  <c r="AC21" i="1" s="1"/>
  <c r="K9" i="7"/>
  <c r="V16" i="10"/>
  <c r="Y16" i="10" s="1"/>
  <c r="P7" i="5"/>
  <c r="Y4" i="1"/>
  <c r="Y23" i="1"/>
  <c r="J21" i="3"/>
  <c r="Z11" i="4"/>
  <c r="AF11" i="4" s="1"/>
  <c r="K14" i="7"/>
  <c r="P18" i="8"/>
  <c r="U23" i="11"/>
  <c r="V22" i="2"/>
  <c r="K12" i="7"/>
  <c r="J21" i="11"/>
  <c r="R21" i="11" s="1"/>
  <c r="P4" i="1"/>
  <c r="AD26" i="3"/>
  <c r="I22" i="4"/>
  <c r="S11" i="5"/>
  <c r="AB22" i="10"/>
  <c r="AD22" i="10" s="1"/>
  <c r="AA23" i="10"/>
  <c r="P21" i="11"/>
  <c r="J22" i="11"/>
  <c r="R22" i="11" s="1"/>
  <c r="I5" i="1"/>
  <c r="K17" i="7"/>
  <c r="P11" i="5"/>
  <c r="P11" i="11"/>
  <c r="AA22" i="11"/>
  <c r="B9" i="9"/>
  <c r="S18" i="1"/>
  <c r="U18" i="1" s="1"/>
  <c r="S23" i="1"/>
  <c r="Y22" i="3"/>
  <c r="P23" i="4"/>
  <c r="Y18" i="5"/>
  <c r="AB11" i="8"/>
  <c r="AF11" i="8" s="1"/>
  <c r="U22" i="8"/>
  <c r="Y22" i="8" s="1"/>
  <c r="P18" i="11"/>
  <c r="I34" i="19"/>
  <c r="Y23" i="11"/>
  <c r="K20" i="7"/>
  <c r="Z22" i="3"/>
  <c r="Y4" i="4"/>
  <c r="S21" i="4"/>
  <c r="Z18" i="5"/>
  <c r="AF18" i="5" s="1"/>
  <c r="S22" i="5"/>
  <c r="AA22" i="8"/>
  <c r="AA11" i="11"/>
  <c r="AC18" i="21"/>
  <c r="M1" i="21"/>
  <c r="R16" i="20"/>
  <c r="C18" i="20"/>
  <c r="J17" i="20"/>
  <c r="I30" i="20"/>
  <c r="I31" i="20" s="1"/>
  <c r="I32" i="20" s="1"/>
  <c r="I33" i="20" s="1"/>
  <c r="R16" i="19"/>
  <c r="C18" i="19"/>
  <c r="J17" i="19"/>
  <c r="K1" i="18"/>
  <c r="M1" i="18" s="1"/>
  <c r="P18" i="17"/>
  <c r="U18" i="17"/>
  <c r="T18" i="17"/>
  <c r="V18" i="17" s="1"/>
  <c r="D19" i="17"/>
  <c r="G19" i="17" s="1"/>
  <c r="D20" i="17" s="1"/>
  <c r="G20" i="17" s="1"/>
  <c r="D21" i="17" s="1"/>
  <c r="O18" i="17"/>
  <c r="R11" i="17"/>
  <c r="C14" i="17"/>
  <c r="H14" i="17" s="1"/>
  <c r="C15" i="17" s="1"/>
  <c r="H15" i="17" s="1"/>
  <c r="C16" i="17" s="1"/>
  <c r="J13" i="17"/>
  <c r="R11" i="16"/>
  <c r="C14" i="16"/>
  <c r="H14" i="16" s="1"/>
  <c r="C15" i="16" s="1"/>
  <c r="H15" i="16" s="1"/>
  <c r="C16" i="16" s="1"/>
  <c r="J13" i="16"/>
  <c r="C15" i="15"/>
  <c r="H15" i="15" s="1"/>
  <c r="C16" i="15" s="1"/>
  <c r="H16" i="15" s="1"/>
  <c r="C17" i="15" s="1"/>
  <c r="H17" i="15" s="1"/>
  <c r="J14" i="15"/>
  <c r="I17" i="15"/>
  <c r="I18" i="15" s="1"/>
  <c r="I19" i="15" s="1"/>
  <c r="J13" i="15"/>
  <c r="X7" i="14"/>
  <c r="C8" i="14"/>
  <c r="H8" i="14" s="1"/>
  <c r="J7" i="14"/>
  <c r="I14" i="14"/>
  <c r="I15" i="14" s="1"/>
  <c r="I16" i="14" s="1"/>
  <c r="C6" i="13"/>
  <c r="H6" i="13" s="1"/>
  <c r="C7" i="13" s="1"/>
  <c r="H7" i="13" s="1"/>
  <c r="Z4" i="2"/>
  <c r="AD4" i="2" s="1"/>
  <c r="I20" i="13"/>
  <c r="I21" i="13" s="1"/>
  <c r="AF21" i="13"/>
  <c r="AF22" i="13"/>
  <c r="AE4" i="13"/>
  <c r="AF23" i="12"/>
  <c r="R22" i="12"/>
  <c r="AE22" i="12" s="1"/>
  <c r="AF21" i="12"/>
  <c r="R23" i="12"/>
  <c r="AE23" i="12" s="1"/>
  <c r="H7" i="12"/>
  <c r="R4" i="12"/>
  <c r="J4" i="2"/>
  <c r="R4" i="2" s="1"/>
  <c r="AC4" i="2" s="1"/>
  <c r="J22" i="2"/>
  <c r="W4" i="2"/>
  <c r="I12" i="3"/>
  <c r="I13" i="3" s="1"/>
  <c r="I14" i="3" s="1"/>
  <c r="AF22" i="3"/>
  <c r="J23" i="1"/>
  <c r="C8" i="6"/>
  <c r="H8" i="6" s="1"/>
  <c r="J7" i="6"/>
  <c r="Z16" i="2"/>
  <c r="AD16" i="2" s="1"/>
  <c r="U4" i="1"/>
  <c r="Z4" i="1"/>
  <c r="AD4" i="1" s="1"/>
  <c r="I23" i="4"/>
  <c r="J23" i="4" s="1"/>
  <c r="J22" i="4"/>
  <c r="Y7" i="1"/>
  <c r="P7" i="1"/>
  <c r="K21" i="7"/>
  <c r="P18" i="1"/>
  <c r="S11" i="2"/>
  <c r="Y11" i="2"/>
  <c r="P11" i="2"/>
  <c r="Y16" i="2"/>
  <c r="U11" i="3"/>
  <c r="Z11" i="3"/>
  <c r="AF11" i="3" s="1"/>
  <c r="I19" i="5"/>
  <c r="I20" i="5" s="1"/>
  <c r="J7" i="7"/>
  <c r="C8" i="7"/>
  <c r="H8" i="7" s="1"/>
  <c r="U4" i="4"/>
  <c r="Z4" i="4"/>
  <c r="AF4" i="4" s="1"/>
  <c r="S21" i="1"/>
  <c r="P21" i="1"/>
  <c r="Y21" i="1"/>
  <c r="P16" i="2"/>
  <c r="Z4" i="3"/>
  <c r="AF4" i="3" s="1"/>
  <c r="U16" i="1"/>
  <c r="Z16" i="1"/>
  <c r="AD16" i="1" s="1"/>
  <c r="J26" i="1"/>
  <c r="P4" i="3"/>
  <c r="Y4" i="3"/>
  <c r="I19" i="3"/>
  <c r="I20" i="3" s="1"/>
  <c r="I12" i="4"/>
  <c r="I13" i="4" s="1"/>
  <c r="I14" i="4" s="1"/>
  <c r="H4" i="5"/>
  <c r="W4" i="5" s="1"/>
  <c r="U22" i="11"/>
  <c r="Y22" i="11" s="1"/>
  <c r="AB22" i="11"/>
  <c r="H4" i="4"/>
  <c r="W4" i="4"/>
  <c r="J22" i="1"/>
  <c r="P16" i="3"/>
  <c r="S16" i="3"/>
  <c r="I22" i="6"/>
  <c r="J21" i="6"/>
  <c r="Z21" i="4"/>
  <c r="U21" i="4"/>
  <c r="Z7" i="2"/>
  <c r="AD7" i="2" s="1"/>
  <c r="R21" i="3"/>
  <c r="AE21" i="3" s="1"/>
  <c r="AD26" i="4"/>
  <c r="I19" i="4"/>
  <c r="I20" i="4" s="1"/>
  <c r="C23" i="5"/>
  <c r="H23" i="5" s="1"/>
  <c r="J22" i="5"/>
  <c r="I8" i="11"/>
  <c r="I9" i="11" s="1"/>
  <c r="U11" i="1"/>
  <c r="Z11" i="1"/>
  <c r="AD11" i="1" s="1"/>
  <c r="I19" i="1"/>
  <c r="I20" i="1" s="1"/>
  <c r="Z18" i="3"/>
  <c r="AF18" i="3" s="1"/>
  <c r="AA21" i="8"/>
  <c r="S21" i="8"/>
  <c r="P21" i="8"/>
  <c r="H4" i="1"/>
  <c r="W4" i="1" s="1"/>
  <c r="S7" i="1"/>
  <c r="X4" i="2"/>
  <c r="I17" i="2"/>
  <c r="I18" i="2" s="1"/>
  <c r="Z23" i="2"/>
  <c r="C5" i="3"/>
  <c r="H5" i="3" s="1"/>
  <c r="C6" i="3" s="1"/>
  <c r="H6" i="3" s="1"/>
  <c r="C7" i="3" s="1"/>
  <c r="J22" i="3"/>
  <c r="S4" i="10"/>
  <c r="AA4" i="10"/>
  <c r="P4" i="10"/>
  <c r="S22" i="1"/>
  <c r="W4" i="3"/>
  <c r="Y7" i="4"/>
  <c r="P7" i="4"/>
  <c r="Z18" i="4"/>
  <c r="AF18" i="4" s="1"/>
  <c r="Y16" i="5"/>
  <c r="P16" i="5"/>
  <c r="P11" i="10"/>
  <c r="S11" i="10"/>
  <c r="AA11" i="10"/>
  <c r="AB23" i="10"/>
  <c r="U23" i="10"/>
  <c r="H4" i="11"/>
  <c r="W4" i="11" s="1"/>
  <c r="AB18" i="11"/>
  <c r="U18" i="11"/>
  <c r="Y18" i="11" s="1"/>
  <c r="Y7" i="3"/>
  <c r="P7" i="3"/>
  <c r="S7" i="3"/>
  <c r="Z11" i="5"/>
  <c r="AF11" i="5" s="1"/>
  <c r="U11" i="5"/>
  <c r="J4" i="7"/>
  <c r="P7" i="8"/>
  <c r="S7" i="8"/>
  <c r="AF22" i="8"/>
  <c r="AD16" i="10"/>
  <c r="Y22" i="1"/>
  <c r="J4" i="3"/>
  <c r="P21" i="3"/>
  <c r="S23" i="3"/>
  <c r="P23" i="3"/>
  <c r="Y23" i="3"/>
  <c r="S4" i="5"/>
  <c r="Y4" i="5"/>
  <c r="I12" i="5"/>
  <c r="I13" i="5" s="1"/>
  <c r="I14" i="5" s="1"/>
  <c r="J4" i="6"/>
  <c r="I12" i="7"/>
  <c r="I13" i="7" s="1"/>
  <c r="I14" i="7" s="1"/>
  <c r="J4" i="8"/>
  <c r="J4" i="4"/>
  <c r="I5" i="4"/>
  <c r="S7" i="4"/>
  <c r="U18" i="4"/>
  <c r="S16" i="5"/>
  <c r="I5" i="7"/>
  <c r="U11" i="8"/>
  <c r="U11" i="4"/>
  <c r="Z22" i="4"/>
  <c r="U7" i="5"/>
  <c r="Z7" i="5"/>
  <c r="AF7" i="5" s="1"/>
  <c r="S21" i="5"/>
  <c r="P21" i="5"/>
  <c r="J22" i="8"/>
  <c r="R22" i="8" s="1"/>
  <c r="AE22" i="8" s="1"/>
  <c r="I23" i="8"/>
  <c r="J23" i="8" s="1"/>
  <c r="R23" i="8" s="1"/>
  <c r="AE23" i="8" s="1"/>
  <c r="P7" i="10"/>
  <c r="S7" i="10"/>
  <c r="AA7" i="10"/>
  <c r="I17" i="10"/>
  <c r="I18" i="10" s="1"/>
  <c r="AB18" i="10" s="1"/>
  <c r="S21" i="10"/>
  <c r="AA21" i="10"/>
  <c r="P21" i="10"/>
  <c r="J21" i="10"/>
  <c r="R21" i="10" s="1"/>
  <c r="Y23" i="10"/>
  <c r="P11" i="4"/>
  <c r="P21" i="4"/>
  <c r="S23" i="4"/>
  <c r="J23" i="5"/>
  <c r="Y21" i="5"/>
  <c r="P22" i="5"/>
  <c r="Z23" i="5"/>
  <c r="U23" i="5"/>
  <c r="H4" i="10"/>
  <c r="Z22" i="11"/>
  <c r="U16" i="4"/>
  <c r="Z16" i="4"/>
  <c r="AF16" i="4" s="1"/>
  <c r="J21" i="5"/>
  <c r="P16" i="8"/>
  <c r="S16" i="8"/>
  <c r="AA16" i="8"/>
  <c r="P18" i="4"/>
  <c r="P22" i="4"/>
  <c r="P23" i="5"/>
  <c r="Y23" i="5"/>
  <c r="U18" i="10"/>
  <c r="Y18" i="10" s="1"/>
  <c r="I17" i="11"/>
  <c r="I18" i="11" s="1"/>
  <c r="AD26" i="5"/>
  <c r="I19" i="6"/>
  <c r="I20" i="6" s="1"/>
  <c r="U22" i="10"/>
  <c r="Y22" i="10" s="1"/>
  <c r="U11" i="11"/>
  <c r="Y11" i="11" s="1"/>
  <c r="AB11" i="11"/>
  <c r="U21" i="11"/>
  <c r="Y21" i="11" s="1"/>
  <c r="AB21" i="11"/>
  <c r="X4" i="8"/>
  <c r="C5" i="8"/>
  <c r="H5" i="8" s="1"/>
  <c r="C6" i="8" s="1"/>
  <c r="H6" i="8" s="1"/>
  <c r="C7" i="8" s="1"/>
  <c r="I19" i="8"/>
  <c r="I20" i="8" s="1"/>
  <c r="J23" i="11"/>
  <c r="R23" i="11" s="1"/>
  <c r="J22" i="7"/>
  <c r="P11" i="8"/>
  <c r="AA16" i="10"/>
  <c r="AA22" i="10"/>
  <c r="P23" i="10"/>
  <c r="S7" i="11"/>
  <c r="I5" i="6"/>
  <c r="I17" i="7"/>
  <c r="I18" i="7" s="1"/>
  <c r="Y23" i="8"/>
  <c r="Z22" i="8" s="1"/>
  <c r="J21" i="8"/>
  <c r="R21" i="8" s="1"/>
  <c r="AE21" i="8" s="1"/>
  <c r="J4" i="11"/>
  <c r="R4" i="11" s="1"/>
  <c r="Y11" i="8"/>
  <c r="P4" i="8"/>
  <c r="S18" i="8"/>
  <c r="S4" i="11"/>
  <c r="P16" i="11"/>
  <c r="P23" i="11"/>
  <c r="AA23" i="11"/>
  <c r="AA1" i="11" s="1"/>
  <c r="S4" i="8"/>
  <c r="S16" i="11"/>
  <c r="AH23" i="18" l="1"/>
  <c r="AH21" i="18"/>
  <c r="AH22" i="18"/>
  <c r="Z21" i="3"/>
  <c r="AA1" i="8"/>
  <c r="I35" i="19"/>
  <c r="I36" i="19" s="1"/>
  <c r="Z22" i="5"/>
  <c r="AF22" i="5" s="1"/>
  <c r="U22" i="5"/>
  <c r="Z18" i="11"/>
  <c r="J4" i="1"/>
  <c r="U23" i="1"/>
  <c r="Z23" i="1"/>
  <c r="AD23" i="1" s="1"/>
  <c r="Z21" i="11"/>
  <c r="Z18" i="1"/>
  <c r="AD18" i="1" s="1"/>
  <c r="J16" i="15"/>
  <c r="AE22" i="21"/>
  <c r="AE23" i="21"/>
  <c r="AE21" i="21"/>
  <c r="H18" i="20"/>
  <c r="W18" i="20" s="1"/>
  <c r="I34" i="20"/>
  <c r="AE16" i="20"/>
  <c r="H18" i="19"/>
  <c r="W18" i="19" s="1"/>
  <c r="AE16" i="19"/>
  <c r="J21" i="17"/>
  <c r="R21" i="17" s="1"/>
  <c r="AF21" i="17" s="1"/>
  <c r="S21" i="17"/>
  <c r="P21" i="17"/>
  <c r="AB21" i="17"/>
  <c r="AC18" i="17"/>
  <c r="AG18" i="17" s="1"/>
  <c r="H16" i="17"/>
  <c r="AF11" i="17"/>
  <c r="AC11" i="16"/>
  <c r="H16" i="16"/>
  <c r="W16" i="16" s="1"/>
  <c r="I20" i="15"/>
  <c r="I21" i="15" s="1"/>
  <c r="I22" i="15" s="1"/>
  <c r="I23" i="15" s="1"/>
  <c r="J17" i="15"/>
  <c r="C18" i="15"/>
  <c r="H18" i="15" s="1"/>
  <c r="C19" i="15" s="1"/>
  <c r="H19" i="15" s="1"/>
  <c r="C20" i="15" s="1"/>
  <c r="H20" i="15" s="1"/>
  <c r="C21" i="15" s="1"/>
  <c r="H21" i="15" s="1"/>
  <c r="I17" i="14"/>
  <c r="I18" i="14" s="1"/>
  <c r="Z16" i="14"/>
  <c r="AF16" i="14" s="1"/>
  <c r="R7" i="14"/>
  <c r="C9" i="14"/>
  <c r="H9" i="14" s="1"/>
  <c r="C10" i="14" s="1"/>
  <c r="H10" i="14" s="1"/>
  <c r="J8" i="14"/>
  <c r="W7" i="13"/>
  <c r="I22" i="13"/>
  <c r="AE4" i="12"/>
  <c r="X7" i="12"/>
  <c r="C8" i="12"/>
  <c r="H8" i="12" s="1"/>
  <c r="J7" i="12"/>
  <c r="W7" i="12"/>
  <c r="J23" i="2"/>
  <c r="R23" i="2" s="1"/>
  <c r="AC23" i="2" s="1"/>
  <c r="R23" i="5"/>
  <c r="AE23" i="5" s="1"/>
  <c r="U4" i="8"/>
  <c r="Y4" i="8" s="1"/>
  <c r="Z4" i="8" s="1"/>
  <c r="AB4" i="8"/>
  <c r="AF4" i="8" s="1"/>
  <c r="AD18" i="10"/>
  <c r="I19" i="10"/>
  <c r="I20" i="10" s="1"/>
  <c r="R22" i="2"/>
  <c r="AC22" i="2" s="1"/>
  <c r="K4" i="7"/>
  <c r="R22" i="5"/>
  <c r="AE22" i="5" s="1"/>
  <c r="K21" i="6"/>
  <c r="Z21" i="1"/>
  <c r="U21" i="1"/>
  <c r="K7" i="7"/>
  <c r="C9" i="6"/>
  <c r="H9" i="6" s="1"/>
  <c r="C10" i="6" s="1"/>
  <c r="H10" i="6" s="1"/>
  <c r="C11" i="6" s="1"/>
  <c r="H11" i="6" s="1"/>
  <c r="J8" i="6"/>
  <c r="I19" i="7"/>
  <c r="I20" i="7" s="1"/>
  <c r="U16" i="5"/>
  <c r="Z16" i="5"/>
  <c r="AF16" i="5" s="1"/>
  <c r="Z4" i="5"/>
  <c r="AF4" i="5" s="1"/>
  <c r="U4" i="5"/>
  <c r="X4" i="11"/>
  <c r="C5" i="11"/>
  <c r="H5" i="11" s="1"/>
  <c r="C6" i="11" s="1"/>
  <c r="H6" i="11" s="1"/>
  <c r="C7" i="11" s="1"/>
  <c r="I19" i="2"/>
  <c r="I20" i="2" s="1"/>
  <c r="AB21" i="8"/>
  <c r="U21" i="8"/>
  <c r="Z18" i="2"/>
  <c r="AD18" i="2" s="1"/>
  <c r="I23" i="6"/>
  <c r="J23" i="6" s="1"/>
  <c r="J22" i="6"/>
  <c r="X4" i="4"/>
  <c r="C5" i="4"/>
  <c r="H5" i="4" s="1"/>
  <c r="C6" i="4" s="1"/>
  <c r="H6" i="4" s="1"/>
  <c r="C7" i="4" s="1"/>
  <c r="Z21" i="5"/>
  <c r="U21" i="5"/>
  <c r="Z23" i="4"/>
  <c r="U23" i="4"/>
  <c r="U7" i="10"/>
  <c r="AB7" i="10"/>
  <c r="R22" i="3"/>
  <c r="AE22" i="3" s="1"/>
  <c r="C5" i="10"/>
  <c r="H5" i="10" s="1"/>
  <c r="C6" i="10" s="1"/>
  <c r="H6" i="10" s="1"/>
  <c r="C7" i="10" s="1"/>
  <c r="X4" i="10"/>
  <c r="J4" i="10"/>
  <c r="AB4" i="11"/>
  <c r="U4" i="11"/>
  <c r="Y4" i="11" s="1"/>
  <c r="H7" i="8"/>
  <c r="W7" i="8"/>
  <c r="R21" i="5"/>
  <c r="AE21" i="5" s="1"/>
  <c r="W4" i="10"/>
  <c r="AF22" i="4"/>
  <c r="U7" i="4"/>
  <c r="Z7" i="4"/>
  <c r="AF7" i="4" s="1"/>
  <c r="K4" i="6"/>
  <c r="AA1" i="10"/>
  <c r="H7" i="3"/>
  <c r="U16" i="3"/>
  <c r="Z16" i="3"/>
  <c r="AF16" i="3" s="1"/>
  <c r="X4" i="5"/>
  <c r="J4" i="5"/>
  <c r="C5" i="5"/>
  <c r="H5" i="5" s="1"/>
  <c r="C6" i="5" s="1"/>
  <c r="H6" i="5" s="1"/>
  <c r="C7" i="5" s="1"/>
  <c r="R4" i="8"/>
  <c r="R22" i="4"/>
  <c r="AE22" i="4" s="1"/>
  <c r="Z22" i="10"/>
  <c r="R23" i="1"/>
  <c r="AC23" i="1" s="1"/>
  <c r="Z23" i="3"/>
  <c r="U23" i="3"/>
  <c r="AD23" i="10"/>
  <c r="AF21" i="3"/>
  <c r="U18" i="8"/>
  <c r="Y18" i="8" s="1"/>
  <c r="AB18" i="8"/>
  <c r="AF18" i="8" s="1"/>
  <c r="I19" i="11"/>
  <c r="I20" i="11" s="1"/>
  <c r="AB7" i="8"/>
  <c r="AF7" i="8" s="1"/>
  <c r="U7" i="8"/>
  <c r="U11" i="10"/>
  <c r="AB11" i="10"/>
  <c r="U4" i="10"/>
  <c r="Y4" i="10" s="1"/>
  <c r="AB4" i="10"/>
  <c r="AD23" i="2"/>
  <c r="U16" i="8"/>
  <c r="AB16" i="8"/>
  <c r="AF16" i="8" s="1"/>
  <c r="R23" i="4"/>
  <c r="AE23" i="4" s="1"/>
  <c r="U7" i="3"/>
  <c r="Z7" i="3"/>
  <c r="AF7" i="3" s="1"/>
  <c r="Z7" i="1"/>
  <c r="AD7" i="1" s="1"/>
  <c r="U7" i="1"/>
  <c r="AF21" i="4"/>
  <c r="AB16" i="11"/>
  <c r="U16" i="11"/>
  <c r="U7" i="11"/>
  <c r="AB7" i="11"/>
  <c r="K22" i="7"/>
  <c r="AF23" i="5"/>
  <c r="U21" i="10"/>
  <c r="Y21" i="10" s="1"/>
  <c r="Z18" i="10" s="1"/>
  <c r="AB21" i="10"/>
  <c r="R4" i="4"/>
  <c r="R4" i="3"/>
  <c r="Z22" i="1"/>
  <c r="U22" i="1"/>
  <c r="C5" i="1"/>
  <c r="H5" i="1" s="1"/>
  <c r="C6" i="1" s="1"/>
  <c r="H6" i="1" s="1"/>
  <c r="C7" i="1" s="1"/>
  <c r="X4" i="1"/>
  <c r="R22" i="1"/>
  <c r="AC22" i="1" s="1"/>
  <c r="J8" i="7"/>
  <c r="K8" i="7" s="1"/>
  <c r="C9" i="7"/>
  <c r="H9" i="7" s="1"/>
  <c r="C10" i="7" s="1"/>
  <c r="H10" i="7" s="1"/>
  <c r="C11" i="7" s="1"/>
  <c r="H11" i="7" s="1"/>
  <c r="U11" i="2"/>
  <c r="Z11" i="2"/>
  <c r="AD11" i="2" s="1"/>
  <c r="K7" i="6"/>
  <c r="I37" i="19" l="1"/>
  <c r="Z4" i="11"/>
  <c r="AE18" i="20"/>
  <c r="K1" i="20"/>
  <c r="M1" i="20" s="1"/>
  <c r="I35" i="20"/>
  <c r="I36" i="20" s="1"/>
  <c r="X18" i="20"/>
  <c r="C19" i="20"/>
  <c r="H19" i="20" s="1"/>
  <c r="AE18" i="19"/>
  <c r="K1" i="19"/>
  <c r="M1" i="19" s="1"/>
  <c r="X18" i="19"/>
  <c r="C19" i="19"/>
  <c r="H19" i="19" s="1"/>
  <c r="U21" i="17"/>
  <c r="AC21" i="17"/>
  <c r="AG21" i="17" s="1"/>
  <c r="AA16" i="17"/>
  <c r="C17" i="17"/>
  <c r="H17" i="17" s="1"/>
  <c r="C18" i="17" s="1"/>
  <c r="J16" i="17"/>
  <c r="C17" i="16"/>
  <c r="H17" i="16" s="1"/>
  <c r="C18" i="16" s="1"/>
  <c r="X16" i="16"/>
  <c r="J16" i="16"/>
  <c r="C22" i="15"/>
  <c r="H22" i="15" s="1"/>
  <c r="C23" i="15" s="1"/>
  <c r="H23" i="15" s="1"/>
  <c r="C24" i="15" s="1"/>
  <c r="H24" i="15" s="1"/>
  <c r="C25" i="15" s="1"/>
  <c r="H25" i="15" s="1"/>
  <c r="C26" i="15" s="1"/>
  <c r="H26" i="15" s="1"/>
  <c r="J26" i="15" s="1"/>
  <c r="J21" i="15"/>
  <c r="J19" i="15"/>
  <c r="I24" i="15"/>
  <c r="I25" i="15" s="1"/>
  <c r="AE7" i="14"/>
  <c r="C11" i="14"/>
  <c r="J10" i="14"/>
  <c r="I19" i="14"/>
  <c r="Z18" i="14"/>
  <c r="AF18" i="14" s="1"/>
  <c r="R18" i="14"/>
  <c r="J7" i="13"/>
  <c r="R7" i="13" s="1"/>
  <c r="AE7" i="13" s="1"/>
  <c r="X7" i="13"/>
  <c r="C8" i="13"/>
  <c r="H8" i="13" s="1"/>
  <c r="I23" i="13"/>
  <c r="R22" i="13"/>
  <c r="AE22" i="13" s="1"/>
  <c r="R7" i="12"/>
  <c r="J8" i="12"/>
  <c r="C9" i="12"/>
  <c r="H9" i="12" s="1"/>
  <c r="C10" i="12" s="1"/>
  <c r="H10" i="12" s="1"/>
  <c r="C11" i="12" s="1"/>
  <c r="AE4" i="4"/>
  <c r="Y16" i="8"/>
  <c r="Y7" i="8"/>
  <c r="AE4" i="8"/>
  <c r="X7" i="3"/>
  <c r="C8" i="3"/>
  <c r="H8" i="3" s="1"/>
  <c r="J7" i="3"/>
  <c r="Y7" i="10"/>
  <c r="K23" i="6"/>
  <c r="H7" i="11"/>
  <c r="H7" i="1"/>
  <c r="W7" i="5"/>
  <c r="H7" i="5"/>
  <c r="R4" i="10"/>
  <c r="AF23" i="4"/>
  <c r="K8" i="6"/>
  <c r="H7" i="10"/>
  <c r="AF21" i="8"/>
  <c r="C12" i="6"/>
  <c r="H12" i="6" s="1"/>
  <c r="C13" i="6" s="1"/>
  <c r="H13" i="6" s="1"/>
  <c r="J11" i="6"/>
  <c r="C12" i="7"/>
  <c r="H12" i="7" s="1"/>
  <c r="C13" i="7" s="1"/>
  <c r="H13" i="7" s="1"/>
  <c r="J11" i="7"/>
  <c r="AD4" i="10"/>
  <c r="X7" i="8"/>
  <c r="C8" i="8"/>
  <c r="H8" i="8" s="1"/>
  <c r="J7" i="8"/>
  <c r="AF21" i="5"/>
  <c r="Z21" i="8"/>
  <c r="Y21" i="8"/>
  <c r="Z18" i="8" s="1"/>
  <c r="AF23" i="3"/>
  <c r="AE4" i="3"/>
  <c r="AD21" i="10"/>
  <c r="Y7" i="11"/>
  <c r="AD11" i="10"/>
  <c r="R4" i="1"/>
  <c r="Z21" i="10"/>
  <c r="R4" i="5"/>
  <c r="AD22" i="1"/>
  <c r="Z4" i="10"/>
  <c r="H7" i="4"/>
  <c r="W7" i="4"/>
  <c r="Y16" i="11"/>
  <c r="Y11" i="10"/>
  <c r="W7" i="3"/>
  <c r="AD7" i="10"/>
  <c r="K22" i="6"/>
  <c r="AD21" i="1"/>
  <c r="Z7" i="8" l="1"/>
  <c r="I38" i="19"/>
  <c r="I39" i="19" s="1"/>
  <c r="I37" i="20"/>
  <c r="C20" i="20"/>
  <c r="H20" i="20" s="1"/>
  <c r="C21" i="20" s="1"/>
  <c r="H21" i="20" s="1"/>
  <c r="AG21" i="20" s="1"/>
  <c r="J19" i="20"/>
  <c r="C20" i="19"/>
  <c r="H20" i="19" s="1"/>
  <c r="C21" i="19" s="1"/>
  <c r="H21" i="19" s="1"/>
  <c r="J19" i="19"/>
  <c r="H18" i="17"/>
  <c r="R16" i="17"/>
  <c r="R16" i="16"/>
  <c r="H18" i="16"/>
  <c r="W18" i="16" s="1"/>
  <c r="J23" i="15"/>
  <c r="L3" i="15" s="1"/>
  <c r="L13" i="15"/>
  <c r="P13" i="15" s="1"/>
  <c r="I26" i="15"/>
  <c r="J25" i="15"/>
  <c r="I20" i="14"/>
  <c r="I21" i="14" s="1"/>
  <c r="I22" i="14" s="1"/>
  <c r="H11" i="14"/>
  <c r="W11" i="14" s="1"/>
  <c r="J8" i="13"/>
  <c r="C9" i="13"/>
  <c r="H9" i="13" s="1"/>
  <c r="I24" i="13"/>
  <c r="H11" i="12"/>
  <c r="W11" i="12"/>
  <c r="AE7" i="12"/>
  <c r="AC4" i="1"/>
  <c r="K11" i="6"/>
  <c r="X7" i="1"/>
  <c r="C8" i="1"/>
  <c r="H8" i="1" s="1"/>
  <c r="J7" i="1"/>
  <c r="R7" i="3"/>
  <c r="R7" i="8"/>
  <c r="K11" i="7"/>
  <c r="J8" i="3"/>
  <c r="C9" i="3"/>
  <c r="H9" i="3" s="1"/>
  <c r="C10" i="3" s="1"/>
  <c r="H10" i="3" s="1"/>
  <c r="C11" i="3" s="1"/>
  <c r="C9" i="8"/>
  <c r="H9" i="8" s="1"/>
  <c r="C10" i="8" s="1"/>
  <c r="H10" i="8" s="1"/>
  <c r="C11" i="8" s="1"/>
  <c r="J8" i="8"/>
  <c r="X7" i="10"/>
  <c r="Z7" i="10" s="1"/>
  <c r="C8" i="10"/>
  <c r="H8" i="10" s="1"/>
  <c r="J7" i="10"/>
  <c r="X7" i="11"/>
  <c r="Z7" i="11" s="1"/>
  <c r="C8" i="11"/>
  <c r="H8" i="11" s="1"/>
  <c r="J7" i="11"/>
  <c r="C8" i="4"/>
  <c r="H8" i="4" s="1"/>
  <c r="X7" i="4"/>
  <c r="J7" i="4"/>
  <c r="W7" i="10"/>
  <c r="W7" i="11"/>
  <c r="AE4" i="5"/>
  <c r="C14" i="6"/>
  <c r="H14" i="6" s="1"/>
  <c r="C15" i="6" s="1"/>
  <c r="H15" i="6" s="1"/>
  <c r="C16" i="6" s="1"/>
  <c r="H16" i="6" s="1"/>
  <c r="J13" i="6"/>
  <c r="W7" i="1"/>
  <c r="C14" i="7"/>
  <c r="H14" i="7" s="1"/>
  <c r="C15" i="7" s="1"/>
  <c r="H15" i="7" s="1"/>
  <c r="C16" i="7" s="1"/>
  <c r="H16" i="7" s="1"/>
  <c r="J13" i="7"/>
  <c r="X7" i="5"/>
  <c r="C8" i="5"/>
  <c r="H8" i="5" s="1"/>
  <c r="J7" i="5"/>
  <c r="L18" i="15" l="1"/>
  <c r="I40" i="19"/>
  <c r="L8" i="15"/>
  <c r="P8" i="15" s="1"/>
  <c r="L15" i="15"/>
  <c r="P15" i="15" s="1"/>
  <c r="L17" i="15"/>
  <c r="P17" i="15" s="1"/>
  <c r="C22" i="20"/>
  <c r="H22" i="20" s="1"/>
  <c r="J21" i="20"/>
  <c r="I38" i="20"/>
  <c r="I39" i="20" s="1"/>
  <c r="C22" i="19"/>
  <c r="H22" i="19" s="1"/>
  <c r="J21" i="19"/>
  <c r="AG21" i="19"/>
  <c r="AF16" i="17"/>
  <c r="AA18" i="17"/>
  <c r="C19" i="17"/>
  <c r="J18" i="17"/>
  <c r="X18" i="16"/>
  <c r="C19" i="16"/>
  <c r="J18" i="16"/>
  <c r="AC16" i="16"/>
  <c r="L25" i="15"/>
  <c r="P25" i="15" s="1"/>
  <c r="L10" i="15"/>
  <c r="P10" i="15" s="1"/>
  <c r="L19" i="15"/>
  <c r="P19" i="15" s="1"/>
  <c r="L20" i="15"/>
  <c r="P20" i="15" s="1"/>
  <c r="L23" i="15"/>
  <c r="L4" i="15"/>
  <c r="P4" i="15" s="1"/>
  <c r="L9" i="15"/>
  <c r="P9" i="15" s="1"/>
  <c r="L7" i="15"/>
  <c r="P7" i="15" s="1"/>
  <c r="L12" i="15"/>
  <c r="P12" i="15" s="1"/>
  <c r="L22" i="15"/>
  <c r="P22" i="15" s="1"/>
  <c r="L24" i="15"/>
  <c r="P24" i="15" s="1"/>
  <c r="L6" i="15"/>
  <c r="P6" i="15" s="1"/>
  <c r="L11" i="15"/>
  <c r="L26" i="15"/>
  <c r="P26" i="15" s="1"/>
  <c r="L16" i="15"/>
  <c r="P16" i="15" s="1"/>
  <c r="L5" i="15"/>
  <c r="P5" i="15" s="1"/>
  <c r="L21" i="15"/>
  <c r="P21" i="15" s="1"/>
  <c r="L14" i="15"/>
  <c r="P14" i="15" s="1"/>
  <c r="P18" i="15"/>
  <c r="J2" i="15"/>
  <c r="P23" i="15"/>
  <c r="P11" i="15"/>
  <c r="I23" i="14"/>
  <c r="C12" i="14"/>
  <c r="H12" i="14" s="1"/>
  <c r="J11" i="14"/>
  <c r="X11" i="14"/>
  <c r="C10" i="13"/>
  <c r="H10" i="13" s="1"/>
  <c r="I25" i="13"/>
  <c r="R24" i="13"/>
  <c r="C12" i="12"/>
  <c r="H12" i="12" s="1"/>
  <c r="C13" i="12" s="1"/>
  <c r="H13" i="12" s="1"/>
  <c r="X11" i="12"/>
  <c r="J11" i="12"/>
  <c r="C17" i="6"/>
  <c r="H17" i="6" s="1"/>
  <c r="C18" i="6" s="1"/>
  <c r="H18" i="6" s="1"/>
  <c r="J16" i="6"/>
  <c r="J8" i="4"/>
  <c r="C9" i="4"/>
  <c r="H9" i="4" s="1"/>
  <c r="C10" i="4" s="1"/>
  <c r="H10" i="4" s="1"/>
  <c r="C11" i="4" s="1"/>
  <c r="H11" i="8"/>
  <c r="W11" i="8"/>
  <c r="AE7" i="8"/>
  <c r="AE7" i="3"/>
  <c r="R7" i="11"/>
  <c r="K13" i="7"/>
  <c r="R7" i="4"/>
  <c r="R7" i="1"/>
  <c r="C17" i="7"/>
  <c r="H17" i="7" s="1"/>
  <c r="C18" i="7" s="1"/>
  <c r="H18" i="7" s="1"/>
  <c r="J16" i="7"/>
  <c r="R7" i="10"/>
  <c r="H11" i="3"/>
  <c r="W11" i="3" s="1"/>
  <c r="C9" i="11"/>
  <c r="H9" i="11" s="1"/>
  <c r="C10" i="11" s="1"/>
  <c r="H10" i="11" s="1"/>
  <c r="C11" i="11" s="1"/>
  <c r="J8" i="11"/>
  <c r="J8" i="1"/>
  <c r="C9" i="1"/>
  <c r="H9" i="1" s="1"/>
  <c r="C10" i="1" s="1"/>
  <c r="H10" i="1" s="1"/>
  <c r="C11" i="1" s="1"/>
  <c r="R7" i="5"/>
  <c r="J8" i="5"/>
  <c r="C9" i="5"/>
  <c r="H9" i="5" s="1"/>
  <c r="C10" i="5" s="1"/>
  <c r="H10" i="5" s="1"/>
  <c r="C11" i="5" s="1"/>
  <c r="K13" i="6"/>
  <c r="C9" i="10"/>
  <c r="H9" i="10" s="1"/>
  <c r="C10" i="10" s="1"/>
  <c r="H10" i="10" s="1"/>
  <c r="C11" i="10" s="1"/>
  <c r="J8" i="10"/>
  <c r="I40" i="20" l="1"/>
  <c r="R21" i="20"/>
  <c r="AE21" i="20" s="1"/>
  <c r="C23" i="20"/>
  <c r="H23" i="20" s="1"/>
  <c r="AG22" i="20"/>
  <c r="C23" i="19"/>
  <c r="H23" i="19" s="1"/>
  <c r="AG22" i="19"/>
  <c r="R21" i="19"/>
  <c r="AE21" i="19" s="1"/>
  <c r="R18" i="17"/>
  <c r="K18" i="17"/>
  <c r="K22" i="17"/>
  <c r="K23" i="17"/>
  <c r="S1" i="17"/>
  <c r="K16" i="17"/>
  <c r="K21" i="17"/>
  <c r="K11" i="17"/>
  <c r="K4" i="17"/>
  <c r="K7" i="17"/>
  <c r="J2" i="17"/>
  <c r="R18" i="16"/>
  <c r="K18" i="16"/>
  <c r="K21" i="16"/>
  <c r="K22" i="16"/>
  <c r="K7" i="16"/>
  <c r="K4" i="16"/>
  <c r="J2" i="16"/>
  <c r="K16" i="16"/>
  <c r="K11" i="16"/>
  <c r="S1" i="16"/>
  <c r="K23" i="16"/>
  <c r="C1" i="15"/>
  <c r="G1" i="15" s="1"/>
  <c r="J1" i="15" s="1"/>
  <c r="C13" i="14"/>
  <c r="H13" i="14" s="1"/>
  <c r="C14" i="14" s="1"/>
  <c r="H14" i="14" s="1"/>
  <c r="J12" i="14"/>
  <c r="I24" i="14"/>
  <c r="R11" i="14"/>
  <c r="J10" i="13"/>
  <c r="I26" i="13"/>
  <c r="R11" i="12"/>
  <c r="J13" i="12"/>
  <c r="C14" i="12"/>
  <c r="H14" i="12" s="1"/>
  <c r="C15" i="12" s="1"/>
  <c r="H15" i="12" s="1"/>
  <c r="C16" i="12" s="1"/>
  <c r="X7" i="2"/>
  <c r="J7" i="2"/>
  <c r="R7" i="2" s="1"/>
  <c r="W7" i="2"/>
  <c r="H11" i="10"/>
  <c r="W11" i="10" s="1"/>
  <c r="H11" i="1"/>
  <c r="W11" i="1" s="1"/>
  <c r="AE7" i="4"/>
  <c r="H11" i="11"/>
  <c r="C12" i="8"/>
  <c r="H12" i="8" s="1"/>
  <c r="C13" i="8" s="1"/>
  <c r="H13" i="8" s="1"/>
  <c r="X11" i="8"/>
  <c r="Z11" i="8" s="1"/>
  <c r="J11" i="8"/>
  <c r="C19" i="6"/>
  <c r="J18" i="6"/>
  <c r="J2" i="6" s="1"/>
  <c r="C19" i="7"/>
  <c r="J18" i="7"/>
  <c r="L16" i="7" s="1"/>
  <c r="P16" i="7" s="1"/>
  <c r="AC7" i="1"/>
  <c r="H11" i="5"/>
  <c r="H11" i="4"/>
  <c r="W11" i="4" s="1"/>
  <c r="K16" i="6"/>
  <c r="L23" i="6"/>
  <c r="Q23" i="6" s="1"/>
  <c r="L11" i="6"/>
  <c r="Q11" i="6" s="1"/>
  <c r="AE7" i="5"/>
  <c r="C12" i="3"/>
  <c r="H12" i="3" s="1"/>
  <c r="C13" i="3" s="1"/>
  <c r="H13" i="3" s="1"/>
  <c r="X11" i="3"/>
  <c r="J11" i="3"/>
  <c r="K16" i="7"/>
  <c r="L16" i="6" l="1"/>
  <c r="Q16" i="6" s="1"/>
  <c r="L7" i="6"/>
  <c r="Q7" i="6" s="1"/>
  <c r="J2" i="7"/>
  <c r="L21" i="6"/>
  <c r="Q21" i="6" s="1"/>
  <c r="L4" i="6"/>
  <c r="Q4" i="6" s="1"/>
  <c r="J23" i="20"/>
  <c r="AG23" i="20"/>
  <c r="C24" i="19"/>
  <c r="J23" i="19"/>
  <c r="AG23" i="19"/>
  <c r="AF18" i="17"/>
  <c r="K1" i="17"/>
  <c r="M1" i="17" s="1"/>
  <c r="AC18" i="16"/>
  <c r="K1" i="16"/>
  <c r="M1" i="16" s="1"/>
  <c r="J13" i="14"/>
  <c r="C15" i="14"/>
  <c r="H15" i="14" s="1"/>
  <c r="J14" i="14"/>
  <c r="AE11" i="14"/>
  <c r="I25" i="14"/>
  <c r="C11" i="13"/>
  <c r="H11" i="13" s="1"/>
  <c r="H16" i="12"/>
  <c r="W16" i="12"/>
  <c r="AE11" i="12"/>
  <c r="AC7" i="2"/>
  <c r="X11" i="5"/>
  <c r="C12" i="5"/>
  <c r="H12" i="5" s="1"/>
  <c r="C13" i="5" s="1"/>
  <c r="H13" i="5" s="1"/>
  <c r="J11" i="5"/>
  <c r="C12" i="11"/>
  <c r="H12" i="11" s="1"/>
  <c r="C13" i="11" s="1"/>
  <c r="H13" i="11" s="1"/>
  <c r="J11" i="11"/>
  <c r="X11" i="11"/>
  <c r="Z11" i="11" s="1"/>
  <c r="R11" i="3"/>
  <c r="W11" i="5"/>
  <c r="R11" i="8"/>
  <c r="C14" i="3"/>
  <c r="H14" i="3" s="1"/>
  <c r="C15" i="3" s="1"/>
  <c r="H15" i="3" s="1"/>
  <c r="C16" i="3" s="1"/>
  <c r="J13" i="3"/>
  <c r="C14" i="8"/>
  <c r="H14" i="8" s="1"/>
  <c r="C15" i="8" s="1"/>
  <c r="H15" i="8" s="1"/>
  <c r="C16" i="8" s="1"/>
  <c r="J13" i="8"/>
  <c r="L18" i="7"/>
  <c r="P18" i="7" s="1"/>
  <c r="K18" i="7"/>
  <c r="L23" i="7"/>
  <c r="P23" i="7" s="1"/>
  <c r="L7" i="7"/>
  <c r="P7" i="7" s="1"/>
  <c r="L11" i="7"/>
  <c r="P11" i="7" s="1"/>
  <c r="L4" i="7"/>
  <c r="P4" i="7" s="1"/>
  <c r="L22" i="7"/>
  <c r="P22" i="7" s="1"/>
  <c r="X11" i="10"/>
  <c r="Z11" i="10" s="1"/>
  <c r="C12" i="10"/>
  <c r="H12" i="10" s="1"/>
  <c r="C13" i="10" s="1"/>
  <c r="H13" i="10" s="1"/>
  <c r="J11" i="10"/>
  <c r="L21" i="7"/>
  <c r="P21" i="7" s="1"/>
  <c r="C12" i="4"/>
  <c r="H12" i="4" s="1"/>
  <c r="C13" i="4" s="1"/>
  <c r="H13" i="4" s="1"/>
  <c r="X11" i="4"/>
  <c r="J11" i="4"/>
  <c r="L18" i="6"/>
  <c r="Q18" i="6" s="1"/>
  <c r="K18" i="6"/>
  <c r="L22" i="6"/>
  <c r="Q22" i="6" s="1"/>
  <c r="W11" i="11"/>
  <c r="C12" i="1"/>
  <c r="H12" i="1" s="1"/>
  <c r="C13" i="1" s="1"/>
  <c r="H13" i="1" s="1"/>
  <c r="X11" i="1"/>
  <c r="J11" i="1"/>
  <c r="C1" i="6" l="1"/>
  <c r="G1" i="6" s="1"/>
  <c r="J1" i="6" s="1"/>
  <c r="C1" i="7"/>
  <c r="G1" i="7" s="1"/>
  <c r="J1" i="7" s="1"/>
  <c r="K23" i="20"/>
  <c r="R23" i="20"/>
  <c r="AE23" i="20" s="1"/>
  <c r="S1" i="20"/>
  <c r="K18" i="20"/>
  <c r="K22" i="20"/>
  <c r="K7" i="20"/>
  <c r="K4" i="20"/>
  <c r="K16" i="20"/>
  <c r="K11" i="20"/>
  <c r="K21" i="20"/>
  <c r="H24" i="20"/>
  <c r="W24" i="20" s="1"/>
  <c r="H24" i="19"/>
  <c r="J24" i="19" s="1"/>
  <c r="R24" i="19" s="1"/>
  <c r="R23" i="19"/>
  <c r="AE23" i="19" s="1"/>
  <c r="K23" i="19"/>
  <c r="K22" i="19"/>
  <c r="K18" i="19"/>
  <c r="S1" i="19"/>
  <c r="K4" i="19"/>
  <c r="K7" i="19"/>
  <c r="K11" i="19"/>
  <c r="K16" i="19"/>
  <c r="K21" i="19"/>
  <c r="AH22" i="17"/>
  <c r="AH21" i="17"/>
  <c r="AH23" i="17"/>
  <c r="AE23" i="16"/>
  <c r="AE22" i="16"/>
  <c r="AE21" i="16"/>
  <c r="C16" i="14"/>
  <c r="H16" i="14" s="1"/>
  <c r="W16" i="14" s="1"/>
  <c r="J15" i="14"/>
  <c r="I26" i="14"/>
  <c r="I27" i="14" s="1"/>
  <c r="W11" i="13"/>
  <c r="X16" i="12"/>
  <c r="C17" i="12"/>
  <c r="H17" i="12" s="1"/>
  <c r="C18" i="12" s="1"/>
  <c r="J16" i="12"/>
  <c r="J8" i="2"/>
  <c r="AE11" i="3"/>
  <c r="J13" i="4"/>
  <c r="C14" i="4"/>
  <c r="H14" i="4" s="1"/>
  <c r="C15" i="4" s="1"/>
  <c r="H15" i="4" s="1"/>
  <c r="C16" i="4" s="1"/>
  <c r="C14" i="10"/>
  <c r="H14" i="10" s="1"/>
  <c r="C15" i="10" s="1"/>
  <c r="H15" i="10" s="1"/>
  <c r="C16" i="10" s="1"/>
  <c r="J13" i="10"/>
  <c r="J13" i="11"/>
  <c r="C14" i="11"/>
  <c r="H14" i="11" s="1"/>
  <c r="C15" i="11" s="1"/>
  <c r="H15" i="11" s="1"/>
  <c r="C16" i="11" s="1"/>
  <c r="H16" i="3"/>
  <c r="W16" i="3" s="1"/>
  <c r="R11" i="10"/>
  <c r="R11" i="11"/>
  <c r="R11" i="1"/>
  <c r="AE11" i="8"/>
  <c r="R11" i="5"/>
  <c r="J13" i="5"/>
  <c r="C14" i="5"/>
  <c r="H14" i="5" s="1"/>
  <c r="C15" i="5" s="1"/>
  <c r="H15" i="5" s="1"/>
  <c r="C16" i="5" s="1"/>
  <c r="C14" i="1"/>
  <c r="H14" i="1" s="1"/>
  <c r="C15" i="1" s="1"/>
  <c r="H15" i="1" s="1"/>
  <c r="C16" i="1" s="1"/>
  <c r="J13" i="1"/>
  <c r="R11" i="4"/>
  <c r="H16" i="8"/>
  <c r="W16" i="8" s="1"/>
  <c r="I28" i="14" l="1"/>
  <c r="I29" i="14" s="1"/>
  <c r="X24" i="20"/>
  <c r="C25" i="20"/>
  <c r="H25" i="20" s="1"/>
  <c r="C26" i="20" s="1"/>
  <c r="H26" i="20" s="1"/>
  <c r="J24" i="20"/>
  <c r="K24" i="19"/>
  <c r="C25" i="19"/>
  <c r="H25" i="19" s="1"/>
  <c r="X24" i="19"/>
  <c r="W24" i="19"/>
  <c r="C17" i="14"/>
  <c r="H17" i="14" s="1"/>
  <c r="X16" i="14"/>
  <c r="J16" i="14"/>
  <c r="J11" i="13"/>
  <c r="R11" i="13" s="1"/>
  <c r="AE11" i="13" s="1"/>
  <c r="X11" i="13"/>
  <c r="C12" i="13"/>
  <c r="H12" i="13" s="1"/>
  <c r="H18" i="12"/>
  <c r="W18" i="12" s="1"/>
  <c r="R16" i="12"/>
  <c r="AE11" i="4"/>
  <c r="AC11" i="1"/>
  <c r="H16" i="5"/>
  <c r="W16" i="5" s="1"/>
  <c r="AE11" i="5"/>
  <c r="H16" i="11"/>
  <c r="W16" i="11" s="1"/>
  <c r="H16" i="4"/>
  <c r="W16" i="4" s="1"/>
  <c r="X16" i="8"/>
  <c r="Z16" i="8" s="1"/>
  <c r="C17" i="8"/>
  <c r="H17" i="8" s="1"/>
  <c r="C18" i="8" s="1"/>
  <c r="J16" i="8"/>
  <c r="H16" i="1"/>
  <c r="X16" i="3"/>
  <c r="C17" i="3"/>
  <c r="H17" i="3" s="1"/>
  <c r="C18" i="3" s="1"/>
  <c r="J16" i="3"/>
  <c r="H16" i="10"/>
  <c r="I30" i="14" l="1"/>
  <c r="R24" i="20"/>
  <c r="K24" i="20"/>
  <c r="H27" i="20"/>
  <c r="J26" i="20"/>
  <c r="C26" i="19"/>
  <c r="H26" i="19" s="1"/>
  <c r="J25" i="19"/>
  <c r="R16" i="14"/>
  <c r="C18" i="14"/>
  <c r="J17" i="14"/>
  <c r="C13" i="13"/>
  <c r="H13" i="13" s="1"/>
  <c r="R18" i="13"/>
  <c r="AE16" i="12"/>
  <c r="X18" i="12"/>
  <c r="C19" i="12"/>
  <c r="J18" i="12"/>
  <c r="R16" i="8"/>
  <c r="X16" i="11"/>
  <c r="Z16" i="11" s="1"/>
  <c r="C17" i="11"/>
  <c r="H17" i="11" s="1"/>
  <c r="C18" i="11" s="1"/>
  <c r="J16" i="11"/>
  <c r="R16" i="11" s="1"/>
  <c r="H18" i="8"/>
  <c r="W18" i="8" s="1"/>
  <c r="R16" i="3"/>
  <c r="X16" i="10"/>
  <c r="Z16" i="10" s="1"/>
  <c r="C17" i="10"/>
  <c r="H17" i="10" s="1"/>
  <c r="C18" i="10" s="1"/>
  <c r="J16" i="10"/>
  <c r="R16" i="10" s="1"/>
  <c r="W16" i="10"/>
  <c r="C17" i="1"/>
  <c r="H17" i="1" s="1"/>
  <c r="C18" i="1" s="1"/>
  <c r="X16" i="1"/>
  <c r="J16" i="1"/>
  <c r="W16" i="1"/>
  <c r="H18" i="3"/>
  <c r="W18" i="3" s="1"/>
  <c r="C17" i="4"/>
  <c r="H17" i="4" s="1"/>
  <c r="C18" i="4" s="1"/>
  <c r="X16" i="4"/>
  <c r="J16" i="4"/>
  <c r="X16" i="5"/>
  <c r="C17" i="5"/>
  <c r="H17" i="5" s="1"/>
  <c r="C18" i="5" s="1"/>
  <c r="J16" i="5"/>
  <c r="J26" i="19" l="1"/>
  <c r="C27" i="19"/>
  <c r="H27" i="19" s="1"/>
  <c r="I31" i="14"/>
  <c r="C28" i="20"/>
  <c r="H28" i="20" s="1"/>
  <c r="C29" i="20" s="1"/>
  <c r="H29" i="20" s="1"/>
  <c r="J27" i="20"/>
  <c r="H18" i="14"/>
  <c r="AE16" i="14"/>
  <c r="J13" i="13"/>
  <c r="C14" i="13"/>
  <c r="H14" i="13" s="1"/>
  <c r="K18" i="12"/>
  <c r="R18" i="12"/>
  <c r="J2" i="12"/>
  <c r="K21" i="12"/>
  <c r="S1" i="12"/>
  <c r="K4" i="12"/>
  <c r="K16" i="12"/>
  <c r="K7" i="12"/>
  <c r="K23" i="12"/>
  <c r="K22" i="12"/>
  <c r="K11" i="12"/>
  <c r="X11" i="2"/>
  <c r="J11" i="2"/>
  <c r="W11" i="2"/>
  <c r="AE16" i="3"/>
  <c r="R16" i="5"/>
  <c r="X18" i="8"/>
  <c r="C19" i="8"/>
  <c r="J18" i="8"/>
  <c r="C19" i="3"/>
  <c r="X18" i="3"/>
  <c r="J18" i="3"/>
  <c r="H18" i="11"/>
  <c r="H18" i="5"/>
  <c r="H18" i="10"/>
  <c r="W18" i="10" s="1"/>
  <c r="H18" i="4"/>
  <c r="W18" i="4" s="1"/>
  <c r="R16" i="4"/>
  <c r="R16" i="1"/>
  <c r="H18" i="1"/>
  <c r="W18" i="1" s="1"/>
  <c r="AE16" i="8"/>
  <c r="C28" i="19" l="1"/>
  <c r="H28" i="19" s="1"/>
  <c r="C29" i="19" s="1"/>
  <c r="H29" i="19" s="1"/>
  <c r="J27" i="19"/>
  <c r="C30" i="20"/>
  <c r="H30" i="20" s="1"/>
  <c r="C31" i="20" s="1"/>
  <c r="H31" i="20" s="1"/>
  <c r="J29" i="20"/>
  <c r="X18" i="14"/>
  <c r="C19" i="14"/>
  <c r="H19" i="14" s="1"/>
  <c r="W18" i="14"/>
  <c r="J14" i="13"/>
  <c r="C15" i="13"/>
  <c r="AE18" i="12"/>
  <c r="K1" i="12"/>
  <c r="M1" i="12" s="1"/>
  <c r="R11" i="2"/>
  <c r="AC11" i="2" s="1"/>
  <c r="C19" i="5"/>
  <c r="X18" i="5"/>
  <c r="J18" i="5"/>
  <c r="W18" i="5"/>
  <c r="R18" i="8"/>
  <c r="J2" i="8"/>
  <c r="S1" i="8"/>
  <c r="AE16" i="5"/>
  <c r="X18" i="1"/>
  <c r="C19" i="1"/>
  <c r="J18" i="1"/>
  <c r="X18" i="4"/>
  <c r="C19" i="4"/>
  <c r="J18" i="4"/>
  <c r="C19" i="11"/>
  <c r="X18" i="11"/>
  <c r="J18" i="11"/>
  <c r="R18" i="3"/>
  <c r="K18" i="3"/>
  <c r="K21" i="3"/>
  <c r="K23" i="3"/>
  <c r="K22" i="3"/>
  <c r="K4" i="3"/>
  <c r="S1" i="3"/>
  <c r="K16" i="3"/>
  <c r="J2" i="3"/>
  <c r="K11" i="3"/>
  <c r="K7" i="3"/>
  <c r="W18" i="11"/>
  <c r="AC16" i="1"/>
  <c r="AE16" i="4"/>
  <c r="C19" i="10"/>
  <c r="X18" i="10"/>
  <c r="J18" i="10"/>
  <c r="C30" i="19" l="1"/>
  <c r="H30" i="19" s="1"/>
  <c r="J29" i="19"/>
  <c r="C32" i="20"/>
  <c r="H32" i="20" s="1"/>
  <c r="C33" i="20" s="1"/>
  <c r="H33" i="20" s="1"/>
  <c r="J31" i="20"/>
  <c r="C20" i="14"/>
  <c r="H20" i="14" s="1"/>
  <c r="J19" i="14"/>
  <c r="AE18" i="14"/>
  <c r="K1" i="14"/>
  <c r="M1" i="14" s="1"/>
  <c r="H15" i="13"/>
  <c r="C16" i="13" s="1"/>
  <c r="AG22" i="12"/>
  <c r="AG23" i="12"/>
  <c r="AG21" i="12"/>
  <c r="J13" i="2"/>
  <c r="AE18" i="3"/>
  <c r="K1" i="3"/>
  <c r="M1" i="3" s="1"/>
  <c r="K18" i="1"/>
  <c r="R18" i="1"/>
  <c r="K21" i="1"/>
  <c r="S1" i="1"/>
  <c r="J2" i="1"/>
  <c r="K23" i="1"/>
  <c r="K22" i="1"/>
  <c r="K4" i="1"/>
  <c r="K11" i="1"/>
  <c r="K7" i="1"/>
  <c r="K16" i="1"/>
  <c r="K18" i="5"/>
  <c r="R18" i="5"/>
  <c r="K23" i="5"/>
  <c r="S1" i="5"/>
  <c r="K22" i="5"/>
  <c r="K11" i="5"/>
  <c r="K4" i="5"/>
  <c r="K21" i="5"/>
  <c r="K16" i="5"/>
  <c r="K7" i="5"/>
  <c r="J2" i="5"/>
  <c r="AE18" i="8"/>
  <c r="K1" i="8"/>
  <c r="M1" i="8" s="1"/>
  <c r="R18" i="10"/>
  <c r="K1" i="10" s="1"/>
  <c r="M1" i="10" s="1"/>
  <c r="J2" i="10"/>
  <c r="S1" i="10"/>
  <c r="R18" i="11"/>
  <c r="K1" i="11" s="1"/>
  <c r="M1" i="11" s="1"/>
  <c r="S1" i="11"/>
  <c r="J2" i="11"/>
  <c r="R18" i="4"/>
  <c r="K18" i="4"/>
  <c r="J2" i="4"/>
  <c r="K22" i="4"/>
  <c r="K23" i="4"/>
  <c r="K11" i="4"/>
  <c r="K4" i="4"/>
  <c r="K16" i="4"/>
  <c r="K7" i="4"/>
  <c r="K21" i="4"/>
  <c r="S1" i="4"/>
  <c r="J30" i="19" l="1"/>
  <c r="C31" i="19"/>
  <c r="H31" i="19" s="1"/>
  <c r="H34" i="20"/>
  <c r="J33" i="20"/>
  <c r="C21" i="14"/>
  <c r="H21" i="14" s="1"/>
  <c r="J21" i="14" s="1"/>
  <c r="J20" i="14"/>
  <c r="H16" i="13"/>
  <c r="W16" i="13" s="1"/>
  <c r="AE18" i="4"/>
  <c r="K1" i="4"/>
  <c r="M1" i="4" s="1"/>
  <c r="AG23" i="8"/>
  <c r="AG22" i="8"/>
  <c r="AG21" i="8"/>
  <c r="AE19" i="10"/>
  <c r="AE17" i="10"/>
  <c r="AE12" i="10"/>
  <c r="AE8" i="10"/>
  <c r="AE20" i="10"/>
  <c r="AE14" i="10"/>
  <c r="AE10" i="10"/>
  <c r="AE6" i="10"/>
  <c r="AE15" i="10"/>
  <c r="AE13" i="10"/>
  <c r="AE9" i="10"/>
  <c r="AE5" i="10"/>
  <c r="AE16" i="10"/>
  <c r="AE22" i="10"/>
  <c r="AE18" i="10"/>
  <c r="AE23" i="10"/>
  <c r="AE4" i="10"/>
  <c r="AE7" i="10"/>
  <c r="AE11" i="10"/>
  <c r="AE21" i="10"/>
  <c r="AC23" i="11"/>
  <c r="AC22" i="11"/>
  <c r="AC21" i="11"/>
  <c r="AE18" i="5"/>
  <c r="K1" i="5"/>
  <c r="M1" i="5" s="1"/>
  <c r="AC18" i="1"/>
  <c r="K1" i="1"/>
  <c r="M1" i="1" s="1"/>
  <c r="AG22" i="3"/>
  <c r="AG21" i="3"/>
  <c r="AG23" i="3"/>
  <c r="J31" i="19" l="1"/>
  <c r="C32" i="19"/>
  <c r="H32" i="19" s="1"/>
  <c r="C33" i="19" s="1"/>
  <c r="H33" i="19" s="1"/>
  <c r="C35" i="20"/>
  <c r="H35" i="20" s="1"/>
  <c r="C36" i="20" s="1"/>
  <c r="H36" i="20" s="1"/>
  <c r="J34" i="20"/>
  <c r="AG21" i="14"/>
  <c r="C22" i="14"/>
  <c r="H22" i="14" s="1"/>
  <c r="R21" i="14"/>
  <c r="AE21" i="14" s="1"/>
  <c r="J16" i="13"/>
  <c r="C17" i="13"/>
  <c r="H17" i="13" s="1"/>
  <c r="J17" i="13" s="1"/>
  <c r="X16" i="13"/>
  <c r="C18" i="13"/>
  <c r="H18" i="13" s="1"/>
  <c r="R16" i="13"/>
  <c r="W16" i="2"/>
  <c r="AE23" i="1"/>
  <c r="AE22" i="1"/>
  <c r="AE21" i="1"/>
  <c r="AG22" i="5"/>
  <c r="AG23" i="5"/>
  <c r="AG21" i="5"/>
  <c r="AG22" i="4"/>
  <c r="AG21" i="4"/>
  <c r="AG23" i="4"/>
  <c r="C34" i="19" l="1"/>
  <c r="H34" i="19" s="1"/>
  <c r="J33" i="19"/>
  <c r="H37" i="20"/>
  <c r="J36" i="20"/>
  <c r="C23" i="14"/>
  <c r="AG23" i="14" s="1"/>
  <c r="J22" i="14"/>
  <c r="R22" i="14" s="1"/>
  <c r="AE22" i="14" s="1"/>
  <c r="AG22" i="14"/>
  <c r="AE16" i="13"/>
  <c r="W18" i="13"/>
  <c r="AE18" i="13" s="1"/>
  <c r="X16" i="2"/>
  <c r="J16" i="2"/>
  <c r="C35" i="19" l="1"/>
  <c r="H35" i="19" s="1"/>
  <c r="C36" i="19" s="1"/>
  <c r="H36" i="19" s="1"/>
  <c r="J34" i="19"/>
  <c r="C38" i="20"/>
  <c r="H38" i="20" s="1"/>
  <c r="C39" i="20" s="1"/>
  <c r="H39" i="20" s="1"/>
  <c r="J37" i="20"/>
  <c r="J23" i="14"/>
  <c r="K23" i="14" s="1"/>
  <c r="C24" i="14"/>
  <c r="H24" i="14" s="1"/>
  <c r="K1" i="13"/>
  <c r="M1" i="13" s="1"/>
  <c r="C19" i="13"/>
  <c r="H19" i="13" s="1"/>
  <c r="X18" i="13"/>
  <c r="R16" i="2"/>
  <c r="AC16" i="2" s="1"/>
  <c r="C37" i="19" l="1"/>
  <c r="H37" i="19" s="1"/>
  <c r="J36" i="19"/>
  <c r="H40" i="20"/>
  <c r="J40" i="20" s="1"/>
  <c r="J39" i="20"/>
  <c r="W24" i="14"/>
  <c r="J24" i="14"/>
  <c r="R24" i="14" s="1"/>
  <c r="X24" i="14"/>
  <c r="C25" i="14"/>
  <c r="H25" i="14" s="1"/>
  <c r="C26" i="14" s="1"/>
  <c r="H26" i="14" s="1"/>
  <c r="K18" i="14"/>
  <c r="K16" i="14"/>
  <c r="K22" i="14"/>
  <c r="K7" i="14"/>
  <c r="K21" i="14"/>
  <c r="K4" i="14"/>
  <c r="R23" i="14"/>
  <c r="AE23" i="14" s="1"/>
  <c r="S1" i="14"/>
  <c r="K11" i="14"/>
  <c r="J19" i="13"/>
  <c r="C20" i="13"/>
  <c r="H20" i="13" s="1"/>
  <c r="J18" i="2"/>
  <c r="X18" i="2"/>
  <c r="W18" i="2"/>
  <c r="J26" i="14" l="1"/>
  <c r="C27" i="14"/>
  <c r="H27" i="14" s="1"/>
  <c r="J2" i="20"/>
  <c r="C38" i="19"/>
  <c r="H38" i="19" s="1"/>
  <c r="C39" i="19" s="1"/>
  <c r="H39" i="19" s="1"/>
  <c r="J37" i="19"/>
  <c r="J42" i="20"/>
  <c r="M42" i="20" s="1"/>
  <c r="K24" i="14"/>
  <c r="J25" i="14"/>
  <c r="C21" i="13"/>
  <c r="H21" i="13" s="1"/>
  <c r="R18" i="2"/>
  <c r="K1" i="2" s="1"/>
  <c r="J19" i="2"/>
  <c r="C40" i="19" l="1"/>
  <c r="H40" i="19" s="1"/>
  <c r="J40" i="19" s="1"/>
  <c r="J2" i="19" s="1"/>
  <c r="J39" i="19"/>
  <c r="C28" i="14"/>
  <c r="H28" i="14" s="1"/>
  <c r="C29" i="14" s="1"/>
  <c r="H29" i="14" s="1"/>
  <c r="J27" i="14"/>
  <c r="J21" i="13"/>
  <c r="C22" i="13"/>
  <c r="AH21" i="13"/>
  <c r="J21" i="2"/>
  <c r="Y21" i="2"/>
  <c r="P21" i="2"/>
  <c r="S21" i="2"/>
  <c r="AC18" i="2"/>
  <c r="M1" i="2"/>
  <c r="C30" i="14" l="1"/>
  <c r="H30" i="14" s="1"/>
  <c r="J29" i="14"/>
  <c r="R21" i="13"/>
  <c r="AE21" i="13" s="1"/>
  <c r="H22" i="13"/>
  <c r="AH22" i="13" s="1"/>
  <c r="K18" i="2"/>
  <c r="AE23" i="2"/>
  <c r="AE22" i="2"/>
  <c r="R21" i="2"/>
  <c r="AC21" i="2" s="1"/>
  <c r="K21" i="2"/>
  <c r="K11" i="2"/>
  <c r="K22" i="2"/>
  <c r="S1" i="2"/>
  <c r="J2" i="2"/>
  <c r="K16" i="2"/>
  <c r="K23" i="2"/>
  <c r="Z21" i="2"/>
  <c r="U21" i="2"/>
  <c r="K4" i="2"/>
  <c r="K7" i="2"/>
  <c r="C31" i="14" l="1"/>
  <c r="H31" i="14" s="1"/>
  <c r="J30" i="14"/>
  <c r="C23" i="13"/>
  <c r="H23" i="13" s="1"/>
  <c r="AD21" i="2"/>
  <c r="AE21" i="2"/>
  <c r="C32" i="14" l="1"/>
  <c r="J31" i="14"/>
  <c r="J2" i="14" s="1"/>
  <c r="J23" i="13"/>
  <c r="C24" i="13"/>
  <c r="AH23" i="13"/>
  <c r="R23" i="13" l="1"/>
  <c r="AE23" i="13" s="1"/>
  <c r="K23" i="13"/>
  <c r="K11" i="13"/>
  <c r="K21" i="13"/>
  <c r="K22" i="13"/>
  <c r="K4" i="13"/>
  <c r="K24" i="13"/>
  <c r="S1" i="13"/>
  <c r="K16" i="13"/>
  <c r="K18" i="13"/>
  <c r="K7" i="13"/>
  <c r="H24" i="13"/>
  <c r="W24" i="13" s="1"/>
  <c r="X24" i="13" l="1"/>
  <c r="C25" i="13"/>
  <c r="H25" i="13" s="1"/>
  <c r="C26" i="13" l="1"/>
  <c r="H26" i="13" s="1"/>
  <c r="J26" i="13" s="1"/>
  <c r="J25" i="13"/>
  <c r="J2" i="13" l="1"/>
</calcChain>
</file>

<file path=xl/sharedStrings.xml><?xml version="1.0" encoding="utf-8"?>
<sst xmlns="http://schemas.openxmlformats.org/spreadsheetml/2006/main" count="1293" uniqueCount="96">
  <si>
    <t>network:</t>
  </si>
  <si>
    <t>Dorefanet</t>
  </si>
  <si>
    <t>Fclk (MHz):</t>
  </si>
  <si>
    <t>largest II(no first and last):</t>
  </si>
  <si>
    <t>frames/sec:</t>
  </si>
  <si>
    <t>OI (Ops/byte):</t>
  </si>
  <si>
    <t>layer #</t>
  </si>
  <si>
    <t>type</t>
  </si>
  <si>
    <t>in dim</t>
  </si>
  <si>
    <t>in channels</t>
  </si>
  <si>
    <t>Stride</t>
  </si>
  <si>
    <t>filter dim</t>
  </si>
  <si>
    <t>out channels</t>
  </si>
  <si>
    <t>out dim</t>
  </si>
  <si>
    <t>Parallel</t>
  </si>
  <si>
    <t>% of total</t>
  </si>
  <si>
    <t>SIMD</t>
  </si>
  <si>
    <t>PE</t>
  </si>
  <si>
    <t>MMV</t>
  </si>
  <si>
    <t>TMEM</t>
  </si>
  <si>
    <t>WMEM</t>
  </si>
  <si>
    <t>ops/cyc</t>
  </si>
  <si>
    <t>Est MV cycles</t>
  </si>
  <si>
    <t>matrix width</t>
  </si>
  <si>
    <t>matrix height</t>
  </si>
  <si>
    <t>synapse fold</t>
  </si>
  <si>
    <t>neuron fold</t>
  </si>
  <si>
    <t>SWG total fold</t>
  </si>
  <si>
    <t>SWG no-read</t>
  </si>
  <si>
    <t>layer params [#weights]</t>
  </si>
  <si>
    <t>Memory [#weigths]</t>
  </si>
  <si>
    <t>#Bit per Input</t>
  </si>
  <si>
    <t>#Bit per weigth</t>
  </si>
  <si>
    <t>FPS/Layer</t>
  </si>
  <si>
    <t>Memory [BRAM]</t>
  </si>
  <si>
    <t>Bandwidth [Gbit/s]</t>
  </si>
  <si>
    <t>pad</t>
  </si>
  <si>
    <t>conv</t>
  </si>
  <si>
    <t>split</t>
  </si>
  <si>
    <t>pool</t>
  </si>
  <si>
    <t>merge</t>
  </si>
  <si>
    <t>fc</t>
  </si>
  <si>
    <t>Hardware cost [LUTs]</t>
  </si>
  <si>
    <t>Layer Footprint [LUTs]</t>
  </si>
  <si>
    <t>Average cost/operation [LUT]</t>
  </si>
  <si>
    <t>Max Throughput [Gops/s]</t>
  </si>
  <si>
    <t>Max Frame Rate</t>
  </si>
  <si>
    <t>LUTs per layer</t>
  </si>
  <si>
    <t>Hardware Cost [LUT]</t>
  </si>
  <si>
    <t>out channels_orig</t>
  </si>
  <si>
    <t>KU115 LUTs</t>
  </si>
  <si>
    <t>KU115 Frequency</t>
  </si>
  <si>
    <t>KU115 Utilization</t>
  </si>
  <si>
    <t>Cost of average operation</t>
  </si>
  <si>
    <t>LUTs</t>
  </si>
  <si>
    <t>FLOAT (SP)</t>
  </si>
  <si>
    <t>INT 32b</t>
  </si>
  <si>
    <t>INT 16b</t>
  </si>
  <si>
    <t>INT 8b</t>
  </si>
  <si>
    <t>INT 4b</t>
  </si>
  <si>
    <t>INT 2b</t>
  </si>
  <si>
    <t>INT 1</t>
  </si>
  <si>
    <t>Dorefanet Estimated Cost</t>
  </si>
  <si>
    <t>8x4</t>
  </si>
  <si>
    <t>2x1</t>
  </si>
  <si>
    <t>2x4</t>
  </si>
  <si>
    <t>MV no-read</t>
  </si>
  <si>
    <t>FIFO</t>
  </si>
  <si>
    <t>Input Dim</t>
  </si>
  <si>
    <t>Input Channels</t>
  </si>
  <si>
    <t>Kernel dim</t>
  </si>
  <si>
    <t>Bit/Pixel</t>
  </si>
  <si>
    <t>Output Dim</t>
  </si>
  <si>
    <t>Window Generator [bit]</t>
  </si>
  <si>
    <t>Window Generator [512 words]</t>
  </si>
  <si>
    <t>NO Window generator [bit]</t>
  </si>
  <si>
    <t>NO Window generator [512 words]</t>
  </si>
  <si>
    <t>CIFAR10-full-validpad, maximal FPS</t>
  </si>
  <si>
    <t>params</t>
  </si>
  <si>
    <t>48</t>
  </si>
  <si>
    <t>24</t>
  </si>
  <si>
    <t>32</t>
  </si>
  <si>
    <t>128</t>
  </si>
  <si>
    <t>192</t>
  </si>
  <si>
    <t>384</t>
  </si>
  <si>
    <t>256</t>
  </si>
  <si>
    <t>2744</t>
  </si>
  <si>
    <t>null</t>
  </si>
  <si>
    <t>avg</t>
  </si>
  <si>
    <t>OPS Original</t>
  </si>
  <si>
    <t>Increase</t>
  </si>
  <si>
    <t>giulio</t>
  </si>
  <si>
    <t>additional lines</t>
  </si>
  <si>
    <t>SWG</t>
  </si>
  <si>
    <t>initial lines</t>
  </si>
  <si>
    <t>Initial_buffer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</si>
</sst>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1"/>
      <color rgb="FF7E3794"/>
      <name val="Inconsolata"/>
    </font>
    <font>
      <sz val="11"/>
      <color rgb="FF000000"/>
      <name val="Inconsolata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/>
    <xf numFmtId="0" fontId="2" fillId="0" borderId="0" xfId="0" applyFont="1" applyAlignment="1"/>
    <xf numFmtId="0" fontId="4" fillId="0" borderId="0" xfId="0" applyFont="1" applyAlignment="1"/>
    <xf numFmtId="9" fontId="4" fillId="0" borderId="0" xfId="0" applyNumberFormat="1" applyFont="1" applyAlignment="1"/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2" fillId="2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7" fillId="3" borderId="0" xfId="1" applyAlignment="1">
      <alignment horizontal="right"/>
    </xf>
    <xf numFmtId="0" fontId="0" fillId="0" borderId="0" xfId="0"/>
    <xf numFmtId="0" fontId="7" fillId="3" borderId="0" xfId="1"/>
    <xf numFmtId="0" fontId="2" fillId="5" borderId="0" xfId="0" applyFont="1" applyFill="1" applyAlignment="1">
      <alignment horizontal="right"/>
    </xf>
    <xf numFmtId="0" fontId="2" fillId="5" borderId="0" xfId="0" applyFont="1" applyFill="1" applyAlignment="1"/>
    <xf numFmtId="2" fontId="2" fillId="5" borderId="0" xfId="0" applyNumberFormat="1" applyFont="1" applyFill="1" applyAlignment="1"/>
    <xf numFmtId="0" fontId="0" fillId="5" borderId="0" xfId="0" applyFont="1" applyFill="1" applyAlignment="1"/>
    <xf numFmtId="0" fontId="2" fillId="0" borderId="0" xfId="0" applyFont="1" applyFill="1" applyAlignment="1">
      <alignment horizontal="right"/>
    </xf>
    <xf numFmtId="0" fontId="7" fillId="0" borderId="0" xfId="1" applyFill="1" applyAlignment="1">
      <alignment horizontal="right"/>
    </xf>
    <xf numFmtId="0" fontId="8" fillId="4" borderId="0" xfId="2" applyAlignment="1"/>
    <xf numFmtId="0" fontId="7" fillId="3" borderId="0" xfId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opLeftCell="G1" workbookViewId="0">
      <selection activeCell="Q4" sqref="Q4"/>
    </sheetView>
  </sheetViews>
  <sheetFormatPr defaultColWidth="14.42578125" defaultRowHeight="15.75" customHeight="1"/>
  <cols>
    <col min="1" max="1" width="8.7109375" customWidth="1"/>
    <col min="3" max="3" width="6.85546875" customWidth="1"/>
    <col min="4" max="4" width="11.42578125" customWidth="1"/>
    <col min="9" max="9" width="17.42578125" customWidth="1"/>
    <col min="10" max="10" width="24.42578125" customWidth="1"/>
    <col min="25" max="25" width="22.140625" customWidth="1"/>
    <col min="26" max="26" width="16.85546875" customWidth="1"/>
    <col min="27" max="27" width="16.28515625" customWidth="1"/>
    <col min="28" max="28" width="14.42578125" customWidth="1"/>
    <col min="29" max="31" width="16.42578125" customWidth="1"/>
  </cols>
  <sheetData>
    <row r="1" spans="1:31" ht="15.75" customHeight="1">
      <c r="A1" s="1" t="s">
        <v>0</v>
      </c>
      <c r="B1" s="34" t="s">
        <v>1</v>
      </c>
      <c r="C1" s="35"/>
      <c r="D1" s="35"/>
      <c r="E1" s="35"/>
      <c r="F1" s="35"/>
      <c r="G1" s="1" t="s">
        <v>2</v>
      </c>
      <c r="H1" s="3">
        <v>300</v>
      </c>
      <c r="I1" s="1"/>
      <c r="J1" s="2" t="s">
        <v>3</v>
      </c>
      <c r="K1" s="4">
        <f>MAX(MAX(R4:R20),MAX(W5:W20))</f>
        <v>26244</v>
      </c>
      <c r="L1" s="1" t="s">
        <v>4</v>
      </c>
      <c r="M1" s="4">
        <f>1000000*H1/K1</f>
        <v>11431.184270690443</v>
      </c>
      <c r="N1" s="5"/>
      <c r="O1" s="5"/>
      <c r="P1" s="5"/>
      <c r="Q1" s="5"/>
      <c r="R1" s="1" t="s">
        <v>5</v>
      </c>
      <c r="S1" s="4">
        <f>SUM(J3:J23)/(C3*C3*D3+G23*2)</f>
        <v>25399.752078306934</v>
      </c>
      <c r="T1" s="5"/>
      <c r="U1" s="5"/>
      <c r="V1" s="5"/>
      <c r="W1" s="5"/>
      <c r="X1" s="5"/>
      <c r="Y1" s="6"/>
      <c r="Z1" s="5"/>
      <c r="AA1" s="5"/>
      <c r="AB1" s="5"/>
    </row>
    <row r="2" spans="1:31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SUM(J3:J113)/1000000 &amp;"M"</f>
        <v>ops, total: 3874.256329M</v>
      </c>
      <c r="K2" s="1" t="s">
        <v>15</v>
      </c>
      <c r="L2" s="1" t="s">
        <v>16</v>
      </c>
      <c r="M2" s="1" t="s">
        <v>17</v>
      </c>
      <c r="N2" s="1" t="s">
        <v>18</v>
      </c>
      <c r="O2" s="2" t="s">
        <v>19</v>
      </c>
      <c r="P2" s="2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</row>
    <row r="3" spans="1:31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4">
        <v>1</v>
      </c>
      <c r="V3" s="5"/>
      <c r="W3" s="5"/>
      <c r="X3" s="5"/>
      <c r="Y3" s="5"/>
      <c r="Z3" s="5"/>
      <c r="AA3" s="5"/>
      <c r="AB3" s="5"/>
    </row>
    <row r="4" spans="1:31" ht="15.75" customHeight="1">
      <c r="A4" s="4">
        <v>1</v>
      </c>
      <c r="B4" s="9" t="s">
        <v>37</v>
      </c>
      <c r="C4" s="4">
        <f t="shared" ref="C4:C20" si="1">H3</f>
        <v>227</v>
      </c>
      <c r="D4" s="4">
        <f>G3</f>
        <v>3</v>
      </c>
      <c r="E4" s="3">
        <v>4</v>
      </c>
      <c r="F4" s="3">
        <v>12</v>
      </c>
      <c r="G4" s="3">
        <v>96</v>
      </c>
      <c r="H4" s="4">
        <f>IF(B4="pad", C4+2*F4, IF(B4="pool", C4/F4, IF(OR(B4="conv",B4="fc"), (C4-F4+1)/E4,C4)))</f>
        <v>54</v>
      </c>
      <c r="I4" s="4">
        <f t="shared" ref="I4:I23" si="2">IF(B3="merge", 1, IF(B3="split", 2, I3))</f>
        <v>1</v>
      </c>
      <c r="J4" s="4">
        <f>IF(B4="pad", 0, IF(B4="pool", H4*H4*F4*F4, IF(OR(B4="conv",B4="fc"), I4*2*H4*H4*F4*F4*D4*G4,0)))</f>
        <v>241864704</v>
      </c>
      <c r="K4" s="10">
        <f>J4/SUM(J$4:J$23)*100</f>
        <v>6.2430015377331909</v>
      </c>
      <c r="L4" s="3">
        <v>3</v>
      </c>
      <c r="M4" s="3">
        <v>96</v>
      </c>
      <c r="N4" s="3">
        <v>18</v>
      </c>
      <c r="O4" s="4">
        <f>G4/M4</f>
        <v>1</v>
      </c>
      <c r="P4" s="4">
        <f>F4*F4*D4*G4/(L4*M4)</f>
        <v>144</v>
      </c>
      <c r="Q4" s="4">
        <f>2*L4*M4*N4</f>
        <v>10368</v>
      </c>
      <c r="R4" s="4">
        <f>J4/(Q4*I4)</f>
        <v>23328</v>
      </c>
      <c r="S4" s="4">
        <f>F4*F4*D4</f>
        <v>432</v>
      </c>
      <c r="T4" s="4">
        <f>G4</f>
        <v>96</v>
      </c>
      <c r="U4" s="4">
        <f>S4/L4</f>
        <v>144</v>
      </c>
      <c r="V4" s="4">
        <f>T4/M4</f>
        <v>1</v>
      </c>
      <c r="W4" s="4">
        <f>C4*C4+(F4*F4*H4*H4)/N4</f>
        <v>74857</v>
      </c>
      <c r="X4" s="4">
        <f>F4*F4*H4*H4/N4</f>
        <v>23328</v>
      </c>
      <c r="Y4" s="4">
        <f>D4*F4*F4*G4</f>
        <v>41472</v>
      </c>
      <c r="Z4" s="4">
        <f>S4*T4</f>
        <v>41472</v>
      </c>
      <c r="AA4" s="3">
        <v>8</v>
      </c>
      <c r="AB4" s="3">
        <v>4</v>
      </c>
      <c r="AC4">
        <f>1000000*$H$1/R4</f>
        <v>12860.08230452675</v>
      </c>
      <c r="AD4">
        <f>CEILING(Z4*AB4/18000,1) *M4</f>
        <v>960</v>
      </c>
    </row>
    <row r="5" spans="1:31" ht="15.75" customHeight="1">
      <c r="A5" s="4">
        <v>2</v>
      </c>
      <c r="B5" s="8" t="s">
        <v>38</v>
      </c>
      <c r="C5" s="4">
        <f t="shared" si="1"/>
        <v>54</v>
      </c>
      <c r="D5" s="4">
        <f>G4</f>
        <v>96</v>
      </c>
      <c r="E5" s="3">
        <v>1</v>
      </c>
      <c r="F5" s="4">
        <v>1</v>
      </c>
      <c r="G5" s="3">
        <v>48</v>
      </c>
      <c r="H5" s="4">
        <f>IF(B5="pad", C5+2*F5, IF(B5="pool", C5/F5, IF(OR(B5="conv",B5="fc"), (C5-F5+1)/E5,C5)))</f>
        <v>54</v>
      </c>
      <c r="I5" s="4">
        <f t="shared" si="2"/>
        <v>1</v>
      </c>
      <c r="J5" s="4">
        <f t="shared" si="0"/>
        <v>0</v>
      </c>
      <c r="K5" s="10"/>
      <c r="L5" s="5"/>
      <c r="M5" s="5"/>
      <c r="N5" s="5"/>
      <c r="O5" s="4"/>
      <c r="P5" s="4"/>
      <c r="Q5" s="4"/>
      <c r="R5" s="4"/>
      <c r="S5" s="5"/>
      <c r="T5" s="5"/>
      <c r="U5" s="4"/>
      <c r="V5" s="5"/>
      <c r="W5" s="4"/>
      <c r="X5" s="5"/>
      <c r="Y5" s="5"/>
      <c r="Z5" s="5"/>
      <c r="AA5" s="5"/>
      <c r="AB5" s="5"/>
    </row>
    <row r="6" spans="1:31" ht="15.75" customHeight="1">
      <c r="A6" s="4">
        <v>3</v>
      </c>
      <c r="B6" s="8" t="s">
        <v>36</v>
      </c>
      <c r="C6" s="4">
        <f t="shared" si="1"/>
        <v>54</v>
      </c>
      <c r="D6" s="4">
        <f>G5</f>
        <v>48</v>
      </c>
      <c r="E6" s="3">
        <v>1</v>
      </c>
      <c r="F6" s="3">
        <v>2</v>
      </c>
      <c r="G6" s="3">
        <v>48</v>
      </c>
      <c r="H6" s="4">
        <f>IF(B6="pad", C6+2*F6, IF(B6="pool", C6/F6, IF(OR(B6="conv",B6="fc"), (C6-F6+1)/E6,C6)))</f>
        <v>58</v>
      </c>
      <c r="I6" s="4">
        <f t="shared" si="2"/>
        <v>2</v>
      </c>
      <c r="J6" s="4">
        <f t="shared" si="0"/>
        <v>0</v>
      </c>
      <c r="K6" s="10"/>
      <c r="L6" s="4"/>
      <c r="M6" s="4"/>
      <c r="N6" s="3"/>
      <c r="O6" s="4"/>
      <c r="P6" s="4"/>
      <c r="Q6" s="4"/>
      <c r="R6" s="4"/>
      <c r="S6" s="4"/>
      <c r="T6" s="4"/>
      <c r="U6" s="3"/>
      <c r="V6" s="4"/>
      <c r="W6" s="4"/>
      <c r="X6" s="4"/>
      <c r="Y6" s="4"/>
      <c r="Z6" s="4"/>
      <c r="AA6" s="4"/>
      <c r="AB6" s="4"/>
    </row>
    <row r="7" spans="1:31" ht="15.75" customHeight="1">
      <c r="A7" s="4">
        <v>4</v>
      </c>
      <c r="B7" s="9" t="s">
        <v>37</v>
      </c>
      <c r="C7" s="4">
        <f t="shared" si="1"/>
        <v>58</v>
      </c>
      <c r="D7" s="4">
        <f>G6</f>
        <v>48</v>
      </c>
      <c r="E7" s="3">
        <v>1</v>
      </c>
      <c r="F7" s="3">
        <v>5</v>
      </c>
      <c r="G7" s="4">
        <v>128</v>
      </c>
      <c r="H7" s="4">
        <f>IF(B7="pad", C7+2*F7, IF(B7="pool", C7/F7, IF(OR(B7="conv",B7="fc"), (C7-F7+1)/E7,C7)))</f>
        <v>54</v>
      </c>
      <c r="I7" s="4">
        <f t="shared" si="2"/>
        <v>2</v>
      </c>
      <c r="J7" s="4">
        <f t="shared" si="0"/>
        <v>1791590400</v>
      </c>
      <c r="K7" s="10">
        <f>J7/SUM(J$4:J$23)*100</f>
        <v>46.24445583506067</v>
      </c>
      <c r="L7" s="3">
        <v>48</v>
      </c>
      <c r="M7" s="3">
        <v>64</v>
      </c>
      <c r="N7" s="3">
        <v>6</v>
      </c>
      <c r="O7" s="4">
        <f>G7/M7</f>
        <v>2</v>
      </c>
      <c r="P7" s="4">
        <f>F7*F7*D7*G7/(L7*M7)</f>
        <v>50</v>
      </c>
      <c r="Q7" s="4">
        <f>2*L7*M7*N7</f>
        <v>36864</v>
      </c>
      <c r="R7" s="4">
        <f>J7/(Q7*I7)</f>
        <v>24300</v>
      </c>
      <c r="S7" s="4">
        <f>F7*F7*D7</f>
        <v>1200</v>
      </c>
      <c r="T7" s="4">
        <f>G7</f>
        <v>128</v>
      </c>
      <c r="U7" s="4">
        <f>S7/L7</f>
        <v>25</v>
      </c>
      <c r="V7" s="4">
        <f>T7/M7</f>
        <v>2</v>
      </c>
      <c r="W7" s="4">
        <f>C7*C7+(F7*F7*H7*H7)/N7</f>
        <v>15514</v>
      </c>
      <c r="X7" s="4">
        <f>F7*F7*H7*H7</f>
        <v>72900</v>
      </c>
      <c r="Y7" s="4">
        <f>D7*F7*F7*G7</f>
        <v>153600</v>
      </c>
      <c r="Z7" s="4">
        <f>S7*T7*I7</f>
        <v>307200</v>
      </c>
      <c r="AA7" s="3">
        <v>2</v>
      </c>
      <c r="AB7" s="3">
        <v>1</v>
      </c>
      <c r="AC7">
        <f>1000000*$H$1/MAX(R7,W7)</f>
        <v>12345.679012345679</v>
      </c>
      <c r="AD7">
        <f>CEILING(Z7*AB7/18000,1) *M7</f>
        <v>1152</v>
      </c>
    </row>
    <row r="8" spans="1:31" ht="15.75" customHeight="1">
      <c r="A8" s="4">
        <v>5</v>
      </c>
      <c r="B8" s="9" t="s">
        <v>39</v>
      </c>
      <c r="C8" s="4">
        <f t="shared" si="1"/>
        <v>54</v>
      </c>
      <c r="D8" s="4">
        <f t="shared" ref="D8:D20" si="3">G7</f>
        <v>128</v>
      </c>
      <c r="E8" s="3">
        <v>2</v>
      </c>
      <c r="F8" s="3">
        <v>3</v>
      </c>
      <c r="G8" s="4">
        <v>128</v>
      </c>
      <c r="H8" s="4">
        <f t="shared" ref="H8:H18" si="4">IF(B8="pad", C8+2*F8, IF(B8="pool", C8/E8, IF(OR(B8="conv",B8="fc"), (C8-F8+1)/E8,C8)))</f>
        <v>27</v>
      </c>
      <c r="I8" s="4">
        <f t="shared" si="2"/>
        <v>2</v>
      </c>
      <c r="J8" s="4">
        <f t="shared" si="0"/>
        <v>6561</v>
      </c>
      <c r="K8" s="10"/>
      <c r="L8" s="5"/>
      <c r="M8" s="5"/>
      <c r="N8" s="5"/>
      <c r="O8" s="4"/>
      <c r="P8" s="4"/>
      <c r="Q8" s="4"/>
      <c r="R8" s="4"/>
      <c r="S8" s="5"/>
      <c r="T8" s="5"/>
      <c r="U8" s="4"/>
      <c r="V8" s="5"/>
      <c r="W8" s="4"/>
      <c r="X8" s="5"/>
      <c r="Y8" s="5"/>
      <c r="Z8" s="4"/>
      <c r="AA8" s="5"/>
      <c r="AB8" s="5"/>
    </row>
    <row r="9" spans="1:31" ht="15.75" customHeight="1">
      <c r="A9" s="4">
        <v>6</v>
      </c>
      <c r="B9" s="8" t="s">
        <v>40</v>
      </c>
      <c r="C9" s="4">
        <f t="shared" si="1"/>
        <v>27</v>
      </c>
      <c r="D9" s="4">
        <f t="shared" si="3"/>
        <v>128</v>
      </c>
      <c r="E9" s="3">
        <v>1</v>
      </c>
      <c r="F9" s="4">
        <v>1</v>
      </c>
      <c r="G9" s="3">
        <v>256</v>
      </c>
      <c r="H9" s="4">
        <f t="shared" si="4"/>
        <v>27</v>
      </c>
      <c r="I9" s="4">
        <f t="shared" si="2"/>
        <v>2</v>
      </c>
      <c r="J9" s="4">
        <f t="shared" si="0"/>
        <v>0</v>
      </c>
      <c r="K9" s="10"/>
      <c r="L9" s="5"/>
      <c r="M9" s="5"/>
      <c r="N9" s="5"/>
      <c r="O9" s="4"/>
      <c r="P9" s="4"/>
      <c r="Q9" s="4"/>
      <c r="R9" s="4"/>
      <c r="S9" s="5"/>
      <c r="T9" s="5"/>
      <c r="U9" s="4"/>
      <c r="V9" s="5"/>
      <c r="W9" s="4"/>
      <c r="X9" s="5"/>
      <c r="Y9" s="5"/>
      <c r="Z9" s="4"/>
      <c r="AA9" s="5"/>
      <c r="AB9" s="5"/>
    </row>
    <row r="10" spans="1:31" ht="15.75" customHeight="1">
      <c r="A10" s="4">
        <v>7</v>
      </c>
      <c r="B10" s="8" t="s">
        <v>36</v>
      </c>
      <c r="C10" s="4">
        <f t="shared" si="1"/>
        <v>27</v>
      </c>
      <c r="D10" s="4">
        <f t="shared" si="3"/>
        <v>256</v>
      </c>
      <c r="E10" s="3">
        <v>1</v>
      </c>
      <c r="F10" s="3">
        <v>1</v>
      </c>
      <c r="G10" s="3">
        <v>256</v>
      </c>
      <c r="H10" s="4">
        <f t="shared" si="4"/>
        <v>29</v>
      </c>
      <c r="I10" s="4">
        <f t="shared" si="2"/>
        <v>1</v>
      </c>
      <c r="J10" s="4"/>
      <c r="K10" s="10"/>
      <c r="L10" s="4"/>
      <c r="M10" s="4"/>
      <c r="N10" s="3"/>
      <c r="O10" s="4"/>
      <c r="P10" s="4"/>
      <c r="Q10" s="4"/>
      <c r="R10" s="4"/>
      <c r="S10" s="4"/>
      <c r="T10" s="4"/>
      <c r="U10" s="3"/>
      <c r="V10" s="4"/>
      <c r="W10" s="4"/>
      <c r="X10" s="4"/>
      <c r="Y10" s="4"/>
      <c r="Z10" s="4"/>
      <c r="AA10" s="4"/>
      <c r="AB10" s="4"/>
    </row>
    <row r="11" spans="1:31" ht="15.75" customHeight="1">
      <c r="A11" s="4">
        <v>8</v>
      </c>
      <c r="B11" s="9" t="s">
        <v>37</v>
      </c>
      <c r="C11" s="4">
        <f t="shared" si="1"/>
        <v>29</v>
      </c>
      <c r="D11" s="4">
        <f t="shared" si="3"/>
        <v>256</v>
      </c>
      <c r="E11" s="3">
        <v>1</v>
      </c>
      <c r="F11" s="4">
        <v>3</v>
      </c>
      <c r="G11" s="3">
        <v>384</v>
      </c>
      <c r="H11" s="4">
        <f t="shared" si="4"/>
        <v>27</v>
      </c>
      <c r="I11" s="4">
        <f t="shared" si="2"/>
        <v>1</v>
      </c>
      <c r="J11" s="4">
        <f t="shared" ref="J11:J23" si="5">IF(B11="pad", 0, IF(B11="pool", H11*H11*F11*F11, IF(OR(B11="conv",B11="fc"), I11*2*H11*H11*F11*F11*D11*G11,0)))</f>
        <v>1289945088</v>
      </c>
      <c r="K11" s="10">
        <f>J11/SUM(J$4:J$23)*100</f>
        <v>33.29600820124368</v>
      </c>
      <c r="L11" s="3">
        <v>64</v>
      </c>
      <c r="M11" s="3">
        <v>128</v>
      </c>
      <c r="N11" s="3">
        <v>3</v>
      </c>
      <c r="O11" s="4">
        <f>G11/M11</f>
        <v>3</v>
      </c>
      <c r="P11" s="4">
        <f>F11*F11*D11*G11/(L11*M11)</f>
        <v>108</v>
      </c>
      <c r="Q11" s="4">
        <f>2*L11*M11*N11</f>
        <v>49152</v>
      </c>
      <c r="R11" s="4">
        <f>J11/(Q11*I11)</f>
        <v>26244</v>
      </c>
      <c r="S11" s="4">
        <f>F11*F11*D11</f>
        <v>2304</v>
      </c>
      <c r="T11" s="4">
        <f>G11</f>
        <v>384</v>
      </c>
      <c r="U11" s="4">
        <f>S11/L11</f>
        <v>36</v>
      </c>
      <c r="V11" s="4">
        <f>T11/M11</f>
        <v>3</v>
      </c>
      <c r="W11" s="4">
        <f>C11*C11+(F11*F11*H11*H11)/N11</f>
        <v>3028</v>
      </c>
      <c r="X11" s="4">
        <f>F11*F11*H11*H11</f>
        <v>6561</v>
      </c>
      <c r="Y11" s="4">
        <f>D11*F11*F11*G11</f>
        <v>884736</v>
      </c>
      <c r="Z11" s="4">
        <f>S11*T11*I11</f>
        <v>884736</v>
      </c>
      <c r="AA11" s="3">
        <v>2</v>
      </c>
      <c r="AB11" s="3">
        <v>1</v>
      </c>
      <c r="AC11">
        <f>1000000*$H$1/MAX(R11,W11)</f>
        <v>11431.184270690443</v>
      </c>
      <c r="AD11">
        <f>CEILING(Z11*AB11/18000,1) *M11</f>
        <v>6400</v>
      </c>
    </row>
    <row r="12" spans="1:31" ht="15.75" customHeight="1">
      <c r="A12" s="4">
        <v>9</v>
      </c>
      <c r="B12" s="9" t="s">
        <v>36</v>
      </c>
      <c r="C12" s="4">
        <f t="shared" si="1"/>
        <v>27</v>
      </c>
      <c r="D12" s="4">
        <f t="shared" si="3"/>
        <v>384</v>
      </c>
      <c r="E12" s="3">
        <v>1</v>
      </c>
      <c r="F12" s="3">
        <v>0.5</v>
      </c>
      <c r="G12" s="3">
        <v>384</v>
      </c>
      <c r="H12" s="4">
        <f t="shared" si="4"/>
        <v>28</v>
      </c>
      <c r="I12" s="4">
        <f t="shared" si="2"/>
        <v>1</v>
      </c>
      <c r="J12" s="4">
        <f>IF(B12="pad", 0, IF(B12="pool", H12*H12*F12*F12, IF(OR(B12="conv",B12="fc"), I12*2*H12*H12*F12*F12*D12*G12,0)))</f>
        <v>0</v>
      </c>
      <c r="K12" s="10"/>
      <c r="L12" s="5"/>
      <c r="M12" s="5"/>
      <c r="N12" s="5"/>
      <c r="O12" s="4"/>
      <c r="P12" s="4"/>
      <c r="Q12" s="4"/>
      <c r="R12" s="4"/>
      <c r="S12" s="5"/>
      <c r="T12" s="5"/>
      <c r="U12" s="4"/>
      <c r="V12" s="5"/>
      <c r="W12" s="4"/>
      <c r="X12" s="5"/>
      <c r="Y12" s="5"/>
      <c r="Z12" s="4"/>
      <c r="AA12" s="5"/>
      <c r="AB12" s="5"/>
    </row>
    <row r="13" spans="1:31" ht="15.75" customHeight="1">
      <c r="A13" s="4">
        <v>10</v>
      </c>
      <c r="B13" s="9" t="s">
        <v>39</v>
      </c>
      <c r="C13" s="4">
        <f t="shared" si="1"/>
        <v>28</v>
      </c>
      <c r="D13" s="4">
        <f t="shared" si="3"/>
        <v>384</v>
      </c>
      <c r="E13" s="3">
        <v>2</v>
      </c>
      <c r="F13" s="3">
        <v>3</v>
      </c>
      <c r="G13" s="3">
        <v>384</v>
      </c>
      <c r="H13" s="4">
        <f t="shared" si="4"/>
        <v>14</v>
      </c>
      <c r="I13" s="4">
        <f t="shared" si="2"/>
        <v>1</v>
      </c>
      <c r="J13" s="4">
        <f t="shared" si="5"/>
        <v>1764</v>
      </c>
      <c r="K13" s="10"/>
      <c r="L13" s="5"/>
      <c r="M13" s="5"/>
      <c r="N13" s="5"/>
      <c r="O13" s="4"/>
      <c r="P13" s="4"/>
      <c r="Q13" s="4"/>
      <c r="R13" s="4"/>
      <c r="S13" s="5"/>
      <c r="T13" s="5"/>
      <c r="U13" s="4"/>
      <c r="V13" s="5"/>
      <c r="W13" s="4"/>
      <c r="X13" s="5"/>
      <c r="Y13" s="5"/>
      <c r="Z13" s="4"/>
      <c r="AA13" s="5"/>
      <c r="AB13" s="5"/>
    </row>
    <row r="14" spans="1:31" ht="15.75" customHeight="1">
      <c r="A14" s="4">
        <v>11</v>
      </c>
      <c r="B14" s="8" t="s">
        <v>38</v>
      </c>
      <c r="C14" s="4">
        <f t="shared" si="1"/>
        <v>14</v>
      </c>
      <c r="D14" s="4">
        <f t="shared" si="3"/>
        <v>384</v>
      </c>
      <c r="E14" s="3">
        <v>1</v>
      </c>
      <c r="F14" s="3">
        <v>1</v>
      </c>
      <c r="G14" s="3">
        <v>192</v>
      </c>
      <c r="H14" s="4">
        <f t="shared" si="4"/>
        <v>14</v>
      </c>
      <c r="I14" s="4">
        <f t="shared" si="2"/>
        <v>1</v>
      </c>
      <c r="J14" s="4">
        <f t="shared" si="5"/>
        <v>0</v>
      </c>
      <c r="K14" s="10"/>
      <c r="L14" s="5"/>
      <c r="M14" s="5"/>
      <c r="N14" s="5"/>
      <c r="O14" s="4"/>
      <c r="P14" s="4"/>
      <c r="Q14" s="4"/>
      <c r="R14" s="4"/>
      <c r="S14" s="5"/>
      <c r="T14" s="5"/>
      <c r="U14" s="4"/>
      <c r="V14" s="5"/>
      <c r="W14" s="4"/>
      <c r="X14" s="5"/>
      <c r="Y14" s="5"/>
      <c r="Z14" s="4"/>
      <c r="AA14" s="5"/>
      <c r="AB14" s="5"/>
    </row>
    <row r="15" spans="1:31" ht="15.75" customHeight="1">
      <c r="A15" s="4">
        <v>12</v>
      </c>
      <c r="B15" s="8" t="s">
        <v>36</v>
      </c>
      <c r="C15" s="4">
        <f t="shared" si="1"/>
        <v>14</v>
      </c>
      <c r="D15" s="4">
        <f t="shared" si="3"/>
        <v>192</v>
      </c>
      <c r="E15" s="3">
        <v>1</v>
      </c>
      <c r="F15" s="4">
        <v>1</v>
      </c>
      <c r="G15" s="3">
        <v>192</v>
      </c>
      <c r="H15" s="4">
        <f t="shared" si="4"/>
        <v>16</v>
      </c>
      <c r="I15" s="4">
        <f t="shared" si="2"/>
        <v>2</v>
      </c>
      <c r="J15" s="4">
        <f t="shared" si="5"/>
        <v>0</v>
      </c>
      <c r="K15" s="10"/>
      <c r="L15" s="5"/>
      <c r="M15" s="5"/>
      <c r="N15" s="5"/>
      <c r="O15" s="4"/>
      <c r="P15" s="4"/>
      <c r="Q15" s="4"/>
      <c r="R15" s="4"/>
      <c r="S15" s="5"/>
      <c r="T15" s="5"/>
      <c r="U15" s="4"/>
      <c r="V15" s="5"/>
      <c r="W15" s="4"/>
      <c r="X15" s="5"/>
      <c r="Y15" s="5"/>
      <c r="Z15" s="4"/>
      <c r="AA15" s="5"/>
      <c r="AB15" s="5"/>
    </row>
    <row r="16" spans="1:31" ht="15.75" customHeight="1">
      <c r="A16" s="4">
        <v>13</v>
      </c>
      <c r="B16" s="9" t="s">
        <v>37</v>
      </c>
      <c r="C16" s="4">
        <f t="shared" si="1"/>
        <v>16</v>
      </c>
      <c r="D16" s="4">
        <f t="shared" si="3"/>
        <v>192</v>
      </c>
      <c r="E16" s="3">
        <v>1</v>
      </c>
      <c r="F16" s="4">
        <v>3</v>
      </c>
      <c r="G16" s="3">
        <v>192</v>
      </c>
      <c r="H16" s="4">
        <f t="shared" si="4"/>
        <v>14</v>
      </c>
      <c r="I16" s="4">
        <f t="shared" si="2"/>
        <v>2</v>
      </c>
      <c r="J16" s="4">
        <f t="shared" si="5"/>
        <v>260112384</v>
      </c>
      <c r="K16" s="10">
        <f>J16/SUM(J$4:J$23)*100</f>
        <v>6.7140098842014009</v>
      </c>
      <c r="L16" s="3">
        <v>32</v>
      </c>
      <c r="M16" s="3">
        <v>64</v>
      </c>
      <c r="N16" s="3">
        <v>2</v>
      </c>
      <c r="O16" s="4">
        <f>G16/M16</f>
        <v>3</v>
      </c>
      <c r="P16" s="4">
        <f>F16*F16*D16*G16/(L16*M16)</f>
        <v>162</v>
      </c>
      <c r="Q16" s="4">
        <f>2*L16*M16*N16</f>
        <v>8192</v>
      </c>
      <c r="R16" s="4">
        <f>J16/(Q16*I16)</f>
        <v>15876</v>
      </c>
      <c r="S16" s="4">
        <f>F16*F16*D16</f>
        <v>1728</v>
      </c>
      <c r="T16" s="4">
        <f>G16</f>
        <v>192</v>
      </c>
      <c r="U16" s="4">
        <f>S16/L16</f>
        <v>54</v>
      </c>
      <c r="V16" s="4">
        <f>T16/M16</f>
        <v>3</v>
      </c>
      <c r="W16" s="4">
        <f>C16*C16+(F16*F16*H16*H16)/N16</f>
        <v>1138</v>
      </c>
      <c r="X16" s="4">
        <f>F16*F16*H16*H16</f>
        <v>1764</v>
      </c>
      <c r="Y16" s="4">
        <f>D16*F16*F16*G16</f>
        <v>331776</v>
      </c>
      <c r="Z16" s="4">
        <f>S16*T16*I16</f>
        <v>663552</v>
      </c>
      <c r="AA16" s="3">
        <v>2</v>
      </c>
      <c r="AB16" s="3">
        <v>1</v>
      </c>
      <c r="AC16">
        <f>1000000*$H$1/MAX(R16,W16)</f>
        <v>18896.447467876038</v>
      </c>
      <c r="AD16">
        <f>CEILING(Z16*AB16/18000,1) *M16</f>
        <v>2368</v>
      </c>
    </row>
    <row r="17" spans="1:31" ht="15.75" customHeight="1">
      <c r="A17" s="4">
        <v>14</v>
      </c>
      <c r="B17" s="9" t="s">
        <v>36</v>
      </c>
      <c r="C17" s="4">
        <f t="shared" si="1"/>
        <v>14</v>
      </c>
      <c r="D17" s="4">
        <f t="shared" si="3"/>
        <v>192</v>
      </c>
      <c r="E17" s="3">
        <v>1</v>
      </c>
      <c r="F17" s="4">
        <v>1</v>
      </c>
      <c r="G17" s="3">
        <v>192</v>
      </c>
      <c r="H17" s="4">
        <f t="shared" si="4"/>
        <v>16</v>
      </c>
      <c r="I17" s="4">
        <f t="shared" si="2"/>
        <v>2</v>
      </c>
      <c r="J17" s="4">
        <f t="shared" si="5"/>
        <v>0</v>
      </c>
      <c r="K17" s="10"/>
      <c r="L17" s="5"/>
      <c r="M17" s="5"/>
      <c r="N17" s="5"/>
      <c r="O17" s="4"/>
      <c r="P17" s="4"/>
      <c r="Q17" s="4"/>
      <c r="R17" s="4"/>
      <c r="S17" s="5"/>
      <c r="T17" s="5"/>
      <c r="U17" s="4"/>
      <c r="V17" s="5"/>
      <c r="W17" s="4"/>
      <c r="X17" s="5"/>
      <c r="Y17" s="5"/>
      <c r="Z17" s="4"/>
      <c r="AA17" s="5"/>
      <c r="AB17" s="5"/>
    </row>
    <row r="18" spans="1:31" ht="15.75" customHeight="1">
      <c r="A18" s="4">
        <v>15</v>
      </c>
      <c r="B18" s="9" t="s">
        <v>37</v>
      </c>
      <c r="C18" s="4">
        <f t="shared" si="1"/>
        <v>16</v>
      </c>
      <c r="D18" s="4">
        <f t="shared" si="3"/>
        <v>192</v>
      </c>
      <c r="E18" s="3">
        <v>1</v>
      </c>
      <c r="F18" s="4">
        <v>3</v>
      </c>
      <c r="G18" s="3">
        <v>128</v>
      </c>
      <c r="H18" s="4">
        <f t="shared" si="4"/>
        <v>14</v>
      </c>
      <c r="I18" s="4">
        <f t="shared" si="2"/>
        <v>2</v>
      </c>
      <c r="J18" s="4">
        <f t="shared" si="5"/>
        <v>173408256</v>
      </c>
      <c r="K18" s="10">
        <f>J18/SUM(J$4:J$23)*100</f>
        <v>4.4760065894676009</v>
      </c>
      <c r="L18" s="3">
        <v>32</v>
      </c>
      <c r="M18" s="3">
        <v>32</v>
      </c>
      <c r="N18" s="3">
        <v>2</v>
      </c>
      <c r="O18" s="4">
        <f>G18/M18</f>
        <v>4</v>
      </c>
      <c r="P18" s="4">
        <f>F18*F18*D18*G18/(L18*M18)</f>
        <v>216</v>
      </c>
      <c r="Q18" s="4">
        <f>2*L18*M18*N18</f>
        <v>4096</v>
      </c>
      <c r="R18" s="4">
        <f>J18/(Q18*I18)</f>
        <v>21168</v>
      </c>
      <c r="S18" s="4">
        <f>F18*F18*D18</f>
        <v>1728</v>
      </c>
      <c r="T18" s="4">
        <f>G18</f>
        <v>128</v>
      </c>
      <c r="U18" s="4">
        <f>S18/L18</f>
        <v>54</v>
      </c>
      <c r="V18" s="4">
        <f>T18/M18</f>
        <v>4</v>
      </c>
      <c r="W18" s="4">
        <f>C18*C18+(F18*F18*H18*H18)/N18</f>
        <v>1138</v>
      </c>
      <c r="X18" s="4">
        <f>F18*F18*H18*H18</f>
        <v>1764</v>
      </c>
      <c r="Y18" s="4">
        <f>D18*F18*F18*G18</f>
        <v>221184</v>
      </c>
      <c r="Z18" s="4">
        <f>S18*T18*I18</f>
        <v>442368</v>
      </c>
      <c r="AA18" s="3">
        <v>2</v>
      </c>
      <c r="AB18" s="3">
        <v>1</v>
      </c>
      <c r="AC18">
        <f>1000000*$H$1/MAX(R18,W18)</f>
        <v>14172.33560090703</v>
      </c>
      <c r="AD18">
        <f>CEILING(Z18*AB18/18000,1) *M18</f>
        <v>800</v>
      </c>
    </row>
    <row r="19" spans="1:31" ht="15.75" customHeight="1">
      <c r="A19" s="4">
        <v>16</v>
      </c>
      <c r="B19" s="9" t="s">
        <v>39</v>
      </c>
      <c r="C19" s="4">
        <f t="shared" si="1"/>
        <v>14</v>
      </c>
      <c r="D19" s="4">
        <f t="shared" si="3"/>
        <v>128</v>
      </c>
      <c r="E19" s="3">
        <v>2</v>
      </c>
      <c r="F19" s="3">
        <v>3</v>
      </c>
      <c r="G19" s="3">
        <v>128</v>
      </c>
      <c r="H19" s="3">
        <v>6</v>
      </c>
      <c r="I19" s="4">
        <f t="shared" si="2"/>
        <v>2</v>
      </c>
      <c r="J19" s="4">
        <f t="shared" si="5"/>
        <v>324</v>
      </c>
      <c r="K19" s="10"/>
      <c r="L19" s="5"/>
      <c r="M19" s="5"/>
      <c r="N19" s="5"/>
      <c r="O19" s="4"/>
      <c r="P19" s="4"/>
      <c r="Q19" s="4"/>
      <c r="R19" s="4"/>
      <c r="S19" s="5"/>
      <c r="T19" s="5"/>
      <c r="U19" s="4"/>
      <c r="V19" s="5"/>
      <c r="W19" s="5"/>
      <c r="X19" s="5"/>
      <c r="Y19" s="5"/>
      <c r="Z19" s="5"/>
      <c r="AA19" s="11"/>
      <c r="AB19" s="5"/>
    </row>
    <row r="20" spans="1:31" ht="15.75" customHeight="1">
      <c r="A20" s="4">
        <v>17</v>
      </c>
      <c r="B20" s="8" t="s">
        <v>40</v>
      </c>
      <c r="C20" s="4">
        <f t="shared" si="1"/>
        <v>6</v>
      </c>
      <c r="D20" s="4">
        <f t="shared" si="3"/>
        <v>128</v>
      </c>
      <c r="E20" s="3">
        <v>1</v>
      </c>
      <c r="F20" s="3">
        <v>1</v>
      </c>
      <c r="G20" s="3">
        <v>256</v>
      </c>
      <c r="H20" s="4">
        <f>IF(B20="pad", C20+2*F20, IF(B20="pool", C20/E20, IF(OR(B20="conv",B20="fc"), (C20-F20+1)/E20,C20)))</f>
        <v>6</v>
      </c>
      <c r="I20" s="4">
        <f t="shared" si="2"/>
        <v>2</v>
      </c>
      <c r="J20" s="4">
        <f t="shared" si="5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4"/>
      <c r="Z20" s="4"/>
      <c r="AA20" s="4"/>
      <c r="AB20" s="4"/>
    </row>
    <row r="21" spans="1:31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>
        <v>4096</v>
      </c>
      <c r="H21" s="3">
        <v>1</v>
      </c>
      <c r="I21" s="4">
        <f t="shared" si="2"/>
        <v>1</v>
      </c>
      <c r="J21" s="4">
        <f t="shared" si="5"/>
        <v>75497472</v>
      </c>
      <c r="K21" s="10">
        <f>J21/SUM(J$4:J$23)*100</f>
        <v>1.9487375627614045</v>
      </c>
      <c r="L21" s="3">
        <v>64</v>
      </c>
      <c r="M21" s="3">
        <v>32</v>
      </c>
      <c r="N21" s="4">
        <v>1</v>
      </c>
      <c r="O21" s="4">
        <f>G21/M21</f>
        <v>128</v>
      </c>
      <c r="P21" s="4">
        <f>F21*F21*D21*G21/(L21*M21)</f>
        <v>18432</v>
      </c>
      <c r="Q21" s="4">
        <f>2*L21*M21*N21</f>
        <v>4096</v>
      </c>
      <c r="R21" s="4">
        <f>J21/(Q21*I21)</f>
        <v>18432</v>
      </c>
      <c r="S21" s="4">
        <f>F21*F21*D21</f>
        <v>9216</v>
      </c>
      <c r="T21" s="4">
        <f>G21</f>
        <v>4096</v>
      </c>
      <c r="U21" s="4">
        <f t="shared" ref="U21:V23" si="6">S21/L21</f>
        <v>144</v>
      </c>
      <c r="V21" s="4">
        <f t="shared" si="6"/>
        <v>128</v>
      </c>
      <c r="W21" s="5"/>
      <c r="X21" s="5"/>
      <c r="Y21" s="4">
        <f>D21*F21*F21*G21</f>
        <v>37748736</v>
      </c>
      <c r="Z21" s="4">
        <f>S21*T21</f>
        <v>37748736</v>
      </c>
      <c r="AA21" s="3">
        <v>2</v>
      </c>
      <c r="AB21" s="3">
        <v>1</v>
      </c>
      <c r="AC21">
        <f>1000000*$H$1/MAX(R21,W21)</f>
        <v>16276.041666666666</v>
      </c>
      <c r="AD21">
        <f>CEILING(Z21*AB21/18000,1) *M21</f>
        <v>67136</v>
      </c>
      <c r="AE21">
        <f>Z21*M$1*AB21*H21*H21/(1024*1024*1024)</f>
        <v>401.87757201646087</v>
      </c>
    </row>
    <row r="22" spans="1:31" ht="15.75" customHeight="1">
      <c r="A22" s="4">
        <v>19</v>
      </c>
      <c r="B22" s="9" t="s">
        <v>41</v>
      </c>
      <c r="C22" s="4">
        <f>H21</f>
        <v>1</v>
      </c>
      <c r="D22" s="4">
        <f>G21</f>
        <v>4096</v>
      </c>
      <c r="E22" s="3">
        <v>1</v>
      </c>
      <c r="F22" s="4">
        <v>1</v>
      </c>
      <c r="G22" s="3">
        <v>4096</v>
      </c>
      <c r="H22" s="4">
        <f>IF(B22="pad", C22+2*F22, IF(B22="pool", C22/E22, IF(OR(B22="conv",B22="fc"), (C22-F22+1)/E22,C22)))</f>
        <v>1</v>
      </c>
      <c r="I22" s="4">
        <f t="shared" si="2"/>
        <v>1</v>
      </c>
      <c r="J22" s="4">
        <f t="shared" si="5"/>
        <v>33554432</v>
      </c>
      <c r="K22" s="10">
        <f>J22/SUM(J$4:J$23)*100</f>
        <v>0.86610558344951305</v>
      </c>
      <c r="L22" s="3">
        <v>64</v>
      </c>
      <c r="M22" s="3">
        <v>16</v>
      </c>
      <c r="N22" s="4">
        <v>1</v>
      </c>
      <c r="O22" s="4">
        <f>G22/M22</f>
        <v>256</v>
      </c>
      <c r="P22" s="4">
        <f>F22*F22*D22*G22/(L22*M22)</f>
        <v>16384</v>
      </c>
      <c r="Q22" s="4">
        <f>2*L22*M22*N22</f>
        <v>2048</v>
      </c>
      <c r="R22" s="4">
        <f>J22/(Q22*I22)</f>
        <v>16384</v>
      </c>
      <c r="S22" s="4">
        <f>F22*F22*D22</f>
        <v>4096</v>
      </c>
      <c r="T22" s="4">
        <f>G22</f>
        <v>4096</v>
      </c>
      <c r="U22" s="4">
        <f t="shared" si="6"/>
        <v>64</v>
      </c>
      <c r="V22" s="4">
        <f t="shared" si="6"/>
        <v>256</v>
      </c>
      <c r="W22" s="5"/>
      <c r="X22" s="5"/>
      <c r="Y22" s="4">
        <f>D22*F22*F22*G22</f>
        <v>16777216</v>
      </c>
      <c r="Z22" s="4">
        <f>S22*T22</f>
        <v>16777216</v>
      </c>
      <c r="AA22" s="3">
        <v>2</v>
      </c>
      <c r="AB22" s="3">
        <v>1</v>
      </c>
      <c r="AC22">
        <f>1000000*$H$1/MAX(R22,W22)</f>
        <v>18310.546875</v>
      </c>
      <c r="AD22">
        <f>CEILING(Z22*AB22/18000,1) *M22</f>
        <v>14928</v>
      </c>
      <c r="AE22">
        <f>Z22*M$1*AB22*H22*H22/(1024*1024*1024)</f>
        <v>178.61225422953817</v>
      </c>
    </row>
    <row r="23" spans="1:31" ht="15.75" customHeight="1">
      <c r="A23" s="4">
        <v>20</v>
      </c>
      <c r="B23" s="9" t="s">
        <v>41</v>
      </c>
      <c r="C23" s="4">
        <f>H22</f>
        <v>1</v>
      </c>
      <c r="D23" s="4">
        <f>G22</f>
        <v>4096</v>
      </c>
      <c r="E23" s="3">
        <v>1</v>
      </c>
      <c r="F23" s="4">
        <v>1</v>
      </c>
      <c r="G23" s="3">
        <v>1000</v>
      </c>
      <c r="H23" s="4">
        <f>IF(B23="pad", C23+2*F23, IF(B23="pool", C23/E23, IF(OR(B23="conv",B23="fc"), (C23-F23+1)/E23,C23)))</f>
        <v>1</v>
      </c>
      <c r="I23" s="4">
        <f t="shared" si="2"/>
        <v>1</v>
      </c>
      <c r="J23" s="4">
        <f t="shared" si="5"/>
        <v>8192000</v>
      </c>
      <c r="K23" s="10">
        <f>J23/SUM(J$4:J$23)*100</f>
        <v>0.21145155845935376</v>
      </c>
      <c r="L23" s="3">
        <v>8</v>
      </c>
      <c r="M23" s="3">
        <v>32</v>
      </c>
      <c r="N23" s="4">
        <v>1</v>
      </c>
      <c r="O23" s="4">
        <f>G23/M23</f>
        <v>31.25</v>
      </c>
      <c r="P23" s="4">
        <f>F23*F23*D23*G23/(L23*M23)</f>
        <v>16000</v>
      </c>
      <c r="Q23" s="4">
        <f>2*L23*M23*N23</f>
        <v>512</v>
      </c>
      <c r="R23" s="4">
        <f>J23/(Q23*I23)</f>
        <v>16000</v>
      </c>
      <c r="S23" s="4">
        <f>F23*F23*D23</f>
        <v>4096</v>
      </c>
      <c r="T23" s="4">
        <f>G23</f>
        <v>1000</v>
      </c>
      <c r="U23" s="4">
        <f t="shared" si="6"/>
        <v>512</v>
      </c>
      <c r="V23" s="4">
        <f t="shared" si="6"/>
        <v>31.25</v>
      </c>
      <c r="W23" s="5"/>
      <c r="X23" s="5"/>
      <c r="Y23" s="4">
        <f>D23*F23*F23*G23</f>
        <v>4096000</v>
      </c>
      <c r="Z23" s="4">
        <f>S23*T23</f>
        <v>4096000</v>
      </c>
      <c r="AA23" s="3">
        <v>2</v>
      </c>
      <c r="AB23" s="3">
        <v>4</v>
      </c>
      <c r="AC23">
        <f>1000000*$H$1/MAX(R23,W23)</f>
        <v>18750</v>
      </c>
      <c r="AD23">
        <f>CEILING(Z23*AB23/18000,1) *M23</f>
        <v>29152</v>
      </c>
      <c r="AE23">
        <f>Z23*M$1*AB23*H23*H23/(1024*1024*1024)</f>
        <v>174.42602952103337</v>
      </c>
    </row>
    <row r="26" spans="1:31" ht="15.75" customHeight="1">
      <c r="J26">
        <f>S4*T4*2</f>
        <v>82944</v>
      </c>
    </row>
    <row r="28" spans="1:31" ht="15.75" customHeight="1">
      <c r="H28" s="12"/>
    </row>
    <row r="30" spans="1:31" ht="15.75" customHeight="1">
      <c r="E30" s="12"/>
    </row>
    <row r="31" spans="1:31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opLeftCell="I1" workbookViewId="0">
      <selection activeCell="R38" sqref="N37:R38"/>
    </sheetView>
  </sheetViews>
  <sheetFormatPr defaultColWidth="14.42578125" defaultRowHeight="15.75" customHeight="1"/>
  <cols>
    <col min="1" max="1" width="8.7109375" style="18" customWidth="1"/>
    <col min="2" max="2" width="14.42578125" style="18"/>
    <col min="3" max="3" width="6.85546875" style="18" customWidth="1"/>
    <col min="4" max="4" width="11.42578125" style="18" customWidth="1"/>
    <col min="5" max="8" width="14.42578125" style="18"/>
    <col min="9" max="9" width="17.42578125" style="18" customWidth="1"/>
    <col min="10" max="10" width="24.42578125" style="18" customWidth="1"/>
    <col min="11" max="24" width="14.42578125" style="18"/>
    <col min="25" max="25" width="22.140625" style="18" customWidth="1"/>
    <col min="26" max="26" width="16.85546875" style="18" customWidth="1"/>
    <col min="27" max="27" width="16.28515625" style="18" customWidth="1"/>
    <col min="28" max="28" width="14.42578125" style="18" customWidth="1"/>
    <col min="29" max="29" width="19.85546875" style="18" customWidth="1"/>
    <col min="30" max="30" width="20.85546875" style="18" customWidth="1"/>
    <col min="31" max="33" width="16.42578125" style="18" customWidth="1"/>
    <col min="34" max="16384" width="14.42578125" style="18"/>
  </cols>
  <sheetData>
    <row r="1" spans="1:33" ht="15.75" customHeight="1">
      <c r="A1" s="17" t="s">
        <v>0</v>
      </c>
      <c r="B1" s="34" t="s">
        <v>1</v>
      </c>
      <c r="C1" s="35"/>
      <c r="D1" s="35"/>
      <c r="E1" s="35"/>
      <c r="F1" s="35"/>
      <c r="G1" s="17" t="s">
        <v>2</v>
      </c>
      <c r="H1" s="4">
        <v>300</v>
      </c>
      <c r="I1" s="17"/>
      <c r="J1" s="17" t="s">
        <v>3</v>
      </c>
      <c r="K1" s="4">
        <f>MAX(MAX(R4:R20),MAX(W4:W20))</f>
        <v>52488</v>
      </c>
      <c r="L1" s="17" t="s">
        <v>4</v>
      </c>
      <c r="M1" s="4">
        <f>1000000*H1/K1</f>
        <v>5715.5921353452213</v>
      </c>
      <c r="N1" s="11"/>
      <c r="O1" s="11"/>
      <c r="P1" s="11"/>
      <c r="Q1" s="11"/>
      <c r="R1" s="17" t="s">
        <v>5</v>
      </c>
      <c r="S1" s="4">
        <f>SUM(J3:J23)/(C3*C3*D3+G23*2)</f>
        <v>25399.752078306934</v>
      </c>
      <c r="T1" s="11"/>
      <c r="U1" s="11"/>
      <c r="V1" s="11"/>
      <c r="W1" s="11"/>
      <c r="X1" s="11"/>
      <c r="Y1" s="6"/>
      <c r="Z1" s="11"/>
      <c r="AA1" s="11"/>
      <c r="AB1" s="11"/>
    </row>
    <row r="2" spans="1:33" ht="15.75" customHeight="1">
      <c r="A2" s="17" t="s">
        <v>6</v>
      </c>
      <c r="B2" s="17" t="s">
        <v>7</v>
      </c>
      <c r="C2" s="17" t="s">
        <v>8</v>
      </c>
      <c r="D2" s="17" t="s">
        <v>9</v>
      </c>
      <c r="E2" s="17" t="s">
        <v>10</v>
      </c>
      <c r="F2" s="17" t="s">
        <v>11</v>
      </c>
      <c r="G2" s="17" t="s">
        <v>12</v>
      </c>
      <c r="H2" s="17" t="s">
        <v>13</v>
      </c>
      <c r="I2" s="17" t="s">
        <v>14</v>
      </c>
      <c r="J2" s="17" t="str">
        <f>"ops, total: " &amp; SUM(J3:J113)/1000000 &amp;"M"</f>
        <v>ops, total: 3874.173385M</v>
      </c>
      <c r="K2" s="17" t="s">
        <v>15</v>
      </c>
      <c r="L2" s="17" t="s">
        <v>16</v>
      </c>
      <c r="M2" s="17" t="s">
        <v>17</v>
      </c>
      <c r="N2" s="17" t="s">
        <v>18</v>
      </c>
      <c r="O2" s="17" t="s">
        <v>19</v>
      </c>
      <c r="P2" s="17" t="s">
        <v>20</v>
      </c>
      <c r="Q2" s="17" t="s">
        <v>21</v>
      </c>
      <c r="R2" s="17" t="s">
        <v>22</v>
      </c>
      <c r="S2" s="17" t="s">
        <v>23</v>
      </c>
      <c r="T2" s="17" t="s">
        <v>24</v>
      </c>
      <c r="U2" s="17" t="s">
        <v>25</v>
      </c>
      <c r="V2" s="17" t="s">
        <v>26</v>
      </c>
      <c r="W2" s="17" t="s">
        <v>27</v>
      </c>
      <c r="X2" s="17" t="s">
        <v>28</v>
      </c>
      <c r="Y2" s="17" t="s">
        <v>29</v>
      </c>
      <c r="Z2" s="17" t="s">
        <v>30</v>
      </c>
      <c r="AA2" s="17" t="s">
        <v>31</v>
      </c>
      <c r="AB2" s="17" t="s">
        <v>32</v>
      </c>
      <c r="AC2" s="7" t="s">
        <v>42</v>
      </c>
      <c r="AD2" s="7" t="s">
        <v>43</v>
      </c>
      <c r="AE2" s="7" t="s">
        <v>33</v>
      </c>
      <c r="AF2" s="7" t="s">
        <v>34</v>
      </c>
      <c r="AG2" s="7" t="s">
        <v>35</v>
      </c>
    </row>
    <row r="3" spans="1:33" ht="15.75" customHeight="1">
      <c r="A3" s="4">
        <v>0</v>
      </c>
      <c r="B3" s="11" t="s">
        <v>36</v>
      </c>
      <c r="C3" s="4">
        <v>224</v>
      </c>
      <c r="D3" s="4">
        <v>3</v>
      </c>
      <c r="E3" s="4">
        <v>1</v>
      </c>
      <c r="F3" s="4">
        <v>1.5</v>
      </c>
      <c r="G3" s="4">
        <v>3</v>
      </c>
      <c r="H3" s="4">
        <f>IF(B3="pad", C3+2*F3, IF(B3="pool", C3/F3, IF(OR(B3="conv",B3="fc"), C3-F3+1,C3)))</f>
        <v>227</v>
      </c>
      <c r="I3" s="4">
        <v>1</v>
      </c>
      <c r="J3" s="4">
        <f t="shared" ref="J3:J9" si="0">IF(B3="pad", 0, IF(B3="pool", H3*H3*F3*F3, IF(OR(B3="conv",B3="fc"), I3*2*H3*H3*F3*F3*D3*G3,0)))</f>
        <v>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4">
        <v>1</v>
      </c>
      <c r="V3" s="11"/>
      <c r="W3" s="11"/>
      <c r="X3" s="11"/>
      <c r="Y3" s="11"/>
      <c r="Z3" s="11"/>
      <c r="AA3" s="11"/>
      <c r="AB3" s="11"/>
    </row>
    <row r="4" spans="1:33" ht="15.75" customHeight="1">
      <c r="A4" s="4">
        <v>1</v>
      </c>
      <c r="B4" s="11" t="s">
        <v>37</v>
      </c>
      <c r="C4" s="4">
        <f t="shared" ref="C4:C20" si="1">H3</f>
        <v>227</v>
      </c>
      <c r="D4" s="4">
        <f>G3</f>
        <v>3</v>
      </c>
      <c r="E4" s="4">
        <v>4</v>
      </c>
      <c r="F4" s="4">
        <v>12</v>
      </c>
      <c r="G4" s="4">
        <v>96</v>
      </c>
      <c r="H4" s="4">
        <f>IF(B4="pad", C4+2*F4, IF(B4="pool", C4/F4, IF(OR(B4="conv",B4="fc"), (C4-F4+1)/E4,C4)))</f>
        <v>54</v>
      </c>
      <c r="I4" s="4">
        <f t="shared" ref="I4:I23" si="2">IF(B3="merge", 1, IF(B3="split", 2, I3))</f>
        <v>1</v>
      </c>
      <c r="J4" s="4">
        <f t="shared" si="0"/>
        <v>241864704</v>
      </c>
      <c r="K4" s="10">
        <f>J4/SUM(J$4:J$23)*100</f>
        <v>6.2430015377331909</v>
      </c>
      <c r="L4" s="4">
        <v>3</v>
      </c>
      <c r="M4" s="4">
        <v>96</v>
      </c>
      <c r="N4" s="4">
        <v>9</v>
      </c>
      <c r="O4" s="4">
        <f>G4/M4</f>
        <v>1</v>
      </c>
      <c r="P4" s="4">
        <f>F4*F4*D4*G4/(L4*M4)</f>
        <v>144</v>
      </c>
      <c r="Q4" s="4">
        <f>2*L4*M4*N4</f>
        <v>5184</v>
      </c>
      <c r="R4" s="4">
        <f>J4/(Q4*I4)</f>
        <v>46656</v>
      </c>
      <c r="S4" s="4">
        <f>F4*F4*D4</f>
        <v>432</v>
      </c>
      <c r="T4" s="4">
        <f>G4</f>
        <v>96</v>
      </c>
      <c r="U4" s="4">
        <f>S4/L4</f>
        <v>144</v>
      </c>
      <c r="V4" s="4">
        <f>T4/M4</f>
        <v>1</v>
      </c>
      <c r="W4" s="4">
        <f>C4*24+(F4*F4*H4*H4)/N4</f>
        <v>52104</v>
      </c>
      <c r="X4" s="4">
        <f>F4*F4*H4*H4/N4</f>
        <v>46656</v>
      </c>
      <c r="Y4" s="4">
        <f>D4*F4*F4*G4</f>
        <v>41472</v>
      </c>
      <c r="Z4" s="4">
        <f>S4*T4</f>
        <v>41472</v>
      </c>
      <c r="AA4" s="4">
        <v>8</v>
      </c>
      <c r="AB4" s="4">
        <v>4</v>
      </c>
      <c r="AC4" s="12">
        <v>25.5</v>
      </c>
      <c r="AD4" s="18">
        <f>AC4*L4*M4*N4</f>
        <v>66096</v>
      </c>
      <c r="AE4" s="18">
        <f>1000000*$H$1/R4</f>
        <v>6430.0411522633749</v>
      </c>
      <c r="AF4" s="18">
        <f>CEILING(Z4*AB4/18000,1) *M4</f>
        <v>960</v>
      </c>
    </row>
    <row r="5" spans="1:33" ht="15.75" customHeight="1">
      <c r="A5" s="4">
        <v>2</v>
      </c>
      <c r="B5" s="11" t="s">
        <v>38</v>
      </c>
      <c r="C5" s="4">
        <f t="shared" si="1"/>
        <v>54</v>
      </c>
      <c r="D5" s="4">
        <f>G4</f>
        <v>96</v>
      </c>
      <c r="E5" s="4">
        <v>1</v>
      </c>
      <c r="F5" s="4">
        <v>1</v>
      </c>
      <c r="G5" s="4">
        <v>48</v>
      </c>
      <c r="H5" s="4">
        <f>IF(B5="pad", C5+2*F5, IF(B5="pool", C5/F5, IF(OR(B5="conv",B5="fc"), (C5-F5+1)/E5,C5)))</f>
        <v>54</v>
      </c>
      <c r="I5" s="4">
        <f t="shared" si="2"/>
        <v>1</v>
      </c>
      <c r="J5" s="4">
        <f t="shared" si="0"/>
        <v>0</v>
      </c>
      <c r="K5" s="10"/>
      <c r="L5" s="11"/>
      <c r="M5" s="11"/>
      <c r="N5" s="11"/>
      <c r="O5" s="4"/>
      <c r="P5" s="4"/>
      <c r="Q5" s="4"/>
      <c r="R5" s="4"/>
      <c r="S5" s="11"/>
      <c r="T5" s="11"/>
      <c r="U5" s="4"/>
      <c r="V5" s="11"/>
      <c r="W5" s="4"/>
      <c r="X5" s="11"/>
      <c r="Y5" s="11"/>
      <c r="Z5" s="11"/>
      <c r="AA5" s="11"/>
      <c r="AB5" s="11"/>
    </row>
    <row r="6" spans="1:33" ht="15.75" customHeight="1">
      <c r="A6" s="4">
        <v>3</v>
      </c>
      <c r="B6" s="11" t="s">
        <v>36</v>
      </c>
      <c r="C6" s="4">
        <f t="shared" si="1"/>
        <v>54</v>
      </c>
      <c r="D6" s="4">
        <f>G5</f>
        <v>48</v>
      </c>
      <c r="E6" s="4">
        <v>1</v>
      </c>
      <c r="F6" s="4">
        <v>2</v>
      </c>
      <c r="G6" s="4">
        <v>48</v>
      </c>
      <c r="H6" s="4">
        <f>IF(B6="pad", C6+2*F6, IF(B6="pool", C6/F6, IF(OR(B6="conv",B6="fc"), (C6-F6+1)/E6,C6)))</f>
        <v>58</v>
      </c>
      <c r="I6" s="4">
        <f t="shared" si="2"/>
        <v>2</v>
      </c>
      <c r="J6" s="4">
        <f t="shared" si="0"/>
        <v>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3" ht="15.75" customHeight="1">
      <c r="A7" s="4">
        <v>4</v>
      </c>
      <c r="B7" s="11" t="s">
        <v>37</v>
      </c>
      <c r="C7" s="4">
        <f t="shared" si="1"/>
        <v>58</v>
      </c>
      <c r="D7" s="4">
        <f>G5</f>
        <v>48</v>
      </c>
      <c r="E7" s="4">
        <v>1</v>
      </c>
      <c r="F7" s="4">
        <v>5</v>
      </c>
      <c r="G7" s="4">
        <v>128</v>
      </c>
      <c r="H7" s="4">
        <f>IF(B7="pad", C7+2*F7, IF(B7="pool", C7/F7, IF(OR(B7="conv",B7="fc"), (C7-F7+1)/E7,C7)))</f>
        <v>54</v>
      </c>
      <c r="I7" s="4">
        <f t="shared" si="2"/>
        <v>2</v>
      </c>
      <c r="J7" s="4">
        <f t="shared" si="0"/>
        <v>1791590400</v>
      </c>
      <c r="K7" s="10">
        <f>J7/SUM(J$4:J$23)*100</f>
        <v>46.24445583506067</v>
      </c>
      <c r="L7" s="4">
        <v>48</v>
      </c>
      <c r="M7" s="4">
        <v>64</v>
      </c>
      <c r="N7" s="4">
        <v>3</v>
      </c>
      <c r="O7" s="4">
        <f>G7/M7</f>
        <v>2</v>
      </c>
      <c r="P7" s="4">
        <f>F7*F7*D7*G7/(L7*M7)</f>
        <v>50</v>
      </c>
      <c r="Q7" s="4">
        <f>2*L7*M7*N7</f>
        <v>18432</v>
      </c>
      <c r="R7" s="4">
        <f>J7/(Q7*I7)</f>
        <v>48600</v>
      </c>
      <c r="S7" s="4">
        <f>F7*F7*D7</f>
        <v>1200</v>
      </c>
      <c r="T7" s="4">
        <f>G7</f>
        <v>128</v>
      </c>
      <c r="U7" s="4">
        <f>S7/L7</f>
        <v>25</v>
      </c>
      <c r="V7" s="4">
        <f>T7/M7</f>
        <v>2</v>
      </c>
      <c r="W7" s="4">
        <f>C7*C7+(F7*F7*H7*H7)/N7</f>
        <v>27664</v>
      </c>
      <c r="X7" s="4">
        <f>F7*F7*H7*H7</f>
        <v>72900</v>
      </c>
      <c r="Y7" s="4">
        <f>D7*F7*F7*G7</f>
        <v>153600</v>
      </c>
      <c r="Z7" s="4">
        <f>S7*T7*I7</f>
        <v>307200</v>
      </c>
      <c r="AA7" s="4">
        <v>2</v>
      </c>
      <c r="AB7" s="4">
        <v>1</v>
      </c>
      <c r="AC7" s="12">
        <v>6</v>
      </c>
      <c r="AD7" s="18">
        <f>AC7*L7*M7*N7</f>
        <v>55296</v>
      </c>
      <c r="AE7" s="18">
        <f>1000000*$H$1/MAX(R7,W7)</f>
        <v>6172.8395061728397</v>
      </c>
      <c r="AF7" s="18">
        <f>CEILING(Z7*AB7/18000,1) *M7</f>
        <v>1152</v>
      </c>
    </row>
    <row r="8" spans="1:33" ht="15.75" customHeight="1">
      <c r="A8" s="4">
        <v>5</v>
      </c>
      <c r="B8" s="11" t="s">
        <v>39</v>
      </c>
      <c r="C8" s="4">
        <f t="shared" si="1"/>
        <v>54</v>
      </c>
      <c r="D8" s="4">
        <f t="shared" ref="D8:D20" si="3">G7</f>
        <v>128</v>
      </c>
      <c r="E8" s="4">
        <v>2</v>
      </c>
      <c r="F8" s="4">
        <v>3</v>
      </c>
      <c r="G8" s="4">
        <v>128</v>
      </c>
      <c r="H8" s="4">
        <f t="shared" ref="H8:H18" si="4">IF(B8="pad", C8+2*F8, IF(B8="pool", C8/E8, IF(OR(B8="conv",B8="fc"), (C8-F8+1)/E8,C8)))</f>
        <v>27</v>
      </c>
      <c r="I8" s="4">
        <f t="shared" si="2"/>
        <v>2</v>
      </c>
      <c r="J8" s="4">
        <f t="shared" si="0"/>
        <v>6561</v>
      </c>
      <c r="K8" s="10"/>
      <c r="L8" s="11"/>
      <c r="M8" s="11"/>
      <c r="N8" s="11"/>
      <c r="O8" s="4"/>
      <c r="P8" s="4"/>
      <c r="Q8" s="4"/>
      <c r="R8" s="4"/>
      <c r="S8" s="11"/>
      <c r="T8" s="11"/>
      <c r="U8" s="4"/>
      <c r="V8" s="11"/>
      <c r="W8" s="4"/>
      <c r="X8" s="11"/>
      <c r="Y8" s="11"/>
      <c r="Z8" s="4"/>
      <c r="AA8" s="11"/>
      <c r="AB8" s="11"/>
    </row>
    <row r="9" spans="1:33" ht="15.75" customHeight="1">
      <c r="A9" s="4">
        <v>6</v>
      </c>
      <c r="B9" s="11" t="s">
        <v>40</v>
      </c>
      <c r="C9" s="4">
        <f t="shared" si="1"/>
        <v>27</v>
      </c>
      <c r="D9" s="4">
        <f t="shared" si="3"/>
        <v>128</v>
      </c>
      <c r="E9" s="4">
        <v>1</v>
      </c>
      <c r="F9" s="4">
        <v>1</v>
      </c>
      <c r="G9" s="4">
        <v>256</v>
      </c>
      <c r="H9" s="4">
        <f t="shared" si="4"/>
        <v>27</v>
      </c>
      <c r="I9" s="4">
        <f t="shared" si="2"/>
        <v>2</v>
      </c>
      <c r="J9" s="4">
        <f t="shared" si="0"/>
        <v>0</v>
      </c>
      <c r="K9" s="10"/>
      <c r="L9" s="11"/>
      <c r="M9" s="11"/>
      <c r="N9" s="11"/>
      <c r="O9" s="4"/>
      <c r="P9" s="4"/>
      <c r="Q9" s="4"/>
      <c r="R9" s="4"/>
      <c r="S9" s="11"/>
      <c r="T9" s="11"/>
      <c r="U9" s="4"/>
      <c r="V9" s="11"/>
      <c r="W9" s="4"/>
      <c r="X9" s="11"/>
      <c r="Y9" s="11"/>
      <c r="Z9" s="4"/>
      <c r="AA9" s="11"/>
      <c r="AB9" s="11"/>
    </row>
    <row r="10" spans="1:33" ht="15.75" customHeight="1">
      <c r="A10" s="4">
        <v>7</v>
      </c>
      <c r="B10" s="11" t="s">
        <v>36</v>
      </c>
      <c r="C10" s="4">
        <f t="shared" si="1"/>
        <v>27</v>
      </c>
      <c r="D10" s="4">
        <f t="shared" si="3"/>
        <v>256</v>
      </c>
      <c r="E10" s="4">
        <v>1</v>
      </c>
      <c r="F10" s="4">
        <v>1</v>
      </c>
      <c r="G10" s="4">
        <v>256</v>
      </c>
      <c r="H10" s="4">
        <f t="shared" si="4"/>
        <v>29</v>
      </c>
      <c r="I10" s="4">
        <f t="shared" si="2"/>
        <v>1</v>
      </c>
      <c r="J10" s="4"/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33" ht="15.75" customHeight="1">
      <c r="A11" s="4">
        <v>8</v>
      </c>
      <c r="B11" s="11" t="s">
        <v>37</v>
      </c>
      <c r="C11" s="4">
        <f t="shared" si="1"/>
        <v>29</v>
      </c>
      <c r="D11" s="4">
        <f t="shared" si="3"/>
        <v>256</v>
      </c>
      <c r="E11" s="4">
        <v>1</v>
      </c>
      <c r="F11" s="4">
        <v>3</v>
      </c>
      <c r="G11" s="4">
        <v>384</v>
      </c>
      <c r="H11" s="4">
        <f t="shared" si="4"/>
        <v>27</v>
      </c>
      <c r="I11" s="4">
        <f t="shared" si="2"/>
        <v>1</v>
      </c>
      <c r="J11" s="4">
        <f t="shared" ref="J11:J23" si="5">IF(B11="pad", 0, IF(B11="pool", H11*H11*F11*F11, IF(OR(B11="conv",B11="fc"), I11*2*H11*H11*F11*F11*D11*G11,0)))</f>
        <v>1289945088</v>
      </c>
      <c r="K11" s="10">
        <f>J11/SUM(J$4:J$23)*100</f>
        <v>33.29600820124368</v>
      </c>
      <c r="L11" s="4">
        <v>64</v>
      </c>
      <c r="M11" s="4">
        <v>64</v>
      </c>
      <c r="N11" s="4">
        <v>3</v>
      </c>
      <c r="O11" s="4">
        <f>G11/M11</f>
        <v>6</v>
      </c>
      <c r="P11" s="4">
        <f>F11*F11*D11*G11/(L11*M11)</f>
        <v>216</v>
      </c>
      <c r="Q11" s="4">
        <f>2*L11*M11*N11</f>
        <v>24576</v>
      </c>
      <c r="R11" s="4">
        <f>J11/(Q11*I11)</f>
        <v>52488</v>
      </c>
      <c r="S11" s="4">
        <f>F11*F11*D11</f>
        <v>2304</v>
      </c>
      <c r="T11" s="4">
        <f>G11</f>
        <v>384</v>
      </c>
      <c r="U11" s="4">
        <f>S11/L11</f>
        <v>36</v>
      </c>
      <c r="V11" s="4">
        <f>T11/M11</f>
        <v>6</v>
      </c>
      <c r="W11" s="4">
        <f>C11*C11+(F11*F11*H11*H11)/N11</f>
        <v>3028</v>
      </c>
      <c r="X11" s="4">
        <f>F11*F11*H11*H11</f>
        <v>6561</v>
      </c>
      <c r="Y11" s="4">
        <f>D11*F11*F11*G11</f>
        <v>884736</v>
      </c>
      <c r="Z11" s="4">
        <f>S11*T11*I11</f>
        <v>884736</v>
      </c>
      <c r="AA11" s="4">
        <v>2</v>
      </c>
      <c r="AB11" s="4">
        <v>1</v>
      </c>
      <c r="AC11" s="12">
        <v>6</v>
      </c>
      <c r="AD11" s="18">
        <f>AC11*L11*M11*N11</f>
        <v>73728</v>
      </c>
      <c r="AE11" s="18">
        <f>1000000*$H$1/MAX(R11,W11)</f>
        <v>5715.5921353452213</v>
      </c>
      <c r="AF11" s="18">
        <f>CEILING(Z11*AB11/18000,1) *M11</f>
        <v>3200</v>
      </c>
    </row>
    <row r="12" spans="1:33" ht="15.75" customHeight="1">
      <c r="A12" s="4">
        <v>9</v>
      </c>
      <c r="B12" s="11" t="s">
        <v>36</v>
      </c>
      <c r="C12" s="4">
        <f t="shared" si="1"/>
        <v>27</v>
      </c>
      <c r="D12" s="4">
        <f t="shared" si="3"/>
        <v>384</v>
      </c>
      <c r="E12" s="4">
        <v>1</v>
      </c>
      <c r="F12" s="4">
        <v>0.5</v>
      </c>
      <c r="G12" s="4">
        <v>384</v>
      </c>
      <c r="H12" s="4">
        <f t="shared" si="4"/>
        <v>28</v>
      </c>
      <c r="I12" s="4">
        <f t="shared" si="2"/>
        <v>1</v>
      </c>
      <c r="J12" s="4">
        <f t="shared" si="5"/>
        <v>0</v>
      </c>
      <c r="K12" s="10"/>
      <c r="L12" s="11"/>
      <c r="M12" s="11"/>
      <c r="N12" s="11"/>
      <c r="O12" s="4"/>
      <c r="P12" s="4"/>
      <c r="Q12" s="4"/>
      <c r="R12" s="4"/>
      <c r="S12" s="11"/>
      <c r="T12" s="11"/>
      <c r="U12" s="4"/>
      <c r="V12" s="11"/>
      <c r="W12" s="4"/>
      <c r="X12" s="11"/>
      <c r="Y12" s="11"/>
      <c r="Z12" s="4"/>
      <c r="AA12" s="11"/>
      <c r="AB12" s="11"/>
    </row>
    <row r="13" spans="1:33" ht="15.75" customHeight="1">
      <c r="A13" s="4">
        <v>10</v>
      </c>
      <c r="B13" s="11" t="s">
        <v>39</v>
      </c>
      <c r="C13" s="4">
        <f t="shared" si="1"/>
        <v>28</v>
      </c>
      <c r="D13" s="4">
        <f t="shared" si="3"/>
        <v>384</v>
      </c>
      <c r="E13" s="4">
        <v>2</v>
      </c>
      <c r="F13" s="4">
        <v>3</v>
      </c>
      <c r="G13" s="4">
        <v>384</v>
      </c>
      <c r="H13" s="4">
        <f t="shared" si="4"/>
        <v>14</v>
      </c>
      <c r="I13" s="4">
        <f t="shared" si="2"/>
        <v>1</v>
      </c>
      <c r="J13" s="4">
        <f t="shared" si="5"/>
        <v>1764</v>
      </c>
      <c r="K13" s="10"/>
      <c r="L13" s="11"/>
      <c r="M13" s="11"/>
      <c r="N13" s="11"/>
      <c r="O13" s="4"/>
      <c r="P13" s="4"/>
      <c r="Q13" s="4"/>
      <c r="R13" s="4"/>
      <c r="S13" s="11"/>
      <c r="T13" s="11"/>
      <c r="U13" s="4"/>
      <c r="V13" s="11"/>
      <c r="W13" s="4"/>
      <c r="X13" s="11"/>
      <c r="Y13" s="11"/>
      <c r="Z13" s="4"/>
      <c r="AA13" s="11"/>
      <c r="AB13" s="11"/>
    </row>
    <row r="14" spans="1:33" ht="15.75" customHeight="1">
      <c r="A14" s="4">
        <v>11</v>
      </c>
      <c r="B14" s="11" t="s">
        <v>38</v>
      </c>
      <c r="C14" s="4">
        <f t="shared" si="1"/>
        <v>14</v>
      </c>
      <c r="D14" s="4">
        <f t="shared" si="3"/>
        <v>384</v>
      </c>
      <c r="E14" s="4">
        <v>1</v>
      </c>
      <c r="F14" s="4">
        <v>1</v>
      </c>
      <c r="G14" s="4">
        <v>192</v>
      </c>
      <c r="H14" s="4">
        <f t="shared" si="4"/>
        <v>14</v>
      </c>
      <c r="I14" s="4">
        <f t="shared" si="2"/>
        <v>1</v>
      </c>
      <c r="J14" s="4">
        <f t="shared" si="5"/>
        <v>0</v>
      </c>
      <c r="K14" s="10"/>
      <c r="L14" s="11"/>
      <c r="M14" s="11"/>
      <c r="N14" s="11"/>
      <c r="O14" s="4"/>
      <c r="P14" s="4"/>
      <c r="Q14" s="4"/>
      <c r="R14" s="4"/>
      <c r="S14" s="11"/>
      <c r="T14" s="11"/>
      <c r="U14" s="4"/>
      <c r="V14" s="11"/>
      <c r="W14" s="4"/>
      <c r="X14" s="11"/>
      <c r="Y14" s="11"/>
      <c r="Z14" s="4"/>
      <c r="AA14" s="11"/>
      <c r="AB14" s="11"/>
    </row>
    <row r="15" spans="1:33" ht="15.75" customHeight="1">
      <c r="A15" s="4">
        <v>12</v>
      </c>
      <c r="B15" s="11" t="s">
        <v>36</v>
      </c>
      <c r="C15" s="4">
        <f t="shared" si="1"/>
        <v>14</v>
      </c>
      <c r="D15" s="4">
        <f t="shared" si="3"/>
        <v>192</v>
      </c>
      <c r="E15" s="4">
        <v>1</v>
      </c>
      <c r="F15" s="4">
        <v>1</v>
      </c>
      <c r="G15" s="4">
        <v>192</v>
      </c>
      <c r="H15" s="4">
        <f t="shared" si="4"/>
        <v>16</v>
      </c>
      <c r="I15" s="4">
        <f t="shared" si="2"/>
        <v>2</v>
      </c>
      <c r="J15" s="4">
        <f t="shared" si="5"/>
        <v>0</v>
      </c>
      <c r="K15" s="10"/>
      <c r="L15" s="11"/>
      <c r="M15" s="11"/>
      <c r="N15" s="11"/>
      <c r="O15" s="4"/>
      <c r="P15" s="4"/>
      <c r="Q15" s="4"/>
      <c r="R15" s="4"/>
      <c r="S15" s="11"/>
      <c r="T15" s="11"/>
      <c r="U15" s="4"/>
      <c r="V15" s="11"/>
      <c r="W15" s="4"/>
      <c r="X15" s="11"/>
      <c r="Y15" s="11"/>
      <c r="Z15" s="4"/>
      <c r="AA15" s="11"/>
      <c r="AB15" s="11"/>
    </row>
    <row r="16" spans="1:33" ht="15.75" customHeight="1">
      <c r="A16" s="4">
        <v>13</v>
      </c>
      <c r="B16" s="11" t="s">
        <v>37</v>
      </c>
      <c r="C16" s="4">
        <f t="shared" si="1"/>
        <v>16</v>
      </c>
      <c r="D16" s="4">
        <f t="shared" si="3"/>
        <v>192</v>
      </c>
      <c r="E16" s="4">
        <v>1</v>
      </c>
      <c r="F16" s="4">
        <v>3</v>
      </c>
      <c r="G16" s="4">
        <v>192</v>
      </c>
      <c r="H16" s="4">
        <f t="shared" si="4"/>
        <v>14</v>
      </c>
      <c r="I16" s="4">
        <f t="shared" si="2"/>
        <v>2</v>
      </c>
      <c r="J16" s="4">
        <f t="shared" si="5"/>
        <v>260112384</v>
      </c>
      <c r="K16" s="10">
        <f>J16/SUM(J$4:J$23)*100</f>
        <v>6.7140098842014009</v>
      </c>
      <c r="L16" s="4">
        <v>32</v>
      </c>
      <c r="M16" s="4">
        <v>32</v>
      </c>
      <c r="N16" s="4">
        <v>2</v>
      </c>
      <c r="O16" s="4">
        <f>G16/M16</f>
        <v>6</v>
      </c>
      <c r="P16" s="4">
        <f>F16*F16*D16*G16/(L16*M16)</f>
        <v>324</v>
      </c>
      <c r="Q16" s="4">
        <f>2*L16*M16*N16</f>
        <v>4096</v>
      </c>
      <c r="R16" s="4">
        <f>J16/(Q16*I16)</f>
        <v>31752</v>
      </c>
      <c r="S16" s="4">
        <f>F16*F16*D16</f>
        <v>1728</v>
      </c>
      <c r="T16" s="4">
        <f>G16</f>
        <v>192</v>
      </c>
      <c r="U16" s="4">
        <f>S16/L16</f>
        <v>54</v>
      </c>
      <c r="V16" s="4">
        <f>T16/M16</f>
        <v>6</v>
      </c>
      <c r="W16" s="4">
        <f>C16*C16+(F16*F16*H16*H16)/N16</f>
        <v>1138</v>
      </c>
      <c r="X16" s="4">
        <f>F16*F16*H16*H16</f>
        <v>1764</v>
      </c>
      <c r="Y16" s="4">
        <f>D16*F16*F16*G16</f>
        <v>331776</v>
      </c>
      <c r="Z16" s="4">
        <f>S16*T16*I16</f>
        <v>663552</v>
      </c>
      <c r="AA16" s="4">
        <v>2</v>
      </c>
      <c r="AB16" s="4">
        <v>1</v>
      </c>
      <c r="AC16" s="12">
        <v>6</v>
      </c>
      <c r="AD16" s="18">
        <f>AC16*L16*M16*N16</f>
        <v>12288</v>
      </c>
      <c r="AE16" s="18">
        <f>1000000*$H$1/MAX(R16,W16)</f>
        <v>9448.223733938019</v>
      </c>
      <c r="AF16" s="18">
        <f>CEILING(Z16*AB16/18000,1) *M16</f>
        <v>1184</v>
      </c>
    </row>
    <row r="17" spans="1:33" ht="15.75" customHeight="1">
      <c r="A17" s="4">
        <v>14</v>
      </c>
      <c r="B17" s="11" t="s">
        <v>36</v>
      </c>
      <c r="C17" s="4">
        <f t="shared" si="1"/>
        <v>14</v>
      </c>
      <c r="D17" s="4">
        <f t="shared" si="3"/>
        <v>192</v>
      </c>
      <c r="E17" s="4">
        <v>1</v>
      </c>
      <c r="F17" s="4">
        <v>1</v>
      </c>
      <c r="G17" s="4">
        <v>192</v>
      </c>
      <c r="H17" s="4">
        <f t="shared" si="4"/>
        <v>16</v>
      </c>
      <c r="I17" s="4">
        <f t="shared" si="2"/>
        <v>2</v>
      </c>
      <c r="J17" s="4">
        <f t="shared" si="5"/>
        <v>0</v>
      </c>
      <c r="K17" s="10"/>
      <c r="L17" s="11"/>
      <c r="M17" s="11"/>
      <c r="N17" s="11"/>
      <c r="O17" s="4"/>
      <c r="P17" s="4"/>
      <c r="Q17" s="4"/>
      <c r="R17" s="4"/>
      <c r="S17" s="11"/>
      <c r="T17" s="11"/>
      <c r="U17" s="4"/>
      <c r="V17" s="11"/>
      <c r="W17" s="4"/>
      <c r="X17" s="11"/>
      <c r="Y17" s="11"/>
      <c r="Z17" s="4"/>
      <c r="AA17" s="11"/>
      <c r="AB17" s="11"/>
    </row>
    <row r="18" spans="1:33" ht="15.75" customHeight="1">
      <c r="A18" s="4">
        <v>15</v>
      </c>
      <c r="B18" s="11" t="s">
        <v>37</v>
      </c>
      <c r="C18" s="4">
        <f t="shared" si="1"/>
        <v>16</v>
      </c>
      <c r="D18" s="4">
        <f t="shared" si="3"/>
        <v>192</v>
      </c>
      <c r="E18" s="4">
        <v>1</v>
      </c>
      <c r="F18" s="4">
        <v>3</v>
      </c>
      <c r="G18" s="4">
        <v>128</v>
      </c>
      <c r="H18" s="4">
        <f t="shared" si="4"/>
        <v>14</v>
      </c>
      <c r="I18" s="4">
        <f t="shared" si="2"/>
        <v>2</v>
      </c>
      <c r="J18" s="4">
        <f t="shared" si="5"/>
        <v>173408256</v>
      </c>
      <c r="K18" s="10">
        <f>J18/SUM(J$4:J$23)*100</f>
        <v>4.4760065894676009</v>
      </c>
      <c r="L18" s="4">
        <v>32</v>
      </c>
      <c r="M18" s="4">
        <v>16</v>
      </c>
      <c r="N18" s="4">
        <v>2</v>
      </c>
      <c r="O18" s="4">
        <f>G18/M18</f>
        <v>8</v>
      </c>
      <c r="P18" s="4">
        <f>F18*F18*D18*G18/(L18*M18)</f>
        <v>432</v>
      </c>
      <c r="Q18" s="4">
        <f>2*L18*M18*N18</f>
        <v>2048</v>
      </c>
      <c r="R18" s="4">
        <f>J18/(Q18*I18)</f>
        <v>42336</v>
      </c>
      <c r="S18" s="4">
        <f>F18*F18*D18</f>
        <v>1728</v>
      </c>
      <c r="T18" s="4">
        <f>G18</f>
        <v>128</v>
      </c>
      <c r="U18" s="4">
        <f>S18/L18</f>
        <v>54</v>
      </c>
      <c r="V18" s="4">
        <f>T18/M18</f>
        <v>8</v>
      </c>
      <c r="W18" s="4">
        <f>C18*C18+(F18*F18*H18*H18)/N18</f>
        <v>1138</v>
      </c>
      <c r="X18" s="4">
        <f>F18*F18*H18*H18</f>
        <v>1764</v>
      </c>
      <c r="Y18" s="4">
        <f>D18*F18*F18*G18</f>
        <v>221184</v>
      </c>
      <c r="Z18" s="4">
        <f>S18*T18*I18</f>
        <v>442368</v>
      </c>
      <c r="AA18" s="4">
        <v>2</v>
      </c>
      <c r="AB18" s="4">
        <v>1</v>
      </c>
      <c r="AC18" s="12">
        <v>6</v>
      </c>
      <c r="AD18" s="18">
        <f>AC18*L18*M18*N18</f>
        <v>6144</v>
      </c>
      <c r="AE18" s="18">
        <f>1000000*$H$1/MAX(R18,W18)</f>
        <v>7086.1678004535152</v>
      </c>
      <c r="AF18" s="18">
        <f>CEILING(Z18*AB18/18000,1) *M18</f>
        <v>400</v>
      </c>
    </row>
    <row r="19" spans="1:33" ht="15.75" customHeight="1">
      <c r="A19" s="4">
        <v>16</v>
      </c>
      <c r="B19" s="11" t="s">
        <v>39</v>
      </c>
      <c r="C19" s="4">
        <f t="shared" si="1"/>
        <v>14</v>
      </c>
      <c r="D19" s="4">
        <f t="shared" si="3"/>
        <v>128</v>
      </c>
      <c r="E19" s="4">
        <v>2</v>
      </c>
      <c r="F19" s="4">
        <v>3</v>
      </c>
      <c r="G19" s="4">
        <v>128</v>
      </c>
      <c r="H19" s="4">
        <v>6</v>
      </c>
      <c r="I19" s="4">
        <f t="shared" si="2"/>
        <v>2</v>
      </c>
      <c r="J19" s="4">
        <f t="shared" si="5"/>
        <v>324</v>
      </c>
      <c r="K19" s="10"/>
      <c r="L19" s="11"/>
      <c r="M19" s="11"/>
      <c r="N19" s="11"/>
      <c r="O19" s="4"/>
      <c r="P19" s="4"/>
      <c r="Q19" s="4"/>
      <c r="R19" s="4"/>
      <c r="S19" s="11"/>
      <c r="T19" s="11"/>
      <c r="U19" s="4"/>
      <c r="V19" s="11"/>
      <c r="W19" s="11"/>
      <c r="X19" s="11"/>
      <c r="Y19" s="11"/>
      <c r="Z19" s="11"/>
      <c r="AA19" s="11"/>
      <c r="AB19" s="11"/>
    </row>
    <row r="20" spans="1:33" ht="15.75" customHeight="1">
      <c r="A20" s="4">
        <v>17</v>
      </c>
      <c r="B20" s="11" t="s">
        <v>40</v>
      </c>
      <c r="C20" s="4">
        <f t="shared" si="1"/>
        <v>6</v>
      </c>
      <c r="D20" s="4">
        <f t="shared" si="3"/>
        <v>128</v>
      </c>
      <c r="E20" s="4">
        <v>1</v>
      </c>
      <c r="F20" s="4">
        <v>1</v>
      </c>
      <c r="G20" s="4">
        <v>256</v>
      </c>
      <c r="H20" s="4">
        <f>IF(B20="pad", C20+2*F20, IF(B20="pool", C20/E20, IF(OR(B20="conv",B20="fc"), (C20-F20+1)/E20,C20)))</f>
        <v>6</v>
      </c>
      <c r="I20" s="4">
        <f t="shared" si="2"/>
        <v>2</v>
      </c>
      <c r="J20" s="4">
        <f t="shared" si="5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1"/>
      <c r="X20" s="11"/>
      <c r="Y20" s="4"/>
      <c r="Z20" s="4"/>
      <c r="AA20" s="4"/>
      <c r="AB20" s="4"/>
    </row>
    <row r="21" spans="1:33" ht="15.75" customHeight="1">
      <c r="A21" s="4">
        <v>18</v>
      </c>
      <c r="B21" s="11" t="s">
        <v>41</v>
      </c>
      <c r="C21" s="4">
        <v>1</v>
      </c>
      <c r="D21" s="4">
        <f>G20*H20*H20</f>
        <v>9216</v>
      </c>
      <c r="E21" s="4">
        <v>1</v>
      </c>
      <c r="F21" s="4">
        <v>1</v>
      </c>
      <c r="G21" s="4">
        <v>4096</v>
      </c>
      <c r="H21" s="4">
        <v>1</v>
      </c>
      <c r="I21" s="4">
        <f t="shared" si="2"/>
        <v>1</v>
      </c>
      <c r="J21" s="4">
        <f t="shared" si="5"/>
        <v>75497472</v>
      </c>
      <c r="K21" s="10">
        <f>J21/SUM(J$4:J$23)*100</f>
        <v>1.9487375627614045</v>
      </c>
      <c r="L21" s="4">
        <v>64</v>
      </c>
      <c r="M21" s="4">
        <v>8</v>
      </c>
      <c r="N21" s="4">
        <v>1</v>
      </c>
      <c r="O21" s="4">
        <f>G21/M21</f>
        <v>512</v>
      </c>
      <c r="P21" s="4">
        <f>F21*F21*D21*G21/(L21*M21)</f>
        <v>73728</v>
      </c>
      <c r="Q21" s="4">
        <f>2*L21*M21*N21</f>
        <v>1024</v>
      </c>
      <c r="R21" s="4">
        <f>J21/(Q21*I21)</f>
        <v>73728</v>
      </c>
      <c r="S21" s="4">
        <f>F21*F21*D21</f>
        <v>9216</v>
      </c>
      <c r="T21" s="4">
        <f>G21</f>
        <v>4096</v>
      </c>
      <c r="U21" s="4">
        <f t="shared" ref="U21:V23" si="6">S21/L21</f>
        <v>144</v>
      </c>
      <c r="V21" s="4">
        <f t="shared" si="6"/>
        <v>512</v>
      </c>
      <c r="W21" s="11"/>
      <c r="X21" s="11"/>
      <c r="Y21" s="4">
        <f>D21*F21*F21*G21</f>
        <v>37748736</v>
      </c>
      <c r="Z21" s="4">
        <f>S21*T21</f>
        <v>37748736</v>
      </c>
      <c r="AA21" s="4">
        <v>2</v>
      </c>
      <c r="AB21" s="4">
        <v>1</v>
      </c>
      <c r="AC21" s="12">
        <v>6</v>
      </c>
      <c r="AD21" s="18">
        <f>AC21*L21*M21*N21</f>
        <v>3072</v>
      </c>
      <c r="AE21" s="18">
        <f>1000000*$H$1/MAX(R21,W21)</f>
        <v>4069.0104166666665</v>
      </c>
      <c r="AF21" s="18">
        <f>CEILING(Z21*AB21/18000,1) *M21</f>
        <v>16784</v>
      </c>
      <c r="AG21" s="18">
        <f>Z21*M$1*AB21*H21*H21/(1024*1024*1024)</f>
        <v>200.93878600823044</v>
      </c>
    </row>
    <row r="22" spans="1:33" ht="15.75" customHeight="1">
      <c r="A22" s="4">
        <v>19</v>
      </c>
      <c r="B22" s="11" t="s">
        <v>41</v>
      </c>
      <c r="C22" s="4">
        <f>H21</f>
        <v>1</v>
      </c>
      <c r="D22" s="4">
        <f>G21</f>
        <v>4096</v>
      </c>
      <c r="E22" s="4">
        <v>1</v>
      </c>
      <c r="F22" s="4">
        <v>1</v>
      </c>
      <c r="G22" s="4">
        <v>4096</v>
      </c>
      <c r="H22" s="4">
        <f>IF(B22="pad", C22+2*F22, IF(B22="pool", C22/E22, IF(OR(B22="conv",B22="fc"), (C22-F22+1)/E22,C22)))</f>
        <v>1</v>
      </c>
      <c r="I22" s="4">
        <f t="shared" si="2"/>
        <v>1</v>
      </c>
      <c r="J22" s="4">
        <f t="shared" si="5"/>
        <v>33554432</v>
      </c>
      <c r="K22" s="10">
        <f>J22/SUM(J$4:J$23)*100</f>
        <v>0.86610558344951305</v>
      </c>
      <c r="L22" s="4">
        <v>64</v>
      </c>
      <c r="M22" s="4">
        <v>4</v>
      </c>
      <c r="N22" s="4">
        <v>1</v>
      </c>
      <c r="O22" s="4">
        <f>G22/M22</f>
        <v>1024</v>
      </c>
      <c r="P22" s="4">
        <f>F22*F22*D22*G22/(L22*M22)</f>
        <v>65536</v>
      </c>
      <c r="Q22" s="4">
        <f>2*L22*M22*N22</f>
        <v>512</v>
      </c>
      <c r="R22" s="4">
        <f>J22/(Q22*I22)</f>
        <v>65536</v>
      </c>
      <c r="S22" s="4">
        <f>F22*F22*D22</f>
        <v>4096</v>
      </c>
      <c r="T22" s="4">
        <f>G22</f>
        <v>4096</v>
      </c>
      <c r="U22" s="4">
        <f t="shared" si="6"/>
        <v>64</v>
      </c>
      <c r="V22" s="4">
        <f t="shared" si="6"/>
        <v>1024</v>
      </c>
      <c r="W22" s="11"/>
      <c r="X22" s="11"/>
      <c r="Y22" s="4">
        <f>D22*F22*F22*G22</f>
        <v>16777216</v>
      </c>
      <c r="Z22" s="4">
        <f>S22*T22</f>
        <v>16777216</v>
      </c>
      <c r="AA22" s="4">
        <v>2</v>
      </c>
      <c r="AB22" s="4">
        <v>1</v>
      </c>
      <c r="AC22" s="12">
        <v>6</v>
      </c>
      <c r="AD22" s="18">
        <f>AC22*L22*M22*N22</f>
        <v>1536</v>
      </c>
      <c r="AE22" s="18">
        <f>1000000*$H$1/MAX(R22,W22)</f>
        <v>4577.63671875</v>
      </c>
      <c r="AF22" s="18">
        <f>CEILING(Z22*AB22/18000,1) *M22</f>
        <v>3732</v>
      </c>
      <c r="AG22" s="18">
        <f>Z22*M$1*AB22*H22*H22/(1024*1024*1024)</f>
        <v>89.306127114769083</v>
      </c>
    </row>
    <row r="23" spans="1:33" ht="15.75" customHeight="1">
      <c r="A23" s="4">
        <v>20</v>
      </c>
      <c r="B23" s="11" t="s">
        <v>41</v>
      </c>
      <c r="C23" s="4">
        <f>H22</f>
        <v>1</v>
      </c>
      <c r="D23" s="4">
        <f>G22</f>
        <v>4096</v>
      </c>
      <c r="E23" s="4">
        <v>1</v>
      </c>
      <c r="F23" s="4">
        <v>1</v>
      </c>
      <c r="G23" s="4">
        <v>1000</v>
      </c>
      <c r="H23" s="4">
        <f>IF(B23="pad", C23+2*F23, IF(B23="pool", C23/E23, IF(OR(B23="conv",B23="fc"), (C23-F23+1)/E23,C23)))</f>
        <v>1</v>
      </c>
      <c r="I23" s="4">
        <f t="shared" si="2"/>
        <v>1</v>
      </c>
      <c r="J23" s="4">
        <f t="shared" si="5"/>
        <v>8192000</v>
      </c>
      <c r="K23" s="10">
        <f>J23/SUM(J$4:J$23)*100</f>
        <v>0.21145155845935376</v>
      </c>
      <c r="L23" s="4">
        <v>8</v>
      </c>
      <c r="M23" s="4">
        <v>8</v>
      </c>
      <c r="N23" s="4">
        <v>1</v>
      </c>
      <c r="O23" s="4">
        <f>G23/M23</f>
        <v>125</v>
      </c>
      <c r="P23" s="4">
        <f>F23*F23*D23*G23/(L23*M23)</f>
        <v>64000</v>
      </c>
      <c r="Q23" s="4">
        <f>2*L23*M23*N23</f>
        <v>128</v>
      </c>
      <c r="R23" s="4">
        <f>J23/(Q23*I23)</f>
        <v>64000</v>
      </c>
      <c r="S23" s="4">
        <f>F23*F23*D23</f>
        <v>4096</v>
      </c>
      <c r="T23" s="4">
        <f>G23</f>
        <v>1000</v>
      </c>
      <c r="U23" s="4">
        <f t="shared" si="6"/>
        <v>512</v>
      </c>
      <c r="V23" s="4">
        <f t="shared" si="6"/>
        <v>125</v>
      </c>
      <c r="W23" s="11"/>
      <c r="X23" s="11"/>
      <c r="Y23" s="4">
        <f>D23*F23*F23*G23</f>
        <v>4096000</v>
      </c>
      <c r="Z23" s="4">
        <f>S23*T23</f>
        <v>4096000</v>
      </c>
      <c r="AA23" s="4">
        <v>2</v>
      </c>
      <c r="AB23" s="4">
        <v>4</v>
      </c>
      <c r="AC23" s="12">
        <v>8.5</v>
      </c>
      <c r="AD23" s="18">
        <f>AC23*L23*M23*N23</f>
        <v>544</v>
      </c>
      <c r="AE23" s="18">
        <f>1000000*$H$1/MAX(R23,W23)</f>
        <v>4687.5</v>
      </c>
      <c r="AF23" s="18">
        <f>CEILING(Z23*AB23/18000,1) *M23</f>
        <v>7288</v>
      </c>
      <c r="AG23" s="18">
        <f>Z23*M$1*AB23*H23*H23/(1024*1024*1024)</f>
        <v>87.213014760516685</v>
      </c>
    </row>
    <row r="26" spans="1:33" ht="15.75" customHeight="1">
      <c r="AD26" s="18">
        <f>SUM(AD4:AD18)</f>
        <v>213552</v>
      </c>
    </row>
    <row r="28" spans="1:33" ht="15.75" customHeight="1">
      <c r="H28" s="12"/>
    </row>
    <row r="30" spans="1:33" ht="15.75" customHeight="1">
      <c r="E30" s="12"/>
    </row>
    <row r="31" spans="1:33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opLeftCell="G1" workbookViewId="0">
      <selection activeCell="O23" sqref="O23"/>
    </sheetView>
  </sheetViews>
  <sheetFormatPr defaultColWidth="14.42578125" defaultRowHeight="15.75" customHeight="1"/>
  <cols>
    <col min="1" max="1" width="8.7109375" customWidth="1"/>
    <col min="3" max="3" width="6.85546875" customWidth="1"/>
    <col min="4" max="4" width="11.42578125" customWidth="1"/>
    <col min="9" max="9" width="17.42578125" customWidth="1"/>
    <col min="10" max="10" width="24.42578125" customWidth="1"/>
    <col min="25" max="25" width="22.140625" customWidth="1"/>
    <col min="26" max="26" width="16.85546875" customWidth="1"/>
    <col min="27" max="27" width="16.28515625" customWidth="1"/>
    <col min="28" max="28" width="14.42578125" customWidth="1"/>
    <col min="29" max="29" width="19.85546875" customWidth="1"/>
    <col min="30" max="30" width="20.85546875" customWidth="1"/>
    <col min="31" max="33" width="16.42578125" customWidth="1"/>
  </cols>
  <sheetData>
    <row r="1" spans="1:33" ht="15.75" customHeight="1">
      <c r="A1" s="1" t="s">
        <v>0</v>
      </c>
      <c r="B1" s="34" t="s">
        <v>1</v>
      </c>
      <c r="C1" s="35"/>
      <c r="D1" s="35"/>
      <c r="E1" s="35"/>
      <c r="F1" s="35"/>
      <c r="G1" s="1" t="s">
        <v>2</v>
      </c>
      <c r="H1" s="3">
        <v>300</v>
      </c>
      <c r="I1" s="1"/>
      <c r="J1" s="2" t="s">
        <v>3</v>
      </c>
      <c r="K1" s="4">
        <f>MAX(MAX(R4:R20),MAX(W4:W20))</f>
        <v>97200</v>
      </c>
      <c r="L1" s="1" t="s">
        <v>4</v>
      </c>
      <c r="M1" s="4">
        <f>1000000*H1/K1</f>
        <v>3086.4197530864199</v>
      </c>
      <c r="N1" s="5"/>
      <c r="O1" s="5"/>
      <c r="P1" s="5"/>
      <c r="Q1" s="5"/>
      <c r="R1" s="1" t="s">
        <v>5</v>
      </c>
      <c r="S1" s="4">
        <f>SUM(J3:J23)/(C3*C3*D3+G23*2)</f>
        <v>25399.752078306934</v>
      </c>
      <c r="T1" s="5"/>
      <c r="U1" s="5"/>
      <c r="V1" s="5"/>
      <c r="W1" s="5"/>
      <c r="X1" s="5"/>
      <c r="Y1" s="6"/>
      <c r="Z1" s="5"/>
      <c r="AA1" s="5"/>
      <c r="AB1" s="5"/>
    </row>
    <row r="2" spans="1:33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SUM(J3:J113)/1000000 &amp;"M"</f>
        <v>ops, total: 3874.173385M</v>
      </c>
      <c r="K2" s="1" t="s">
        <v>15</v>
      </c>
      <c r="L2" s="1" t="s">
        <v>16</v>
      </c>
      <c r="M2" s="1" t="s">
        <v>17</v>
      </c>
      <c r="N2" s="1" t="s">
        <v>18</v>
      </c>
      <c r="O2" s="2" t="s">
        <v>19</v>
      </c>
      <c r="P2" s="2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7" t="s">
        <v>42</v>
      </c>
      <c r="AD2" s="7" t="s">
        <v>43</v>
      </c>
      <c r="AE2" s="7" t="s">
        <v>33</v>
      </c>
      <c r="AF2" s="7" t="s">
        <v>34</v>
      </c>
      <c r="AG2" s="7" t="s">
        <v>35</v>
      </c>
    </row>
    <row r="3" spans="1:33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4">
        <v>1</v>
      </c>
      <c r="V3" s="5"/>
      <c r="W3" s="5"/>
      <c r="X3" s="5"/>
      <c r="Y3" s="5"/>
      <c r="Z3" s="5"/>
      <c r="AA3" s="5"/>
      <c r="AB3" s="5"/>
    </row>
    <row r="4" spans="1:33" ht="15.75" customHeight="1">
      <c r="A4" s="4">
        <v>1</v>
      </c>
      <c r="B4" s="9" t="s">
        <v>37</v>
      </c>
      <c r="C4" s="4">
        <f t="shared" ref="C4:C20" si="1">H3</f>
        <v>227</v>
      </c>
      <c r="D4" s="4">
        <f>G3</f>
        <v>3</v>
      </c>
      <c r="E4" s="3">
        <v>4</v>
      </c>
      <c r="F4" s="3">
        <v>12</v>
      </c>
      <c r="G4" s="3">
        <v>96</v>
      </c>
      <c r="H4" s="4">
        <f>IF(B4="pad", C4+2*F4, IF(B4="pool", C4/F4, IF(OR(B4="conv",B4="fc"), (C4-F4+1)/E4,C4)))</f>
        <v>54</v>
      </c>
      <c r="I4" s="4">
        <f t="shared" ref="I4:I23" si="2">IF(B3="merge", 1, IF(B3="split", 2, I3))</f>
        <v>1</v>
      </c>
      <c r="J4" s="4">
        <f t="shared" si="0"/>
        <v>241864704</v>
      </c>
      <c r="K4" s="10">
        <f>J4/SUM(J$4:J$23)*100</f>
        <v>6.2430015377331909</v>
      </c>
      <c r="L4" s="3">
        <v>3</v>
      </c>
      <c r="M4" s="3">
        <v>48</v>
      </c>
      <c r="N4" s="3">
        <v>9</v>
      </c>
      <c r="O4" s="4">
        <f>G4/M4</f>
        <v>2</v>
      </c>
      <c r="P4" s="4">
        <f>F4*F4*D4*G4/(L4*M4)</f>
        <v>288</v>
      </c>
      <c r="Q4" s="4">
        <f>2*L4*M4*N4</f>
        <v>2592</v>
      </c>
      <c r="R4" s="4">
        <f>J4/(Q4*I4)</f>
        <v>93312</v>
      </c>
      <c r="S4" s="4">
        <f>F4*F4*D4</f>
        <v>432</v>
      </c>
      <c r="T4" s="4">
        <f>G4</f>
        <v>96</v>
      </c>
      <c r="U4" s="4">
        <f>S4/L4</f>
        <v>144</v>
      </c>
      <c r="V4" s="4">
        <f>T4/M4</f>
        <v>2</v>
      </c>
      <c r="W4" s="4">
        <f>C4*24+(F4*F4*H4*H4)/N4</f>
        <v>52104</v>
      </c>
      <c r="X4" s="4">
        <f>F4*F4*H4*H4/N4</f>
        <v>46656</v>
      </c>
      <c r="Y4" s="4">
        <f>D4*F4*F4*G4</f>
        <v>41472</v>
      </c>
      <c r="Z4" s="4">
        <f>S4*T4</f>
        <v>41472</v>
      </c>
      <c r="AA4" s="3">
        <v>8</v>
      </c>
      <c r="AB4" s="3">
        <v>4</v>
      </c>
      <c r="AC4" s="12">
        <v>25.5</v>
      </c>
      <c r="AD4">
        <f>AC4*L4*M4*N4</f>
        <v>33048</v>
      </c>
      <c r="AE4">
        <f>1000000*$H$1/R4</f>
        <v>3215.0205761316874</v>
      </c>
      <c r="AF4">
        <f>CEILING(Z4*AB4/18000,1) *M4</f>
        <v>480</v>
      </c>
    </row>
    <row r="5" spans="1:33" ht="15.75" customHeight="1">
      <c r="A5" s="4">
        <v>2</v>
      </c>
      <c r="B5" s="8" t="s">
        <v>38</v>
      </c>
      <c r="C5" s="4">
        <f t="shared" si="1"/>
        <v>54</v>
      </c>
      <c r="D5" s="4">
        <f>G4</f>
        <v>96</v>
      </c>
      <c r="E5" s="3">
        <v>1</v>
      </c>
      <c r="F5" s="4">
        <v>1</v>
      </c>
      <c r="G5" s="3">
        <v>48</v>
      </c>
      <c r="H5" s="4">
        <f>IF(B5="pad", C5+2*F5, IF(B5="pool", C5/F5, IF(OR(B5="conv",B5="fc"), (C5-F5+1)/E5,C5)))</f>
        <v>54</v>
      </c>
      <c r="I5" s="4">
        <f t="shared" si="2"/>
        <v>1</v>
      </c>
      <c r="J5" s="4">
        <f t="shared" si="0"/>
        <v>0</v>
      </c>
      <c r="K5" s="10"/>
      <c r="L5" s="5"/>
      <c r="M5" s="5"/>
      <c r="N5" s="5"/>
      <c r="O5" s="4"/>
      <c r="P5" s="4"/>
      <c r="Q5" s="4"/>
      <c r="R5" s="4"/>
      <c r="S5" s="5"/>
      <c r="T5" s="5"/>
      <c r="U5" s="4"/>
      <c r="V5" s="5"/>
      <c r="W5" s="4"/>
      <c r="X5" s="5"/>
      <c r="Y5" s="5"/>
      <c r="Z5" s="5"/>
      <c r="AA5" s="5"/>
      <c r="AB5" s="5"/>
    </row>
    <row r="6" spans="1:33" ht="15.75" customHeight="1">
      <c r="A6" s="4">
        <v>3</v>
      </c>
      <c r="B6" s="8" t="s">
        <v>36</v>
      </c>
      <c r="C6" s="4">
        <f t="shared" si="1"/>
        <v>54</v>
      </c>
      <c r="D6" s="4">
        <f>G5</f>
        <v>48</v>
      </c>
      <c r="E6" s="3">
        <v>1</v>
      </c>
      <c r="F6" s="3">
        <v>2</v>
      </c>
      <c r="G6" s="3">
        <v>48</v>
      </c>
      <c r="H6" s="4">
        <f>IF(B6="pad", C6+2*F6, IF(B6="pool", C6/F6, IF(OR(B6="conv",B6="fc"), (C6-F6+1)/E6,C6)))</f>
        <v>58</v>
      </c>
      <c r="I6" s="4">
        <f t="shared" si="2"/>
        <v>2</v>
      </c>
      <c r="J6" s="4">
        <f t="shared" si="0"/>
        <v>0</v>
      </c>
      <c r="K6" s="10"/>
      <c r="L6" s="4"/>
      <c r="M6" s="4"/>
      <c r="N6" s="3"/>
      <c r="O6" s="4"/>
      <c r="P6" s="4"/>
      <c r="Q6" s="4"/>
      <c r="R6" s="4"/>
      <c r="S6" s="4"/>
      <c r="T6" s="4"/>
      <c r="U6" s="3"/>
      <c r="V6" s="4"/>
      <c r="W6" s="4"/>
      <c r="X6" s="4"/>
      <c r="Y6" s="4"/>
      <c r="Z6" s="4"/>
      <c r="AA6" s="4"/>
      <c r="AB6" s="4"/>
    </row>
    <row r="7" spans="1:33" ht="15.75" customHeight="1">
      <c r="A7" s="4">
        <v>4</v>
      </c>
      <c r="B7" s="9" t="s">
        <v>37</v>
      </c>
      <c r="C7" s="4">
        <f t="shared" si="1"/>
        <v>58</v>
      </c>
      <c r="D7" s="4">
        <f>G5</f>
        <v>48</v>
      </c>
      <c r="E7" s="3">
        <v>1</v>
      </c>
      <c r="F7" s="3">
        <v>5</v>
      </c>
      <c r="G7" s="4">
        <v>128</v>
      </c>
      <c r="H7" s="4">
        <f>IF(B7="pad", C7+2*F7, IF(B7="pool", C7/F7, IF(OR(B7="conv",B7="fc"), (C7-F7+1)/E7,C7)))</f>
        <v>54</v>
      </c>
      <c r="I7" s="4">
        <f t="shared" si="2"/>
        <v>2</v>
      </c>
      <c r="J7" s="4">
        <f t="shared" si="0"/>
        <v>1791590400</v>
      </c>
      <c r="K7" s="10">
        <f>J7/SUM(J$4:J$23)*100</f>
        <v>46.24445583506067</v>
      </c>
      <c r="L7" s="3">
        <v>48</v>
      </c>
      <c r="M7" s="3">
        <v>32</v>
      </c>
      <c r="N7" s="3">
        <v>3</v>
      </c>
      <c r="O7" s="4">
        <f>G7/M7</f>
        <v>4</v>
      </c>
      <c r="P7" s="4">
        <f>F7*F7*D7*G7/(L7*M7)</f>
        <v>100</v>
      </c>
      <c r="Q7" s="4">
        <f>2*L7*M7*N7</f>
        <v>9216</v>
      </c>
      <c r="R7" s="4">
        <f>J7/(Q7*I7)</f>
        <v>97200</v>
      </c>
      <c r="S7" s="4">
        <f>F7*F7*D7</f>
        <v>1200</v>
      </c>
      <c r="T7" s="4">
        <f>G7</f>
        <v>128</v>
      </c>
      <c r="U7" s="4">
        <f>S7/L7</f>
        <v>25</v>
      </c>
      <c r="V7" s="4">
        <f>T7/M7</f>
        <v>4</v>
      </c>
      <c r="W7" s="4">
        <f>C7*C7+(F7*F7*H7*H7)/N7</f>
        <v>27664</v>
      </c>
      <c r="X7" s="4">
        <f>F7*F7*H7*H7</f>
        <v>72900</v>
      </c>
      <c r="Y7" s="4">
        <f>D7*F7*F7*G7</f>
        <v>153600</v>
      </c>
      <c r="Z7" s="4">
        <f>S7*T7*I7</f>
        <v>307200</v>
      </c>
      <c r="AA7" s="3">
        <v>2</v>
      </c>
      <c r="AB7" s="3">
        <v>1</v>
      </c>
      <c r="AC7" s="12">
        <v>6</v>
      </c>
      <c r="AD7">
        <f>AC7*L7*M7*N7</f>
        <v>27648</v>
      </c>
      <c r="AE7">
        <f>1000000*$H$1/MAX(R7,W7)</f>
        <v>3086.4197530864199</v>
      </c>
      <c r="AF7">
        <f>CEILING(Z7*AB7/18000,1) *M7</f>
        <v>576</v>
      </c>
    </row>
    <row r="8" spans="1:33" ht="15.75" customHeight="1">
      <c r="A8" s="4">
        <v>5</v>
      </c>
      <c r="B8" s="9" t="s">
        <v>39</v>
      </c>
      <c r="C8" s="4">
        <f t="shared" si="1"/>
        <v>54</v>
      </c>
      <c r="D8" s="4">
        <f t="shared" ref="D8:D20" si="3">G7</f>
        <v>128</v>
      </c>
      <c r="E8" s="3">
        <v>2</v>
      </c>
      <c r="F8" s="3">
        <v>3</v>
      </c>
      <c r="G8" s="4">
        <v>128</v>
      </c>
      <c r="H8" s="4">
        <f t="shared" ref="H8:H18" si="4">IF(B8="pad", C8+2*F8, IF(B8="pool", C8/E8, IF(OR(B8="conv",B8="fc"), (C8-F8+1)/E8,C8)))</f>
        <v>27</v>
      </c>
      <c r="I8" s="4">
        <f t="shared" si="2"/>
        <v>2</v>
      </c>
      <c r="J8" s="4">
        <f t="shared" si="0"/>
        <v>6561</v>
      </c>
      <c r="K8" s="10"/>
      <c r="L8" s="5"/>
      <c r="M8" s="5"/>
      <c r="N8" s="5"/>
      <c r="O8" s="4"/>
      <c r="P8" s="4"/>
      <c r="Q8" s="4"/>
      <c r="R8" s="4"/>
      <c r="S8" s="5"/>
      <c r="T8" s="5"/>
      <c r="U8" s="4"/>
      <c r="V8" s="5"/>
      <c r="W8" s="4"/>
      <c r="X8" s="5"/>
      <c r="Y8" s="5"/>
      <c r="Z8" s="4"/>
      <c r="AA8" s="5"/>
      <c r="AB8" s="5"/>
    </row>
    <row r="9" spans="1:33" ht="15.75" customHeight="1">
      <c r="A9" s="4">
        <v>6</v>
      </c>
      <c r="B9" s="8" t="s">
        <v>40</v>
      </c>
      <c r="C9" s="4">
        <f t="shared" si="1"/>
        <v>27</v>
      </c>
      <c r="D9" s="4">
        <f t="shared" si="3"/>
        <v>128</v>
      </c>
      <c r="E9" s="3">
        <v>1</v>
      </c>
      <c r="F9" s="4">
        <v>1</v>
      </c>
      <c r="G9" s="3">
        <v>256</v>
      </c>
      <c r="H9" s="4">
        <f t="shared" si="4"/>
        <v>27</v>
      </c>
      <c r="I9" s="4">
        <f t="shared" si="2"/>
        <v>2</v>
      </c>
      <c r="J9" s="4">
        <f t="shared" si="0"/>
        <v>0</v>
      </c>
      <c r="K9" s="10"/>
      <c r="L9" s="5"/>
      <c r="M9" s="5"/>
      <c r="N9" s="5"/>
      <c r="O9" s="4"/>
      <c r="P9" s="4"/>
      <c r="Q9" s="4"/>
      <c r="R9" s="4"/>
      <c r="S9" s="5"/>
      <c r="T9" s="5"/>
      <c r="U9" s="4"/>
      <c r="V9" s="5"/>
      <c r="W9" s="4"/>
      <c r="X9" s="5"/>
      <c r="Y9" s="5"/>
      <c r="Z9" s="4"/>
      <c r="AA9" s="5"/>
      <c r="AB9" s="5"/>
    </row>
    <row r="10" spans="1:33" ht="15.75" customHeight="1">
      <c r="A10" s="4">
        <v>7</v>
      </c>
      <c r="B10" s="8" t="s">
        <v>36</v>
      </c>
      <c r="C10" s="4">
        <f t="shared" si="1"/>
        <v>27</v>
      </c>
      <c r="D10" s="4">
        <f t="shared" si="3"/>
        <v>256</v>
      </c>
      <c r="E10" s="3">
        <v>1</v>
      </c>
      <c r="F10" s="3">
        <v>1</v>
      </c>
      <c r="G10" s="3">
        <v>256</v>
      </c>
      <c r="H10" s="4">
        <f t="shared" si="4"/>
        <v>29</v>
      </c>
      <c r="I10" s="4">
        <f t="shared" si="2"/>
        <v>1</v>
      </c>
      <c r="J10" s="4"/>
      <c r="K10" s="10"/>
      <c r="L10" s="4"/>
      <c r="M10" s="4"/>
      <c r="N10" s="3"/>
      <c r="O10" s="4"/>
      <c r="P10" s="4"/>
      <c r="Q10" s="4"/>
      <c r="R10" s="4"/>
      <c r="S10" s="4"/>
      <c r="T10" s="4"/>
      <c r="U10" s="3"/>
      <c r="V10" s="4"/>
      <c r="W10" s="4"/>
      <c r="X10" s="4"/>
      <c r="Y10" s="4"/>
      <c r="Z10" s="4"/>
      <c r="AA10" s="4"/>
      <c r="AB10" s="4"/>
    </row>
    <row r="11" spans="1:33" ht="15.75" customHeight="1">
      <c r="A11" s="4">
        <v>8</v>
      </c>
      <c r="B11" s="9" t="s">
        <v>37</v>
      </c>
      <c r="C11" s="4">
        <f t="shared" si="1"/>
        <v>29</v>
      </c>
      <c r="D11" s="4">
        <f t="shared" si="3"/>
        <v>256</v>
      </c>
      <c r="E11" s="3">
        <v>1</v>
      </c>
      <c r="F11" s="4">
        <v>3</v>
      </c>
      <c r="G11" s="3">
        <v>384</v>
      </c>
      <c r="H11" s="4">
        <f t="shared" si="4"/>
        <v>27</v>
      </c>
      <c r="I11" s="4">
        <f t="shared" si="2"/>
        <v>1</v>
      </c>
      <c r="J11" s="4">
        <f t="shared" ref="J11:J23" si="5">IF(B11="pad", 0, IF(B11="pool", H11*H11*F11*F11, IF(OR(B11="conv",B11="fc"), I11*2*H11*H11*F11*F11*D11*G11,0)))</f>
        <v>1289945088</v>
      </c>
      <c r="K11" s="10">
        <f>J11/SUM(J$4:J$23)*100</f>
        <v>33.29600820124368</v>
      </c>
      <c r="L11" s="3">
        <v>64</v>
      </c>
      <c r="M11" s="3">
        <v>128</v>
      </c>
      <c r="N11" s="3">
        <v>1</v>
      </c>
      <c r="O11" s="4">
        <f>G11/M11</f>
        <v>3</v>
      </c>
      <c r="P11" s="4">
        <f>F11*F11*D11*G11/(L11*M11)</f>
        <v>108</v>
      </c>
      <c r="Q11" s="4">
        <f>2*L11*M11*N11</f>
        <v>16384</v>
      </c>
      <c r="R11" s="4">
        <f>J11/(Q11*I11)</f>
        <v>78732</v>
      </c>
      <c r="S11" s="4">
        <f>F11*F11*D11</f>
        <v>2304</v>
      </c>
      <c r="T11" s="4">
        <f>G11</f>
        <v>384</v>
      </c>
      <c r="U11" s="4">
        <f>S11/L11</f>
        <v>36</v>
      </c>
      <c r="V11" s="4">
        <f>T11/M11</f>
        <v>3</v>
      </c>
      <c r="W11" s="4">
        <f>C11*C11+(F11*F11*H11*H11)/N11</f>
        <v>7402</v>
      </c>
      <c r="X11" s="4">
        <f>F11*F11*H11*H11</f>
        <v>6561</v>
      </c>
      <c r="Y11" s="4">
        <f>D11*F11*F11*G11</f>
        <v>884736</v>
      </c>
      <c r="Z11" s="4">
        <f>S11*T11*I11</f>
        <v>884736</v>
      </c>
      <c r="AA11" s="3">
        <v>2</v>
      </c>
      <c r="AB11" s="3">
        <v>1</v>
      </c>
      <c r="AC11" s="12">
        <v>6</v>
      </c>
      <c r="AD11">
        <f>AC11*L11*M11*N11</f>
        <v>49152</v>
      </c>
      <c r="AE11">
        <f>1000000*$H$1/MAX(R11,W11)</f>
        <v>3810.3947568968147</v>
      </c>
      <c r="AF11">
        <f>CEILING(Z11*AB11/18000,1) *M11</f>
        <v>6400</v>
      </c>
    </row>
    <row r="12" spans="1:33" ht="15.75" customHeight="1">
      <c r="A12" s="4">
        <v>9</v>
      </c>
      <c r="B12" s="9" t="s">
        <v>36</v>
      </c>
      <c r="C12" s="4">
        <f t="shared" si="1"/>
        <v>27</v>
      </c>
      <c r="D12" s="4">
        <f t="shared" si="3"/>
        <v>384</v>
      </c>
      <c r="E12" s="3">
        <v>1</v>
      </c>
      <c r="F12" s="3">
        <v>0.5</v>
      </c>
      <c r="G12" s="3">
        <v>384</v>
      </c>
      <c r="H12" s="4">
        <f t="shared" si="4"/>
        <v>28</v>
      </c>
      <c r="I12" s="4">
        <f t="shared" si="2"/>
        <v>1</v>
      </c>
      <c r="J12" s="4">
        <f t="shared" si="5"/>
        <v>0</v>
      </c>
      <c r="K12" s="10"/>
      <c r="L12" s="5"/>
      <c r="M12" s="5"/>
      <c r="N12" s="5"/>
      <c r="O12" s="4"/>
      <c r="P12" s="4"/>
      <c r="Q12" s="4"/>
      <c r="R12" s="4"/>
      <c r="S12" s="5"/>
      <c r="T12" s="5"/>
      <c r="U12" s="4"/>
      <c r="V12" s="5"/>
      <c r="W12" s="4"/>
      <c r="X12" s="5"/>
      <c r="Y12" s="5"/>
      <c r="Z12" s="4"/>
      <c r="AA12" s="5"/>
      <c r="AB12" s="5"/>
    </row>
    <row r="13" spans="1:33" ht="15.75" customHeight="1">
      <c r="A13" s="4">
        <v>10</v>
      </c>
      <c r="B13" s="9" t="s">
        <v>39</v>
      </c>
      <c r="C13" s="4">
        <f t="shared" si="1"/>
        <v>28</v>
      </c>
      <c r="D13" s="4">
        <f t="shared" si="3"/>
        <v>384</v>
      </c>
      <c r="E13" s="3">
        <v>2</v>
      </c>
      <c r="F13" s="3">
        <v>3</v>
      </c>
      <c r="G13" s="3">
        <v>384</v>
      </c>
      <c r="H13" s="4">
        <f t="shared" si="4"/>
        <v>14</v>
      </c>
      <c r="I13" s="4">
        <f t="shared" si="2"/>
        <v>1</v>
      </c>
      <c r="J13" s="4">
        <f t="shared" si="5"/>
        <v>1764</v>
      </c>
      <c r="K13" s="10"/>
      <c r="L13" s="5"/>
      <c r="M13" s="5"/>
      <c r="N13" s="5"/>
      <c r="O13" s="4"/>
      <c r="P13" s="4"/>
      <c r="Q13" s="4"/>
      <c r="R13" s="4"/>
      <c r="S13" s="5"/>
      <c r="T13" s="5"/>
      <c r="U13" s="4"/>
      <c r="V13" s="5"/>
      <c r="W13" s="4"/>
      <c r="X13" s="5"/>
      <c r="Y13" s="5"/>
      <c r="Z13" s="4"/>
      <c r="AA13" s="5"/>
      <c r="AB13" s="5"/>
    </row>
    <row r="14" spans="1:33" ht="15.75" customHeight="1">
      <c r="A14" s="4">
        <v>11</v>
      </c>
      <c r="B14" s="8" t="s">
        <v>38</v>
      </c>
      <c r="C14" s="4">
        <f t="shared" si="1"/>
        <v>14</v>
      </c>
      <c r="D14" s="4">
        <f t="shared" si="3"/>
        <v>384</v>
      </c>
      <c r="E14" s="3">
        <v>1</v>
      </c>
      <c r="F14" s="3">
        <v>1</v>
      </c>
      <c r="G14" s="3">
        <v>192</v>
      </c>
      <c r="H14" s="4">
        <f t="shared" si="4"/>
        <v>14</v>
      </c>
      <c r="I14" s="4">
        <f t="shared" si="2"/>
        <v>1</v>
      </c>
      <c r="J14" s="4">
        <f t="shared" si="5"/>
        <v>0</v>
      </c>
      <c r="K14" s="10"/>
      <c r="L14" s="5"/>
      <c r="M14" s="5"/>
      <c r="N14" s="5"/>
      <c r="O14" s="4"/>
      <c r="P14" s="4"/>
      <c r="Q14" s="4"/>
      <c r="R14" s="4"/>
      <c r="S14" s="5"/>
      <c r="T14" s="5"/>
      <c r="U14" s="4"/>
      <c r="V14" s="5"/>
      <c r="W14" s="4"/>
      <c r="X14" s="5"/>
      <c r="Y14" s="5"/>
      <c r="Z14" s="4"/>
      <c r="AA14" s="5"/>
      <c r="AB14" s="5"/>
    </row>
    <row r="15" spans="1:33" ht="15.75" customHeight="1">
      <c r="A15" s="4">
        <v>12</v>
      </c>
      <c r="B15" s="8" t="s">
        <v>36</v>
      </c>
      <c r="C15" s="4">
        <f t="shared" si="1"/>
        <v>14</v>
      </c>
      <c r="D15" s="4">
        <f t="shared" si="3"/>
        <v>192</v>
      </c>
      <c r="E15" s="3">
        <v>1</v>
      </c>
      <c r="F15" s="4">
        <v>1</v>
      </c>
      <c r="G15" s="3">
        <v>192</v>
      </c>
      <c r="H15" s="4">
        <f t="shared" si="4"/>
        <v>16</v>
      </c>
      <c r="I15" s="4">
        <f t="shared" si="2"/>
        <v>2</v>
      </c>
      <c r="J15" s="4">
        <f t="shared" si="5"/>
        <v>0</v>
      </c>
      <c r="K15" s="10"/>
      <c r="L15" s="5"/>
      <c r="M15" s="5"/>
      <c r="N15" s="5"/>
      <c r="O15" s="4"/>
      <c r="P15" s="4"/>
      <c r="Q15" s="4"/>
      <c r="R15" s="4"/>
      <c r="S15" s="5"/>
      <c r="T15" s="5"/>
      <c r="U15" s="4"/>
      <c r="V15" s="5"/>
      <c r="W15" s="4"/>
      <c r="X15" s="5"/>
      <c r="Y15" s="5"/>
      <c r="Z15" s="4"/>
      <c r="AA15" s="5"/>
      <c r="AB15" s="5"/>
    </row>
    <row r="16" spans="1:33" ht="15.75" customHeight="1">
      <c r="A16" s="4">
        <v>13</v>
      </c>
      <c r="B16" s="9" t="s">
        <v>37</v>
      </c>
      <c r="C16" s="4">
        <f t="shared" si="1"/>
        <v>16</v>
      </c>
      <c r="D16" s="4">
        <f t="shared" si="3"/>
        <v>192</v>
      </c>
      <c r="E16" s="3">
        <v>1</v>
      </c>
      <c r="F16" s="4">
        <v>3</v>
      </c>
      <c r="G16" s="3">
        <v>192</v>
      </c>
      <c r="H16" s="4">
        <f t="shared" si="4"/>
        <v>14</v>
      </c>
      <c r="I16" s="4">
        <f t="shared" si="2"/>
        <v>2</v>
      </c>
      <c r="J16" s="4">
        <f t="shared" si="5"/>
        <v>260112384</v>
      </c>
      <c r="K16" s="10">
        <f>J16/SUM(J$4:J$23)*100</f>
        <v>6.7140098842014009</v>
      </c>
      <c r="L16" s="3">
        <v>32</v>
      </c>
      <c r="M16" s="3">
        <v>16</v>
      </c>
      <c r="N16" s="3">
        <v>2</v>
      </c>
      <c r="O16" s="4">
        <f>G16/M16</f>
        <v>12</v>
      </c>
      <c r="P16" s="4">
        <f>F16*F16*D16*G16/(L16*M16)</f>
        <v>648</v>
      </c>
      <c r="Q16" s="4">
        <f>2*L16*M16*N16</f>
        <v>2048</v>
      </c>
      <c r="R16" s="4">
        <f>J16/(Q16*I16)</f>
        <v>63504</v>
      </c>
      <c r="S16" s="4">
        <f>F16*F16*D16</f>
        <v>1728</v>
      </c>
      <c r="T16" s="4">
        <f>G16</f>
        <v>192</v>
      </c>
      <c r="U16" s="4">
        <f>S16/L16</f>
        <v>54</v>
      </c>
      <c r="V16" s="4">
        <f>T16/M16</f>
        <v>12</v>
      </c>
      <c r="W16" s="4">
        <f>C16*C16+(F16*F16*H16*H16)/N16</f>
        <v>1138</v>
      </c>
      <c r="X16" s="4">
        <f>F16*F16*H16*H16</f>
        <v>1764</v>
      </c>
      <c r="Y16" s="4">
        <f>D16*F16*F16*G16</f>
        <v>331776</v>
      </c>
      <c r="Z16" s="4">
        <f>S16*T16*I16</f>
        <v>663552</v>
      </c>
      <c r="AA16" s="3">
        <v>2</v>
      </c>
      <c r="AB16" s="3">
        <v>1</v>
      </c>
      <c r="AC16" s="12">
        <v>6</v>
      </c>
      <c r="AD16">
        <f>AC16*L16*M16*N16</f>
        <v>6144</v>
      </c>
      <c r="AE16">
        <f>1000000*$H$1/MAX(R16,W16)</f>
        <v>4724.1118669690095</v>
      </c>
      <c r="AF16">
        <f>CEILING(Z16*AB16/18000,1) *M16</f>
        <v>592</v>
      </c>
    </row>
    <row r="17" spans="1:33" ht="15.75" customHeight="1">
      <c r="A17" s="4">
        <v>14</v>
      </c>
      <c r="B17" s="9" t="s">
        <v>36</v>
      </c>
      <c r="C17" s="4">
        <f t="shared" si="1"/>
        <v>14</v>
      </c>
      <c r="D17" s="4">
        <f t="shared" si="3"/>
        <v>192</v>
      </c>
      <c r="E17" s="3">
        <v>1</v>
      </c>
      <c r="F17" s="4">
        <v>1</v>
      </c>
      <c r="G17" s="3">
        <v>192</v>
      </c>
      <c r="H17" s="4">
        <f t="shared" si="4"/>
        <v>16</v>
      </c>
      <c r="I17" s="4">
        <f t="shared" si="2"/>
        <v>2</v>
      </c>
      <c r="J17" s="4">
        <f t="shared" si="5"/>
        <v>0</v>
      </c>
      <c r="K17" s="10"/>
      <c r="L17" s="5"/>
      <c r="M17" s="5"/>
      <c r="N17" s="5"/>
      <c r="O17" s="4"/>
      <c r="P17" s="4"/>
      <c r="Q17" s="4"/>
      <c r="R17" s="4"/>
      <c r="S17" s="5"/>
      <c r="T17" s="5"/>
      <c r="U17" s="4"/>
      <c r="V17" s="5"/>
      <c r="W17" s="4"/>
      <c r="X17" s="5"/>
      <c r="Y17" s="5"/>
      <c r="Z17" s="4"/>
      <c r="AA17" s="5"/>
      <c r="AB17" s="5"/>
    </row>
    <row r="18" spans="1:33" ht="15.75" customHeight="1">
      <c r="A18" s="4">
        <v>15</v>
      </c>
      <c r="B18" s="9" t="s">
        <v>37</v>
      </c>
      <c r="C18" s="4">
        <f t="shared" si="1"/>
        <v>16</v>
      </c>
      <c r="D18" s="4">
        <f t="shared" si="3"/>
        <v>192</v>
      </c>
      <c r="E18" s="3">
        <v>1</v>
      </c>
      <c r="F18" s="4">
        <v>3</v>
      </c>
      <c r="G18" s="3">
        <v>128</v>
      </c>
      <c r="H18" s="4">
        <f t="shared" si="4"/>
        <v>14</v>
      </c>
      <c r="I18" s="4">
        <f t="shared" si="2"/>
        <v>2</v>
      </c>
      <c r="J18" s="4">
        <f t="shared" si="5"/>
        <v>173408256</v>
      </c>
      <c r="K18" s="10">
        <f>J18/SUM(J$4:J$23)*100</f>
        <v>4.4760065894676009</v>
      </c>
      <c r="L18" s="3">
        <v>32</v>
      </c>
      <c r="M18" s="3">
        <v>8</v>
      </c>
      <c r="N18" s="3">
        <v>2</v>
      </c>
      <c r="O18" s="4">
        <f>G18/M18</f>
        <v>16</v>
      </c>
      <c r="P18" s="4">
        <f>F18*F18*D18*G18/(L18*M18)</f>
        <v>864</v>
      </c>
      <c r="Q18" s="4">
        <f>2*L18*M18*N18</f>
        <v>1024</v>
      </c>
      <c r="R18" s="4">
        <f>J18/(Q18*I18)</f>
        <v>84672</v>
      </c>
      <c r="S18" s="4">
        <f>F18*F18*D18</f>
        <v>1728</v>
      </c>
      <c r="T18" s="4">
        <f>G18</f>
        <v>128</v>
      </c>
      <c r="U18" s="4">
        <f>S18/L18</f>
        <v>54</v>
      </c>
      <c r="V18" s="4">
        <f>T18/M18</f>
        <v>16</v>
      </c>
      <c r="W18" s="4">
        <f>C18*C18+(F18*F18*H18*H18)/N18</f>
        <v>1138</v>
      </c>
      <c r="X18" s="4">
        <f>F18*F18*H18*H18</f>
        <v>1764</v>
      </c>
      <c r="Y18" s="4">
        <f>D18*F18*F18*G18</f>
        <v>221184</v>
      </c>
      <c r="Z18" s="4">
        <f>S18*T18*I18</f>
        <v>442368</v>
      </c>
      <c r="AA18" s="3">
        <v>2</v>
      </c>
      <c r="AB18" s="3">
        <v>1</v>
      </c>
      <c r="AC18" s="12">
        <v>6</v>
      </c>
      <c r="AD18">
        <f>AC18*L18*M18*N18</f>
        <v>3072</v>
      </c>
      <c r="AE18">
        <f>1000000*$H$1/MAX(R18,W18)</f>
        <v>3543.0839002267576</v>
      </c>
      <c r="AF18">
        <f>CEILING(Z18*AB18/18000,1) *M18</f>
        <v>200</v>
      </c>
    </row>
    <row r="19" spans="1:33" ht="15.75" customHeight="1">
      <c r="A19" s="4">
        <v>16</v>
      </c>
      <c r="B19" s="9" t="s">
        <v>39</v>
      </c>
      <c r="C19" s="4">
        <f t="shared" si="1"/>
        <v>14</v>
      </c>
      <c r="D19" s="4">
        <f t="shared" si="3"/>
        <v>128</v>
      </c>
      <c r="E19" s="3">
        <v>2</v>
      </c>
      <c r="F19" s="3">
        <v>3</v>
      </c>
      <c r="G19" s="3">
        <v>128</v>
      </c>
      <c r="H19" s="3">
        <v>6</v>
      </c>
      <c r="I19" s="4">
        <f t="shared" si="2"/>
        <v>2</v>
      </c>
      <c r="J19" s="4">
        <f t="shared" si="5"/>
        <v>324</v>
      </c>
      <c r="K19" s="10"/>
      <c r="L19" s="5"/>
      <c r="M19" s="5"/>
      <c r="N19" s="5"/>
      <c r="O19" s="4"/>
      <c r="P19" s="4"/>
      <c r="Q19" s="4"/>
      <c r="R19" s="4"/>
      <c r="S19" s="5"/>
      <c r="T19" s="5"/>
      <c r="U19" s="4"/>
      <c r="V19" s="5"/>
      <c r="W19" s="5"/>
      <c r="X19" s="5"/>
      <c r="Y19" s="5"/>
      <c r="Z19" s="5"/>
      <c r="AA19" s="11"/>
      <c r="AB19" s="5"/>
    </row>
    <row r="20" spans="1:33" ht="15.75" customHeight="1">
      <c r="A20" s="4">
        <v>17</v>
      </c>
      <c r="B20" s="8" t="s">
        <v>40</v>
      </c>
      <c r="C20" s="4">
        <f t="shared" si="1"/>
        <v>6</v>
      </c>
      <c r="D20" s="4">
        <f t="shared" si="3"/>
        <v>128</v>
      </c>
      <c r="E20" s="3">
        <v>1</v>
      </c>
      <c r="F20" s="3">
        <v>1</v>
      </c>
      <c r="G20" s="3">
        <v>256</v>
      </c>
      <c r="H20" s="4">
        <f>IF(B20="pad", C20+2*F20, IF(B20="pool", C20/E20, IF(OR(B20="conv",B20="fc"), (C20-F20+1)/E20,C20)))</f>
        <v>6</v>
      </c>
      <c r="I20" s="4">
        <f t="shared" si="2"/>
        <v>2</v>
      </c>
      <c r="J20" s="4">
        <f t="shared" si="5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4"/>
      <c r="Z20" s="4"/>
      <c r="AA20" s="4"/>
      <c r="AB20" s="4"/>
    </row>
    <row r="21" spans="1:33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>
        <v>4096</v>
      </c>
      <c r="H21" s="3">
        <v>1</v>
      </c>
      <c r="I21" s="4">
        <f t="shared" si="2"/>
        <v>1</v>
      </c>
      <c r="J21" s="4">
        <f t="shared" si="5"/>
        <v>75497472</v>
      </c>
      <c r="K21" s="10">
        <f>J21/SUM(J$4:J$23)*100</f>
        <v>1.9487375627614045</v>
      </c>
      <c r="L21" s="3">
        <v>64</v>
      </c>
      <c r="M21" s="3">
        <v>8</v>
      </c>
      <c r="N21" s="4">
        <v>1</v>
      </c>
      <c r="O21" s="4">
        <f>G21/M21</f>
        <v>512</v>
      </c>
      <c r="P21" s="4">
        <f>F21*F21*D21*G21/(L21*M21)</f>
        <v>73728</v>
      </c>
      <c r="Q21" s="4">
        <f>2*L21*M21*N21</f>
        <v>1024</v>
      </c>
      <c r="R21" s="4">
        <f>J21/(Q21*I21)</f>
        <v>73728</v>
      </c>
      <c r="S21" s="4">
        <f>F21*F21*D21</f>
        <v>9216</v>
      </c>
      <c r="T21" s="4">
        <f>G21</f>
        <v>4096</v>
      </c>
      <c r="U21" s="4">
        <f t="shared" ref="U21:V23" si="6">S21/L21</f>
        <v>144</v>
      </c>
      <c r="V21" s="4">
        <f t="shared" si="6"/>
        <v>512</v>
      </c>
      <c r="W21" s="5"/>
      <c r="X21" s="5"/>
      <c r="Y21" s="4">
        <f>D21*F21*F21*G21</f>
        <v>37748736</v>
      </c>
      <c r="Z21" s="4">
        <f>S21*T21</f>
        <v>37748736</v>
      </c>
      <c r="AA21" s="3">
        <v>2</v>
      </c>
      <c r="AB21" s="3">
        <v>1</v>
      </c>
      <c r="AC21" s="12">
        <v>6</v>
      </c>
      <c r="AD21">
        <f>AC21*L21*M21*N21</f>
        <v>3072</v>
      </c>
      <c r="AE21">
        <f>1000000*$H$1/MAX(R21,W21)</f>
        <v>4069.0104166666665</v>
      </c>
      <c r="AF21">
        <f>CEILING(Z21*AB21/18000,1) *M21</f>
        <v>16784</v>
      </c>
      <c r="AG21">
        <f>Z21*M$1*AB21*H21*H21/(1024*1024*1024)</f>
        <v>108.50694444444444</v>
      </c>
    </row>
    <row r="22" spans="1:33" ht="15.75" customHeight="1">
      <c r="A22" s="4">
        <v>19</v>
      </c>
      <c r="B22" s="9" t="s">
        <v>41</v>
      </c>
      <c r="C22" s="4">
        <f>H21</f>
        <v>1</v>
      </c>
      <c r="D22" s="4">
        <f>G21</f>
        <v>4096</v>
      </c>
      <c r="E22" s="3">
        <v>1</v>
      </c>
      <c r="F22" s="4">
        <v>1</v>
      </c>
      <c r="G22" s="3">
        <v>4096</v>
      </c>
      <c r="H22" s="4">
        <f>IF(B22="pad", C22+2*F22, IF(B22="pool", C22/E22, IF(OR(B22="conv",B22="fc"), (C22-F22+1)/E22,C22)))</f>
        <v>1</v>
      </c>
      <c r="I22" s="4">
        <f t="shared" si="2"/>
        <v>1</v>
      </c>
      <c r="J22" s="4">
        <f t="shared" si="5"/>
        <v>33554432</v>
      </c>
      <c r="K22" s="10">
        <f>J22/SUM(J$4:J$23)*100</f>
        <v>0.86610558344951305</v>
      </c>
      <c r="L22" s="3">
        <v>64</v>
      </c>
      <c r="M22" s="3">
        <v>4</v>
      </c>
      <c r="N22" s="4">
        <v>1</v>
      </c>
      <c r="O22" s="4">
        <f>G22/M22</f>
        <v>1024</v>
      </c>
      <c r="P22" s="4">
        <f>F22*F22*D22*G22/(L22*M22)</f>
        <v>65536</v>
      </c>
      <c r="Q22" s="4">
        <f>2*L22*M22*N22</f>
        <v>512</v>
      </c>
      <c r="R22" s="4">
        <f>J22/(Q22*I22)</f>
        <v>65536</v>
      </c>
      <c r="S22" s="4">
        <f>F22*F22*D22</f>
        <v>4096</v>
      </c>
      <c r="T22" s="4">
        <f>G22</f>
        <v>4096</v>
      </c>
      <c r="U22" s="4">
        <f t="shared" si="6"/>
        <v>64</v>
      </c>
      <c r="V22" s="4">
        <f t="shared" si="6"/>
        <v>1024</v>
      </c>
      <c r="W22" s="5"/>
      <c r="X22" s="5"/>
      <c r="Y22" s="4">
        <f>D22*F22*F22*G22</f>
        <v>16777216</v>
      </c>
      <c r="Z22" s="4">
        <f>S22*T22</f>
        <v>16777216</v>
      </c>
      <c r="AA22" s="3">
        <v>2</v>
      </c>
      <c r="AB22" s="3">
        <v>1</v>
      </c>
      <c r="AC22" s="12">
        <v>6</v>
      </c>
      <c r="AD22">
        <f>AC22*L22*M22*N22</f>
        <v>1536</v>
      </c>
      <c r="AE22">
        <f>1000000*$H$1/MAX(R22,W22)</f>
        <v>4577.63671875</v>
      </c>
      <c r="AF22">
        <f>CEILING(Z22*AB22/18000,1) *M22</f>
        <v>3732</v>
      </c>
      <c r="AG22">
        <f>Z22*M$1*AB22*H22*H22/(1024*1024*1024)</f>
        <v>48.22530864197531</v>
      </c>
    </row>
    <row r="23" spans="1:33" ht="15.75" customHeight="1">
      <c r="A23" s="4">
        <v>20</v>
      </c>
      <c r="B23" s="9" t="s">
        <v>41</v>
      </c>
      <c r="C23" s="4">
        <f>H22</f>
        <v>1</v>
      </c>
      <c r="D23" s="4">
        <f>G22</f>
        <v>4096</v>
      </c>
      <c r="E23" s="3">
        <v>1</v>
      </c>
      <c r="F23" s="4">
        <v>1</v>
      </c>
      <c r="G23" s="3">
        <v>1000</v>
      </c>
      <c r="H23" s="4">
        <f>IF(B23="pad", C23+2*F23, IF(B23="pool", C23/E23, IF(OR(B23="conv",B23="fc"), (C23-F23+1)/E23,C23)))</f>
        <v>1</v>
      </c>
      <c r="I23" s="4">
        <f t="shared" si="2"/>
        <v>1</v>
      </c>
      <c r="J23" s="4">
        <f t="shared" si="5"/>
        <v>8192000</v>
      </c>
      <c r="K23" s="10">
        <f>J23/SUM(J$4:J$23)*100</f>
        <v>0.21145155845935376</v>
      </c>
      <c r="L23" s="3">
        <v>8</v>
      </c>
      <c r="M23" s="3">
        <v>8</v>
      </c>
      <c r="N23" s="4">
        <v>1</v>
      </c>
      <c r="O23" s="4">
        <f>G23/M23</f>
        <v>125</v>
      </c>
      <c r="P23" s="4">
        <f>F23*F23*D23*G23/(L23*M23)</f>
        <v>64000</v>
      </c>
      <c r="Q23" s="4">
        <f>2*L23*M23*N23</f>
        <v>128</v>
      </c>
      <c r="R23" s="4">
        <f>J23/(Q23*I23)</f>
        <v>64000</v>
      </c>
      <c r="S23" s="4">
        <f>F23*F23*D23</f>
        <v>4096</v>
      </c>
      <c r="T23" s="4">
        <f>G23</f>
        <v>1000</v>
      </c>
      <c r="U23" s="4">
        <f t="shared" si="6"/>
        <v>512</v>
      </c>
      <c r="V23" s="4">
        <f t="shared" si="6"/>
        <v>125</v>
      </c>
      <c r="W23" s="5"/>
      <c r="X23" s="5"/>
      <c r="Y23" s="4">
        <f>D23*F23*F23*G23</f>
        <v>4096000</v>
      </c>
      <c r="Z23" s="4">
        <f>S23*T23</f>
        <v>4096000</v>
      </c>
      <c r="AA23" s="3">
        <v>2</v>
      </c>
      <c r="AB23" s="3">
        <v>4</v>
      </c>
      <c r="AC23" s="12">
        <v>8.5</v>
      </c>
      <c r="AD23">
        <f>AC23*L23*M23*N23</f>
        <v>544</v>
      </c>
      <c r="AE23">
        <f>1000000*$H$1/MAX(R23,W23)</f>
        <v>4687.5</v>
      </c>
      <c r="AF23">
        <f>CEILING(Z23*AB23/18000,1) *M23</f>
        <v>7288</v>
      </c>
      <c r="AG23">
        <f>Z23*M$1*AB23*H23*H23/(1024*1024*1024)</f>
        <v>47.095027970679013</v>
      </c>
    </row>
    <row r="26" spans="1:33" ht="15.75" customHeight="1">
      <c r="AD26">
        <f>SUM(AD4:AD18)</f>
        <v>119064</v>
      </c>
    </row>
    <row r="28" spans="1:33" ht="15.75" customHeight="1">
      <c r="H28" s="12"/>
    </row>
    <row r="30" spans="1:33" ht="15.75" customHeight="1">
      <c r="E30" s="12"/>
    </row>
    <row r="31" spans="1:33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topLeftCell="M1" workbookViewId="0">
      <selection activeCell="Z26" sqref="Z26:Z27"/>
    </sheetView>
  </sheetViews>
  <sheetFormatPr defaultColWidth="14.42578125" defaultRowHeight="15.75" customHeight="1"/>
  <cols>
    <col min="1" max="1" width="8.7109375" style="18" customWidth="1"/>
    <col min="2" max="2" width="14.42578125" style="18"/>
    <col min="3" max="3" width="6.85546875" style="18" customWidth="1"/>
    <col min="4" max="4" width="11.42578125" style="18" customWidth="1"/>
    <col min="5" max="8" width="14.42578125" style="18"/>
    <col min="9" max="9" width="17.42578125" style="18" customWidth="1"/>
    <col min="10" max="10" width="24.42578125" style="18" customWidth="1"/>
    <col min="11" max="24" width="14.42578125" style="18"/>
    <col min="25" max="25" width="22.140625" style="18" customWidth="1"/>
    <col min="26" max="26" width="16.85546875" style="18" customWidth="1"/>
    <col min="27" max="27" width="16.28515625" style="18" customWidth="1"/>
    <col min="28" max="28" width="14.42578125" style="18" customWidth="1"/>
    <col min="29" max="29" width="19.85546875" style="18" customWidth="1"/>
    <col min="30" max="30" width="20.85546875" style="18" customWidth="1"/>
    <col min="31" max="32" width="16.42578125" style="18" customWidth="1"/>
    <col min="33" max="33" width="16.42578125" style="20" customWidth="1"/>
    <col min="34" max="34" width="16.42578125" style="18" customWidth="1"/>
    <col min="35" max="16384" width="14.42578125" style="18"/>
  </cols>
  <sheetData>
    <row r="1" spans="1:34" ht="15.75" customHeight="1">
      <c r="A1" s="17" t="s">
        <v>0</v>
      </c>
      <c r="B1" s="34" t="s">
        <v>1</v>
      </c>
      <c r="C1" s="35"/>
      <c r="D1" s="35"/>
      <c r="E1" s="35"/>
      <c r="F1" s="35"/>
      <c r="G1" s="17" t="s">
        <v>2</v>
      </c>
      <c r="H1" s="4">
        <v>300</v>
      </c>
      <c r="I1" s="17"/>
      <c r="J1" s="17" t="s">
        <v>3</v>
      </c>
      <c r="K1" s="4">
        <f>MAX(MAX(R4:R20),MAX(W4:W20))</f>
        <v>56448</v>
      </c>
      <c r="L1" s="17" t="s">
        <v>4</v>
      </c>
      <c r="M1" s="4">
        <f>1000000*H1/K1</f>
        <v>5314.6258503401359</v>
      </c>
      <c r="N1" s="11"/>
      <c r="O1" s="11"/>
      <c r="P1" s="11"/>
      <c r="Q1" s="11"/>
      <c r="R1" s="17" t="s">
        <v>5</v>
      </c>
      <c r="S1" s="4">
        <f>SUM(J3:J23)/(C3*C3*D3+G23*2)</f>
        <v>5062.6666579278526</v>
      </c>
      <c r="T1" s="11"/>
      <c r="U1" s="11"/>
      <c r="V1" s="11"/>
      <c r="W1" s="11"/>
      <c r="X1" s="11"/>
      <c r="Y1" s="6"/>
      <c r="Z1" s="11"/>
      <c r="AA1" s="11"/>
      <c r="AB1" s="11"/>
    </row>
    <row r="2" spans="1:34" ht="15.75" customHeight="1">
      <c r="A2" s="17" t="s">
        <v>6</v>
      </c>
      <c r="B2" s="17" t="s">
        <v>7</v>
      </c>
      <c r="C2" s="17" t="s">
        <v>8</v>
      </c>
      <c r="D2" s="17" t="s">
        <v>9</v>
      </c>
      <c r="E2" s="17" t="s">
        <v>10</v>
      </c>
      <c r="F2" s="17" t="s">
        <v>11</v>
      </c>
      <c r="G2" s="17" t="s">
        <v>12</v>
      </c>
      <c r="H2" s="17" t="s">
        <v>13</v>
      </c>
      <c r="I2" s="17" t="s">
        <v>14</v>
      </c>
      <c r="J2" s="17" t="str">
        <f>"ops, total: " &amp; SUM(J3:J111)/1000000 &amp;"M"</f>
        <v>ops, total: 805.209444M</v>
      </c>
      <c r="K2" s="17" t="s">
        <v>15</v>
      </c>
      <c r="L2" s="17" t="s">
        <v>16</v>
      </c>
      <c r="M2" s="17" t="s">
        <v>17</v>
      </c>
      <c r="N2" s="17" t="s">
        <v>18</v>
      </c>
      <c r="O2" s="17" t="s">
        <v>19</v>
      </c>
      <c r="P2" s="17" t="s">
        <v>20</v>
      </c>
      <c r="Q2" s="17" t="s">
        <v>21</v>
      </c>
      <c r="R2" s="17" t="s">
        <v>22</v>
      </c>
      <c r="S2" s="17" t="s">
        <v>23</v>
      </c>
      <c r="T2" s="17" t="s">
        <v>24</v>
      </c>
      <c r="U2" s="17" t="s">
        <v>25</v>
      </c>
      <c r="V2" s="17" t="s">
        <v>26</v>
      </c>
      <c r="W2" s="17" t="s">
        <v>27</v>
      </c>
      <c r="X2" s="17" t="s">
        <v>28</v>
      </c>
      <c r="Y2" s="17" t="s">
        <v>29</v>
      </c>
      <c r="Z2" s="17" t="s">
        <v>30</v>
      </c>
      <c r="AA2" s="17" t="s">
        <v>31</v>
      </c>
      <c r="AB2" s="17" t="s">
        <v>32</v>
      </c>
      <c r="AC2" s="7" t="s">
        <v>42</v>
      </c>
      <c r="AD2" s="7" t="s">
        <v>43</v>
      </c>
      <c r="AE2" s="7" t="s">
        <v>33</v>
      </c>
      <c r="AF2" s="7" t="s">
        <v>34</v>
      </c>
      <c r="AG2" s="7"/>
      <c r="AH2" s="7" t="s">
        <v>35</v>
      </c>
    </row>
    <row r="3" spans="1:34" ht="15.75" customHeight="1">
      <c r="A3" s="4">
        <v>0</v>
      </c>
      <c r="B3" s="11" t="s">
        <v>36</v>
      </c>
      <c r="C3" s="4">
        <v>224</v>
      </c>
      <c r="D3" s="4">
        <v>3</v>
      </c>
      <c r="E3" s="4">
        <v>1</v>
      </c>
      <c r="F3" s="4">
        <v>1</v>
      </c>
      <c r="G3" s="4">
        <v>3</v>
      </c>
      <c r="H3" s="4">
        <f>IF(B3="pad", C3+2*F3, IF(B3="pool", C3/F3, IF(OR(B3="conv",B3="fc"), C3-F3+1,C3)))</f>
        <v>226</v>
      </c>
      <c r="I3" s="4">
        <v>1</v>
      </c>
      <c r="J3" s="4">
        <f t="shared" ref="J3:J26" si="0">IF(B3="pad", 0, IF(B3="pool", H3*H3*F3*F3, IF(OR(B3="conv",B3="fc"), I3*2*H3*H3*F3*F3*D3*G3,0)))</f>
        <v>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4">
        <v>1</v>
      </c>
      <c r="V3" s="11"/>
      <c r="W3" s="11"/>
      <c r="X3" s="11"/>
      <c r="Y3" s="11"/>
      <c r="Z3" s="11"/>
      <c r="AA3" s="11"/>
      <c r="AB3" s="11"/>
    </row>
    <row r="4" spans="1:34" ht="15.75" customHeight="1">
      <c r="A4" s="4">
        <v>1</v>
      </c>
      <c r="B4" s="31" t="s">
        <v>37</v>
      </c>
      <c r="C4" s="4">
        <f t="shared" ref="C4:C23" si="1">H3</f>
        <v>226</v>
      </c>
      <c r="D4" s="4">
        <f>G3</f>
        <v>3</v>
      </c>
      <c r="E4" s="4">
        <v>1</v>
      </c>
      <c r="F4" s="4">
        <v>3</v>
      </c>
      <c r="G4" s="21">
        <v>16</v>
      </c>
      <c r="H4" s="21">
        <f>IF(B4="pad", C4+2*F4, IF(B4="pool", C4/F4, IF(OR(B4="conv",B4="fc"), (C4-F4+1)/E4,C4)))</f>
        <v>224</v>
      </c>
      <c r="I4" s="4">
        <f t="shared" ref="I4:I23" si="2">IF(B3="merge", 1, IF(B3="split", 2, I3))</f>
        <v>1</v>
      </c>
      <c r="J4" s="4">
        <f t="shared" si="0"/>
        <v>43352064</v>
      </c>
      <c r="K4" s="10">
        <f>J4/SUM(J$4:J$23)*100</f>
        <v>5.6123432053931737</v>
      </c>
      <c r="L4" s="4">
        <v>3</v>
      </c>
      <c r="M4" s="4">
        <v>48</v>
      </c>
      <c r="N4" s="4">
        <v>9</v>
      </c>
      <c r="O4" s="4">
        <f>G4/M4</f>
        <v>0.33333333333333331</v>
      </c>
      <c r="P4" s="4">
        <f>F4*F4*D4*G4/(L4*M4)</f>
        <v>3</v>
      </c>
      <c r="Q4" s="4">
        <f>2*L4*M4*N4</f>
        <v>2592</v>
      </c>
      <c r="R4" s="4">
        <f>J4/(Q4*I4)</f>
        <v>16725.333333333332</v>
      </c>
      <c r="S4" s="4">
        <f>F4*F4*D4</f>
        <v>27</v>
      </c>
      <c r="T4" s="4">
        <f>G4</f>
        <v>16</v>
      </c>
      <c r="U4" s="4">
        <f>S4/L4</f>
        <v>9</v>
      </c>
      <c r="V4" s="4">
        <f>T4/M4</f>
        <v>0.33333333333333331</v>
      </c>
      <c r="W4" s="4">
        <f>C4*24+(F4*F4*H4*H4)/N4</f>
        <v>55600</v>
      </c>
      <c r="X4" s="4">
        <f>F4*F4*H4*H4/N4</f>
        <v>50176</v>
      </c>
      <c r="Y4" s="4">
        <f>D4*F4*F4*G4</f>
        <v>432</v>
      </c>
      <c r="Z4" s="4">
        <f>S4*T4</f>
        <v>432</v>
      </c>
      <c r="AA4" s="4">
        <v>8</v>
      </c>
      <c r="AB4" s="4">
        <v>4</v>
      </c>
      <c r="AC4" s="12">
        <v>25.5</v>
      </c>
      <c r="AD4" s="18">
        <f>AC4*L4*M4*N4</f>
        <v>33048</v>
      </c>
      <c r="AE4" s="18">
        <f>1000000*$H$1/R4</f>
        <v>17936.862244897962</v>
      </c>
      <c r="AF4" s="18">
        <f>CEILING(Z4*AB4/18000,1) *M4</f>
        <v>48</v>
      </c>
    </row>
    <row r="5" spans="1:34" ht="15.75" customHeight="1">
      <c r="A5" s="4">
        <v>2</v>
      </c>
      <c r="B5" s="30" t="s">
        <v>39</v>
      </c>
      <c r="C5" s="4">
        <f t="shared" si="1"/>
        <v>224</v>
      </c>
      <c r="D5" s="4">
        <f>G4</f>
        <v>16</v>
      </c>
      <c r="E5" s="4">
        <v>2</v>
      </c>
      <c r="F5" s="4">
        <v>2</v>
      </c>
      <c r="G5" s="21">
        <v>16</v>
      </c>
      <c r="H5" s="21">
        <f>IF(B5="pad", C5+2*F5, IF(B5="pool", C5/F5, IF(OR(B5="conv",B5="fc"), (C5-F5+1)/E5,C5)))</f>
        <v>112</v>
      </c>
      <c r="I5" s="4">
        <f t="shared" si="2"/>
        <v>1</v>
      </c>
      <c r="J5" s="4">
        <f t="shared" si="0"/>
        <v>50176</v>
      </c>
      <c r="K5" s="10"/>
      <c r="L5" s="11"/>
      <c r="M5" s="11"/>
      <c r="N5" s="11"/>
      <c r="O5" s="4"/>
      <c r="P5" s="4"/>
      <c r="Q5" s="4"/>
      <c r="R5" s="4"/>
      <c r="S5" s="11"/>
      <c r="T5" s="11"/>
      <c r="U5" s="4"/>
      <c r="V5" s="11"/>
      <c r="W5" s="4"/>
      <c r="X5" s="11"/>
      <c r="Y5" s="11"/>
      <c r="Z5" s="11"/>
      <c r="AA5" s="11"/>
      <c r="AB5" s="11"/>
    </row>
    <row r="6" spans="1:34" ht="15.75" customHeight="1">
      <c r="A6" s="4">
        <v>3</v>
      </c>
      <c r="B6" s="11" t="s">
        <v>36</v>
      </c>
      <c r="C6" s="4">
        <f t="shared" si="1"/>
        <v>112</v>
      </c>
      <c r="D6" s="4">
        <f>G5</f>
        <v>16</v>
      </c>
      <c r="E6" s="4">
        <v>1</v>
      </c>
      <c r="F6" s="4">
        <v>1</v>
      </c>
      <c r="G6" s="4">
        <v>16</v>
      </c>
      <c r="H6" s="4">
        <f>IF(B6="pad", C6+2*F6, IF(B6="pool", C6/F6, IF(OR(B6="conv",B6="fc"), (C6-F6+1)/E6,C6)))</f>
        <v>114</v>
      </c>
      <c r="I6" s="4">
        <f t="shared" si="2"/>
        <v>1</v>
      </c>
      <c r="J6" s="4">
        <f t="shared" si="0"/>
        <v>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4" ht="15.75" customHeight="1">
      <c r="A7" s="4">
        <v>4</v>
      </c>
      <c r="B7" s="31" t="s">
        <v>37</v>
      </c>
      <c r="C7" s="4">
        <f t="shared" si="1"/>
        <v>114</v>
      </c>
      <c r="D7" s="4">
        <f>G6</f>
        <v>16</v>
      </c>
      <c r="E7" s="4">
        <v>1</v>
      </c>
      <c r="F7" s="4">
        <v>3</v>
      </c>
      <c r="G7" s="21">
        <v>32</v>
      </c>
      <c r="H7" s="21">
        <f>IF(B7="pad", C7+2*F7, IF(B7="pool", C7/F7, IF(OR(B7="conv",B7="fc"), (C7-F7+1)/E7,C7)))</f>
        <v>112</v>
      </c>
      <c r="I7" s="4">
        <f t="shared" si="2"/>
        <v>1</v>
      </c>
      <c r="J7" s="4">
        <f t="shared" si="0"/>
        <v>115605504</v>
      </c>
      <c r="K7" s="10">
        <f>J7/SUM(J$4:J$23)*100</f>
        <v>14.966248547715127</v>
      </c>
      <c r="L7" s="4">
        <v>48</v>
      </c>
      <c r="M7" s="4">
        <v>32</v>
      </c>
      <c r="N7" s="4">
        <v>3</v>
      </c>
      <c r="O7" s="4">
        <f>G7/M7</f>
        <v>1</v>
      </c>
      <c r="P7" s="4">
        <f>F7*F7*D7*G7/(L7*M7)</f>
        <v>3</v>
      </c>
      <c r="Q7" s="4">
        <f>2*L7*M7*N7</f>
        <v>9216</v>
      </c>
      <c r="R7" s="4">
        <f>J7/(Q7*I7)</f>
        <v>12544</v>
      </c>
      <c r="S7" s="4">
        <f>F7*F7*D7</f>
        <v>144</v>
      </c>
      <c r="T7" s="4">
        <f>G7</f>
        <v>32</v>
      </c>
      <c r="U7" s="4">
        <f>S7/L7</f>
        <v>3</v>
      </c>
      <c r="V7" s="4">
        <f>T7/M7</f>
        <v>1</v>
      </c>
      <c r="W7" s="4">
        <f>C7*C7+(F7*F7*H7*H7)/N7</f>
        <v>50628</v>
      </c>
      <c r="X7" s="4">
        <f>F7*F7*H7*H7</f>
        <v>112896</v>
      </c>
      <c r="Y7" s="4">
        <f>D7*F7*F7*G7</f>
        <v>4608</v>
      </c>
      <c r="Z7" s="4">
        <f>S7*T7*I7</f>
        <v>4608</v>
      </c>
      <c r="AA7" s="4">
        <v>2</v>
      </c>
      <c r="AB7" s="4">
        <v>1</v>
      </c>
      <c r="AC7" s="12">
        <v>6</v>
      </c>
      <c r="AD7" s="18">
        <f>AC7*L7*M7*N7</f>
        <v>27648</v>
      </c>
      <c r="AE7" s="18">
        <f>1000000*$H$1/MAX(R7,W7)</f>
        <v>5925.5747807537327</v>
      </c>
      <c r="AF7" s="18">
        <f>CEILING(Z7*AB7/18000,1) *M7</f>
        <v>32</v>
      </c>
    </row>
    <row r="8" spans="1:34" ht="15.75" customHeight="1">
      <c r="A8" s="4">
        <v>5</v>
      </c>
      <c r="B8" s="30" t="s">
        <v>39</v>
      </c>
      <c r="C8" s="4">
        <f t="shared" si="1"/>
        <v>112</v>
      </c>
      <c r="D8" s="4">
        <f t="shared" ref="D8:D23" si="3">G7</f>
        <v>32</v>
      </c>
      <c r="E8" s="4">
        <v>2</v>
      </c>
      <c r="F8" s="4">
        <v>2</v>
      </c>
      <c r="G8" s="21">
        <v>32</v>
      </c>
      <c r="H8" s="21">
        <f t="shared" ref="H8:H20" si="4">IF(B8="pad", C8+2*F8, IF(B8="pool", C8/E8, IF(OR(B8="conv",B8="fc"), (C8-F8+1)/E8,C8)))</f>
        <v>56</v>
      </c>
      <c r="I8" s="4">
        <f t="shared" si="2"/>
        <v>1</v>
      </c>
      <c r="J8" s="4">
        <f t="shared" si="0"/>
        <v>12544</v>
      </c>
      <c r="K8" s="10"/>
      <c r="L8" s="11"/>
      <c r="M8" s="11"/>
      <c r="N8" s="11"/>
      <c r="O8" s="4"/>
      <c r="P8" s="4"/>
      <c r="Q8" s="4"/>
      <c r="R8" s="4"/>
      <c r="S8" s="11"/>
      <c r="T8" s="11"/>
      <c r="U8" s="4"/>
      <c r="V8" s="11"/>
      <c r="W8" s="4"/>
      <c r="X8" s="11"/>
      <c r="Y8" s="11"/>
      <c r="Z8" s="4"/>
      <c r="AA8" s="11"/>
      <c r="AB8" s="11"/>
    </row>
    <row r="9" spans="1:34" ht="15.75" customHeight="1">
      <c r="A9" s="4">
        <v>6</v>
      </c>
      <c r="B9" s="11" t="s">
        <v>36</v>
      </c>
      <c r="C9" s="4">
        <f t="shared" si="1"/>
        <v>56</v>
      </c>
      <c r="D9" s="4">
        <f t="shared" si="3"/>
        <v>32</v>
      </c>
      <c r="E9" s="4">
        <v>1</v>
      </c>
      <c r="F9" s="4">
        <v>1</v>
      </c>
      <c r="G9" s="4">
        <v>32</v>
      </c>
      <c r="H9" s="4">
        <f t="shared" si="4"/>
        <v>58</v>
      </c>
      <c r="I9" s="4">
        <f t="shared" si="2"/>
        <v>1</v>
      </c>
      <c r="J9" s="4">
        <f t="shared" si="0"/>
        <v>0</v>
      </c>
      <c r="K9" s="10"/>
      <c r="L9" s="11"/>
      <c r="M9" s="11"/>
      <c r="N9" s="11"/>
      <c r="O9" s="4"/>
      <c r="P9" s="4"/>
      <c r="Q9" s="4"/>
      <c r="R9" s="4"/>
      <c r="S9" s="11"/>
      <c r="T9" s="11"/>
      <c r="U9" s="4"/>
      <c r="V9" s="11"/>
      <c r="W9" s="4"/>
      <c r="X9" s="11"/>
      <c r="Y9" s="11"/>
      <c r="Z9" s="4"/>
      <c r="AA9" s="11"/>
      <c r="AB9" s="11"/>
    </row>
    <row r="10" spans="1:34" ht="15.75" customHeight="1">
      <c r="A10" s="4">
        <v>7</v>
      </c>
      <c r="B10" s="31" t="s">
        <v>37</v>
      </c>
      <c r="C10" s="4">
        <f t="shared" si="1"/>
        <v>58</v>
      </c>
      <c r="D10" s="4">
        <f t="shared" si="3"/>
        <v>32</v>
      </c>
      <c r="E10" s="4">
        <v>1</v>
      </c>
      <c r="F10" s="4">
        <v>3</v>
      </c>
      <c r="G10" s="21">
        <v>64</v>
      </c>
      <c r="H10" s="21">
        <f t="shared" si="4"/>
        <v>56</v>
      </c>
      <c r="I10" s="4">
        <f t="shared" si="2"/>
        <v>1</v>
      </c>
      <c r="J10" s="4">
        <f t="shared" si="0"/>
        <v>115605504</v>
      </c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34" ht="15.75" customHeight="1">
      <c r="A11" s="4">
        <v>8</v>
      </c>
      <c r="B11" s="30" t="s">
        <v>39</v>
      </c>
      <c r="C11" s="4">
        <f t="shared" si="1"/>
        <v>56</v>
      </c>
      <c r="D11" s="4">
        <f t="shared" si="3"/>
        <v>64</v>
      </c>
      <c r="E11" s="4">
        <v>2</v>
      </c>
      <c r="F11" s="4">
        <v>2</v>
      </c>
      <c r="G11" s="21">
        <v>64</v>
      </c>
      <c r="H11" s="21">
        <f t="shared" si="4"/>
        <v>28</v>
      </c>
      <c r="I11" s="4">
        <f t="shared" si="2"/>
        <v>1</v>
      </c>
      <c r="J11" s="4">
        <f t="shared" si="0"/>
        <v>3136</v>
      </c>
      <c r="K11" s="10">
        <f>J11/SUM(J$4:J$23)*100</f>
        <v>4.0598547492716821E-4</v>
      </c>
      <c r="L11" s="4">
        <v>64</v>
      </c>
      <c r="M11" s="4">
        <v>128</v>
      </c>
      <c r="N11" s="4">
        <v>1</v>
      </c>
      <c r="O11" s="4">
        <f>G11/M11</f>
        <v>0.5</v>
      </c>
      <c r="P11" s="4">
        <f>F11*F11*D11*G11/(L11*M11)</f>
        <v>2</v>
      </c>
      <c r="Q11" s="4">
        <f>2*L11*M11*N11</f>
        <v>16384</v>
      </c>
      <c r="R11" s="4">
        <f>J11/(Q11*I11)</f>
        <v>0.19140625</v>
      </c>
      <c r="S11" s="4">
        <f>F11*F11*D11</f>
        <v>256</v>
      </c>
      <c r="T11" s="4">
        <f>G11</f>
        <v>64</v>
      </c>
      <c r="U11" s="4">
        <f>S11/L11</f>
        <v>4</v>
      </c>
      <c r="V11" s="4">
        <f>T11/M11</f>
        <v>0.5</v>
      </c>
      <c r="W11" s="4">
        <f>C11*C11+(F11*F11*H11*H11)/N11</f>
        <v>6272</v>
      </c>
      <c r="X11" s="4">
        <f>F11*F11*H11*H11</f>
        <v>3136</v>
      </c>
      <c r="Y11" s="4">
        <f>D11*F11*F11*G11</f>
        <v>16384</v>
      </c>
      <c r="Z11" s="4">
        <f>S11*T11*I11</f>
        <v>16384</v>
      </c>
      <c r="AA11" s="4">
        <v>2</v>
      </c>
      <c r="AB11" s="4">
        <v>1</v>
      </c>
      <c r="AC11" s="12">
        <v>6</v>
      </c>
      <c r="AD11" s="18">
        <f>AC11*L11*M11*N11</f>
        <v>49152</v>
      </c>
      <c r="AE11" s="18">
        <f>1000000*$H$1/MAX(R11,W11)</f>
        <v>47831.632653061228</v>
      </c>
      <c r="AF11" s="18">
        <f>CEILING(Z11*AB11/18000,1) *M11</f>
        <v>128</v>
      </c>
    </row>
    <row r="12" spans="1:34" ht="15.75" customHeight="1">
      <c r="A12" s="4">
        <v>9</v>
      </c>
      <c r="B12" s="11" t="s">
        <v>36</v>
      </c>
      <c r="C12" s="4">
        <f t="shared" si="1"/>
        <v>28</v>
      </c>
      <c r="D12" s="4">
        <f t="shared" si="3"/>
        <v>64</v>
      </c>
      <c r="E12" s="4">
        <v>1</v>
      </c>
      <c r="F12" s="4">
        <v>1</v>
      </c>
      <c r="G12" s="4">
        <v>64</v>
      </c>
      <c r="H12" s="4">
        <f t="shared" si="4"/>
        <v>30</v>
      </c>
      <c r="I12" s="4">
        <f t="shared" si="2"/>
        <v>1</v>
      </c>
      <c r="J12" s="4">
        <f t="shared" si="0"/>
        <v>0</v>
      </c>
      <c r="K12" s="10"/>
      <c r="L12" s="11"/>
      <c r="M12" s="11"/>
      <c r="N12" s="11"/>
      <c r="O12" s="4"/>
      <c r="P12" s="4"/>
      <c r="Q12" s="4"/>
      <c r="R12" s="4"/>
      <c r="S12" s="11"/>
      <c r="T12" s="11"/>
      <c r="U12" s="4"/>
      <c r="V12" s="11"/>
      <c r="W12" s="4"/>
      <c r="X12" s="11"/>
      <c r="Y12" s="11"/>
      <c r="Z12" s="4"/>
      <c r="AA12" s="11"/>
      <c r="AB12" s="11"/>
    </row>
    <row r="13" spans="1:34" ht="15.75" customHeight="1">
      <c r="A13" s="4">
        <v>10</v>
      </c>
      <c r="B13" s="31" t="s">
        <v>37</v>
      </c>
      <c r="C13" s="4">
        <f t="shared" si="1"/>
        <v>30</v>
      </c>
      <c r="D13" s="4">
        <f t="shared" si="3"/>
        <v>64</v>
      </c>
      <c r="E13" s="4">
        <v>1</v>
      </c>
      <c r="F13" s="4">
        <v>3</v>
      </c>
      <c r="G13" s="21">
        <v>128</v>
      </c>
      <c r="H13" s="21">
        <f t="shared" si="4"/>
        <v>28</v>
      </c>
      <c r="I13" s="4">
        <f t="shared" si="2"/>
        <v>1</v>
      </c>
      <c r="J13" s="4">
        <f t="shared" si="0"/>
        <v>115605504</v>
      </c>
      <c r="K13" s="10"/>
      <c r="L13" s="11"/>
      <c r="M13" s="11"/>
      <c r="N13" s="11"/>
      <c r="O13" s="4"/>
      <c r="P13" s="4"/>
      <c r="Q13" s="4"/>
      <c r="R13" s="4"/>
      <c r="S13" s="11"/>
      <c r="T13" s="11"/>
      <c r="U13" s="4"/>
      <c r="V13" s="11"/>
      <c r="W13" s="4"/>
      <c r="X13" s="11"/>
      <c r="Y13" s="11"/>
      <c r="Z13" s="4"/>
      <c r="AA13" s="11"/>
      <c r="AB13" s="11"/>
    </row>
    <row r="14" spans="1:34" ht="15.75" customHeight="1">
      <c r="A14" s="4">
        <v>11</v>
      </c>
      <c r="B14" s="11" t="s">
        <v>39</v>
      </c>
      <c r="C14" s="4">
        <f t="shared" si="1"/>
        <v>28</v>
      </c>
      <c r="D14" s="4">
        <f t="shared" si="3"/>
        <v>128</v>
      </c>
      <c r="E14" s="4">
        <v>2</v>
      </c>
      <c r="F14" s="4">
        <v>2</v>
      </c>
      <c r="G14" s="21">
        <v>128</v>
      </c>
      <c r="H14" s="21">
        <f t="shared" si="4"/>
        <v>14</v>
      </c>
      <c r="I14" s="4">
        <f t="shared" si="2"/>
        <v>1</v>
      </c>
      <c r="J14" s="4">
        <f t="shared" si="0"/>
        <v>784</v>
      </c>
      <c r="K14" s="10"/>
      <c r="L14" s="11"/>
      <c r="M14" s="11"/>
      <c r="N14" s="11"/>
      <c r="O14" s="4"/>
      <c r="P14" s="4"/>
      <c r="Q14" s="4"/>
      <c r="R14" s="4"/>
      <c r="S14" s="11"/>
      <c r="T14" s="11"/>
      <c r="U14" s="4"/>
      <c r="V14" s="11"/>
      <c r="W14" s="4"/>
      <c r="X14" s="11"/>
      <c r="Y14" s="11"/>
      <c r="Z14" s="4"/>
      <c r="AA14" s="11"/>
      <c r="AB14" s="11"/>
    </row>
    <row r="15" spans="1:34" ht="15.75" customHeight="1">
      <c r="A15" s="4">
        <v>12</v>
      </c>
      <c r="B15" s="30" t="s">
        <v>36</v>
      </c>
      <c r="C15" s="4">
        <f>H14</f>
        <v>14</v>
      </c>
      <c r="D15" s="4">
        <f t="shared" si="3"/>
        <v>128</v>
      </c>
      <c r="E15" s="4">
        <v>1</v>
      </c>
      <c r="F15" s="4">
        <v>1</v>
      </c>
      <c r="G15" s="4">
        <v>128</v>
      </c>
      <c r="H15" s="4">
        <f t="shared" si="4"/>
        <v>16</v>
      </c>
      <c r="I15" s="4">
        <f t="shared" si="2"/>
        <v>1</v>
      </c>
      <c r="J15" s="4">
        <f t="shared" si="0"/>
        <v>0</v>
      </c>
      <c r="K15" s="10"/>
      <c r="L15" s="11"/>
      <c r="M15" s="11"/>
      <c r="N15" s="11"/>
      <c r="O15" s="4"/>
      <c r="P15" s="4"/>
      <c r="Q15" s="4"/>
      <c r="R15" s="4"/>
      <c r="S15" s="11"/>
      <c r="T15" s="11"/>
      <c r="U15" s="4"/>
      <c r="V15" s="11"/>
      <c r="W15" s="4"/>
      <c r="X15" s="11"/>
      <c r="Y15" s="11"/>
      <c r="Z15" s="4"/>
      <c r="AA15" s="11"/>
      <c r="AB15" s="11"/>
    </row>
    <row r="16" spans="1:34" ht="15.75" customHeight="1">
      <c r="A16" s="4">
        <v>13</v>
      </c>
      <c r="B16" s="31" t="s">
        <v>37</v>
      </c>
      <c r="C16" s="4">
        <f t="shared" si="1"/>
        <v>16</v>
      </c>
      <c r="D16" s="4">
        <f t="shared" si="3"/>
        <v>128</v>
      </c>
      <c r="E16" s="4">
        <v>1</v>
      </c>
      <c r="F16" s="4">
        <v>3</v>
      </c>
      <c r="G16" s="21">
        <v>256</v>
      </c>
      <c r="H16" s="21">
        <f t="shared" si="4"/>
        <v>14</v>
      </c>
      <c r="I16" s="4">
        <f t="shared" si="2"/>
        <v>1</v>
      </c>
      <c r="J16" s="4">
        <f t="shared" si="0"/>
        <v>115605504</v>
      </c>
      <c r="K16" s="10">
        <f>J16/SUM(J$4:J$23)*100</f>
        <v>14.966248547715127</v>
      </c>
      <c r="L16" s="4">
        <v>32</v>
      </c>
      <c r="M16" s="4">
        <v>16</v>
      </c>
      <c r="N16" s="4">
        <v>2</v>
      </c>
      <c r="O16" s="4">
        <f>G16/M16</f>
        <v>16</v>
      </c>
      <c r="P16" s="4">
        <f>F16*F16*D16*G16/(L16*M16)</f>
        <v>576</v>
      </c>
      <c r="Q16" s="4">
        <f>2*L16*M16*N16</f>
        <v>2048</v>
      </c>
      <c r="R16" s="4">
        <f>J16/(Q16*I16)</f>
        <v>56448</v>
      </c>
      <c r="S16" s="4">
        <f>F16*F16*D16</f>
        <v>1152</v>
      </c>
      <c r="T16" s="4">
        <f>G16</f>
        <v>256</v>
      </c>
      <c r="U16" s="4">
        <f>S16/L16</f>
        <v>36</v>
      </c>
      <c r="V16" s="4">
        <f>T16/M16</f>
        <v>16</v>
      </c>
      <c r="W16" s="4">
        <f>C16*C16+(F16*F16*H16*H16)/N16</f>
        <v>1138</v>
      </c>
      <c r="X16" s="4">
        <f>F16*F16*H16*H16</f>
        <v>1764</v>
      </c>
      <c r="Y16" s="4">
        <f>D16*F16*F16*G16</f>
        <v>294912</v>
      </c>
      <c r="Z16" s="4">
        <f>S16*T16*I16</f>
        <v>294912</v>
      </c>
      <c r="AA16" s="4">
        <v>2</v>
      </c>
      <c r="AB16" s="4">
        <v>1</v>
      </c>
      <c r="AC16" s="12">
        <v>6</v>
      </c>
      <c r="AD16" s="18">
        <f>AC16*L16*M16*N16</f>
        <v>6144</v>
      </c>
      <c r="AE16" s="18">
        <f>1000000*$H$1/MAX(R16,W16)</f>
        <v>5314.6258503401359</v>
      </c>
      <c r="AF16" s="18">
        <f>CEILING(Z16*AB16/18000,1) *M16</f>
        <v>272</v>
      </c>
    </row>
    <row r="17" spans="1:34" ht="15.75" customHeight="1">
      <c r="A17" s="4">
        <v>14</v>
      </c>
      <c r="B17" s="30" t="s">
        <v>39</v>
      </c>
      <c r="C17" s="4">
        <f t="shared" si="1"/>
        <v>14</v>
      </c>
      <c r="D17" s="4">
        <f t="shared" si="3"/>
        <v>256</v>
      </c>
      <c r="E17" s="4">
        <v>2</v>
      </c>
      <c r="F17" s="4">
        <v>2</v>
      </c>
      <c r="G17" s="21">
        <v>256</v>
      </c>
      <c r="H17" s="21">
        <f t="shared" si="4"/>
        <v>7</v>
      </c>
      <c r="I17" s="4">
        <f t="shared" si="2"/>
        <v>1</v>
      </c>
      <c r="J17" s="4">
        <f t="shared" si="0"/>
        <v>196</v>
      </c>
      <c r="K17" s="10"/>
      <c r="L17" s="11"/>
      <c r="M17" s="11"/>
      <c r="N17" s="11"/>
      <c r="O17" s="4"/>
      <c r="P17" s="4"/>
      <c r="Q17" s="4"/>
      <c r="R17" s="4"/>
      <c r="S17" s="11"/>
      <c r="T17" s="11"/>
      <c r="U17" s="4"/>
      <c r="V17" s="11"/>
      <c r="W17" s="4"/>
      <c r="X17" s="11"/>
      <c r="Y17" s="11"/>
      <c r="Z17" s="4"/>
      <c r="AA17" s="11"/>
      <c r="AB17" s="11"/>
    </row>
    <row r="18" spans="1:34" ht="15.75" customHeight="1">
      <c r="A18" s="4">
        <v>15</v>
      </c>
      <c r="B18" s="11" t="s">
        <v>36</v>
      </c>
      <c r="C18" s="4">
        <f t="shared" si="1"/>
        <v>7</v>
      </c>
      <c r="D18" s="4">
        <f t="shared" si="3"/>
        <v>256</v>
      </c>
      <c r="E18" s="4">
        <v>1</v>
      </c>
      <c r="F18" s="4">
        <v>1</v>
      </c>
      <c r="G18" s="4">
        <v>256</v>
      </c>
      <c r="H18" s="4">
        <f t="shared" si="4"/>
        <v>9</v>
      </c>
      <c r="I18" s="4">
        <f t="shared" si="2"/>
        <v>1</v>
      </c>
      <c r="J18" s="4">
        <f t="shared" si="0"/>
        <v>0</v>
      </c>
      <c r="K18" s="10">
        <f>J18/SUM(J$4:J$23)*100</f>
        <v>0</v>
      </c>
      <c r="L18" s="4">
        <v>32</v>
      </c>
      <c r="M18" s="4">
        <v>8</v>
      </c>
      <c r="N18" s="4">
        <v>2</v>
      </c>
      <c r="O18" s="4">
        <f>G18/M18</f>
        <v>32</v>
      </c>
      <c r="P18" s="4">
        <f>F18*F18*D18*G18/(L18*M18)</f>
        <v>256</v>
      </c>
      <c r="Q18" s="4">
        <f>2*L18*M18*N18</f>
        <v>1024</v>
      </c>
      <c r="R18" s="4">
        <f>J18/(Q18*I18)</f>
        <v>0</v>
      </c>
      <c r="S18" s="4">
        <f>F18*F18*D18</f>
        <v>256</v>
      </c>
      <c r="T18" s="4">
        <f>G18</f>
        <v>256</v>
      </c>
      <c r="U18" s="4">
        <f>S18/L18</f>
        <v>8</v>
      </c>
      <c r="V18" s="4">
        <f>T18/M18</f>
        <v>32</v>
      </c>
      <c r="W18" s="4">
        <f>C18*C18+(F18*F18*H18*H18)/N18</f>
        <v>89.5</v>
      </c>
      <c r="X18" s="4">
        <f>F18*F18*H18*H18</f>
        <v>81</v>
      </c>
      <c r="Y18" s="4">
        <f>D18*F18*F18*G18</f>
        <v>65536</v>
      </c>
      <c r="Z18" s="4">
        <f>S18*T18*I18</f>
        <v>65536</v>
      </c>
      <c r="AA18" s="4">
        <v>2</v>
      </c>
      <c r="AB18" s="4">
        <v>1</v>
      </c>
      <c r="AC18" s="12">
        <v>6</v>
      </c>
      <c r="AD18" s="18">
        <f>AC18*L18*M18*N18</f>
        <v>3072</v>
      </c>
      <c r="AE18" s="18">
        <f>1000000*$H$1/MAX(R18,W18)</f>
        <v>3351955.3072625697</v>
      </c>
      <c r="AF18" s="18">
        <f>CEILING(Z18*AB18/18000,1) *M18</f>
        <v>32</v>
      </c>
    </row>
    <row r="19" spans="1:34" ht="15.75" customHeight="1">
      <c r="A19" s="4">
        <v>16</v>
      </c>
      <c r="B19" s="31" t="s">
        <v>37</v>
      </c>
      <c r="C19" s="4">
        <f t="shared" si="1"/>
        <v>9</v>
      </c>
      <c r="D19" s="4">
        <f t="shared" si="3"/>
        <v>256</v>
      </c>
      <c r="E19" s="4">
        <v>1</v>
      </c>
      <c r="F19" s="4">
        <v>3</v>
      </c>
      <c r="G19" s="21">
        <v>512</v>
      </c>
      <c r="H19" s="21">
        <f t="shared" si="4"/>
        <v>7</v>
      </c>
      <c r="I19" s="4">
        <f t="shared" si="2"/>
        <v>1</v>
      </c>
      <c r="J19" s="4">
        <f t="shared" si="0"/>
        <v>115605504</v>
      </c>
      <c r="K19" s="10"/>
      <c r="L19" s="11"/>
      <c r="M19" s="11"/>
      <c r="N19" s="11"/>
      <c r="O19" s="4"/>
      <c r="P19" s="4"/>
      <c r="Q19" s="4"/>
      <c r="R19" s="4"/>
      <c r="S19" s="11"/>
      <c r="T19" s="11"/>
      <c r="U19" s="4"/>
      <c r="V19" s="11"/>
      <c r="W19" s="11"/>
      <c r="X19" s="11"/>
      <c r="Y19" s="11"/>
      <c r="Z19" s="11"/>
      <c r="AA19" s="11"/>
      <c r="AB19" s="11"/>
    </row>
    <row r="20" spans="1:34" ht="15.75" customHeight="1">
      <c r="A20" s="4">
        <v>17</v>
      </c>
      <c r="B20" s="11" t="s">
        <v>36</v>
      </c>
      <c r="C20" s="4">
        <f t="shared" si="1"/>
        <v>7</v>
      </c>
      <c r="D20" s="4">
        <f t="shared" si="3"/>
        <v>512</v>
      </c>
      <c r="E20" s="4">
        <v>1</v>
      </c>
      <c r="F20" s="4">
        <v>1</v>
      </c>
      <c r="G20" s="4">
        <v>512</v>
      </c>
      <c r="H20" s="4">
        <f t="shared" si="4"/>
        <v>9</v>
      </c>
      <c r="I20" s="4">
        <f t="shared" si="2"/>
        <v>1</v>
      </c>
      <c r="J20" s="4">
        <f t="shared" si="0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1"/>
      <c r="X20" s="11"/>
      <c r="Y20" s="4"/>
      <c r="Z20" s="4"/>
      <c r="AA20" s="4"/>
      <c r="AB20" s="4"/>
    </row>
    <row r="21" spans="1:34" ht="15.75" customHeight="1">
      <c r="A21" s="4">
        <v>18</v>
      </c>
      <c r="B21" s="30" t="s">
        <v>39</v>
      </c>
      <c r="C21" s="4">
        <f t="shared" si="1"/>
        <v>9</v>
      </c>
      <c r="D21" s="4">
        <f t="shared" si="3"/>
        <v>512</v>
      </c>
      <c r="E21" s="4">
        <v>2</v>
      </c>
      <c r="F21" s="4">
        <v>2</v>
      </c>
      <c r="G21" s="21">
        <v>512</v>
      </c>
      <c r="H21" s="21">
        <f t="shared" ref="H21:H26" si="5">IF(B21="pad", C21+2*F21, IF(B21="pool",_xlfn.FLOOR.MATH((C21-F21+1)/E21), IF(OR(B21="conv",B21="fc"), _xlfn.FLOOR.MATH((C21-F21+1)/E21),C21)))</f>
        <v>4</v>
      </c>
      <c r="I21" s="4">
        <f t="shared" si="2"/>
        <v>1</v>
      </c>
      <c r="J21" s="4">
        <f t="shared" si="0"/>
        <v>64</v>
      </c>
      <c r="K21" s="10">
        <f>J21/SUM(J$4:J$23)*100</f>
        <v>8.2854178556564933E-6</v>
      </c>
      <c r="L21" s="4">
        <v>64</v>
      </c>
      <c r="M21" s="4">
        <v>8</v>
      </c>
      <c r="N21" s="4">
        <v>1</v>
      </c>
      <c r="O21" s="4">
        <f>G21/M21</f>
        <v>64</v>
      </c>
      <c r="P21" s="4">
        <f>F21*F21*D21*G21/(L21*M21)</f>
        <v>2048</v>
      </c>
      <c r="Q21" s="4">
        <f>2*L21*M21*N21</f>
        <v>1024</v>
      </c>
      <c r="R21" s="4">
        <f>J21/(Q21*I21)</f>
        <v>6.25E-2</v>
      </c>
      <c r="S21" s="4">
        <f>F21*F21*D21</f>
        <v>2048</v>
      </c>
      <c r="T21" s="4">
        <f>G21</f>
        <v>512</v>
      </c>
      <c r="U21" s="4">
        <f t="shared" ref="U21:V24" si="6">S21/L21</f>
        <v>32</v>
      </c>
      <c r="V21" s="4">
        <f t="shared" si="6"/>
        <v>64</v>
      </c>
      <c r="W21" s="11"/>
      <c r="X21" s="11"/>
      <c r="Y21" s="4">
        <f>D21*F21*F21*G21</f>
        <v>1048576</v>
      </c>
      <c r="Z21" s="4">
        <f>S21*T21</f>
        <v>1048576</v>
      </c>
      <c r="AA21" s="4">
        <v>2</v>
      </c>
      <c r="AB21" s="4">
        <v>1</v>
      </c>
      <c r="AC21" s="12">
        <v>6</v>
      </c>
      <c r="AD21" s="18">
        <f>AC21*L21*M21*N21</f>
        <v>3072</v>
      </c>
      <c r="AE21" s="18">
        <f>1000000*$H$1/MAX(R21,W21)</f>
        <v>4800000000</v>
      </c>
      <c r="AF21" s="18">
        <f>CEILING(Z21*AB21/18000,1) *M21</f>
        <v>472</v>
      </c>
      <c r="AH21" s="18">
        <f>Z21*M$1*AB21*H21*H21/(1024*1024*1024)</f>
        <v>83.041028911564624</v>
      </c>
    </row>
    <row r="22" spans="1:34" ht="15.75" customHeight="1">
      <c r="A22" s="4">
        <v>19</v>
      </c>
      <c r="B22" s="11" t="s">
        <v>36</v>
      </c>
      <c r="C22" s="4">
        <f t="shared" si="1"/>
        <v>4</v>
      </c>
      <c r="D22" s="4">
        <f t="shared" si="3"/>
        <v>512</v>
      </c>
      <c r="E22" s="4">
        <v>1</v>
      </c>
      <c r="F22" s="4">
        <v>1</v>
      </c>
      <c r="G22" s="4">
        <v>512</v>
      </c>
      <c r="H22" s="4">
        <f t="shared" si="5"/>
        <v>6</v>
      </c>
      <c r="I22" s="4">
        <f t="shared" si="2"/>
        <v>1</v>
      </c>
      <c r="J22" s="4">
        <f t="shared" si="0"/>
        <v>0</v>
      </c>
      <c r="K22" s="10">
        <f>J22/SUM(J$4:J$23)*100</f>
        <v>0</v>
      </c>
      <c r="L22" s="4">
        <v>64</v>
      </c>
      <c r="M22" s="4">
        <v>4</v>
      </c>
      <c r="N22" s="4">
        <v>1</v>
      </c>
      <c r="O22" s="4">
        <f>G22/M22</f>
        <v>128</v>
      </c>
      <c r="P22" s="4">
        <f>F22*F22*D22*G22/(L22*M22)</f>
        <v>1024</v>
      </c>
      <c r="Q22" s="4">
        <f>2*L22*M22*N22</f>
        <v>512</v>
      </c>
      <c r="R22" s="4">
        <f>J22/(Q22*I22)</f>
        <v>0</v>
      </c>
      <c r="S22" s="4">
        <f>F22*F22*D22</f>
        <v>512</v>
      </c>
      <c r="T22" s="4">
        <f>G22</f>
        <v>512</v>
      </c>
      <c r="U22" s="4">
        <f t="shared" si="6"/>
        <v>8</v>
      </c>
      <c r="V22" s="4">
        <f t="shared" si="6"/>
        <v>128</v>
      </c>
      <c r="W22" s="11"/>
      <c r="X22" s="11"/>
      <c r="Y22" s="4">
        <f>D22*F22*F22*G22</f>
        <v>262144</v>
      </c>
      <c r="Z22" s="4">
        <f>S22*T22</f>
        <v>262144</v>
      </c>
      <c r="AA22" s="4">
        <v>2</v>
      </c>
      <c r="AB22" s="4">
        <v>1</v>
      </c>
      <c r="AC22" s="12">
        <v>6</v>
      </c>
      <c r="AD22" s="18">
        <f>AC22*L22*M22*N22</f>
        <v>1536</v>
      </c>
      <c r="AE22" s="18" t="e">
        <f>1000000*$H$1/MAX(R22,W22)</f>
        <v>#DIV/0!</v>
      </c>
      <c r="AF22" s="18">
        <f>CEILING(Z22*AB22/18000,1) *M22</f>
        <v>60</v>
      </c>
      <c r="AH22" s="18">
        <f>Z22*M$1*AB22*H22*H22/(1024*1024*1024)</f>
        <v>46.710578762755098</v>
      </c>
    </row>
    <row r="23" spans="1:34" ht="15.75" customHeight="1">
      <c r="A23" s="4">
        <v>20</v>
      </c>
      <c r="B23" s="31" t="s">
        <v>37</v>
      </c>
      <c r="C23" s="4">
        <f t="shared" si="1"/>
        <v>6</v>
      </c>
      <c r="D23" s="4">
        <f t="shared" si="3"/>
        <v>512</v>
      </c>
      <c r="E23" s="4">
        <v>1</v>
      </c>
      <c r="F23" s="4">
        <v>3</v>
      </c>
      <c r="G23" s="21">
        <v>1024</v>
      </c>
      <c r="H23" s="21">
        <f t="shared" si="5"/>
        <v>4</v>
      </c>
      <c r="I23" s="4">
        <f t="shared" si="2"/>
        <v>1</v>
      </c>
      <c r="J23" s="4">
        <f t="shared" si="0"/>
        <v>150994944</v>
      </c>
      <c r="K23" s="10">
        <f>J23/SUM(J$4:J$23)*100</f>
        <v>19.547753205178946</v>
      </c>
      <c r="L23" s="4">
        <v>8</v>
      </c>
      <c r="M23" s="4">
        <v>8</v>
      </c>
      <c r="N23" s="4">
        <v>1</v>
      </c>
      <c r="O23" s="4">
        <f>G23/M23</f>
        <v>128</v>
      </c>
      <c r="P23" s="4">
        <f>F23*F23*D23*G23/(L23*M23)</f>
        <v>73728</v>
      </c>
      <c r="Q23" s="4">
        <f>2*L23*M23*N23</f>
        <v>128</v>
      </c>
      <c r="R23" s="4">
        <f>J23/(Q23*I23)</f>
        <v>1179648</v>
      </c>
      <c r="S23" s="4">
        <f>F23*F23*D23</f>
        <v>4608</v>
      </c>
      <c r="T23" s="4">
        <f>G23</f>
        <v>1024</v>
      </c>
      <c r="U23" s="4">
        <f t="shared" si="6"/>
        <v>576</v>
      </c>
      <c r="V23" s="4">
        <f t="shared" si="6"/>
        <v>128</v>
      </c>
      <c r="W23" s="11"/>
      <c r="X23" s="11"/>
      <c r="Y23" s="4">
        <f>D23*F23*F23*G23</f>
        <v>4718592</v>
      </c>
      <c r="Z23" s="4">
        <f>S23*T23</f>
        <v>4718592</v>
      </c>
      <c r="AA23" s="4">
        <v>2</v>
      </c>
      <c r="AB23" s="4">
        <v>4</v>
      </c>
      <c r="AC23" s="12">
        <v>8.5</v>
      </c>
      <c r="AD23" s="18">
        <f>AC23*L23*M23*N23</f>
        <v>544</v>
      </c>
      <c r="AE23" s="18">
        <f>1000000*$H$1/MAX(R23,W23)</f>
        <v>254.31315104166666</v>
      </c>
      <c r="AF23" s="18">
        <f>CEILING(Z23*AB23/18000,1) *M23</f>
        <v>8392</v>
      </c>
      <c r="AH23" s="18">
        <f>Z23*M$1*AB23*H23*H23/(1024*1024*1024)</f>
        <v>1494.7385204081631</v>
      </c>
    </row>
    <row r="24" spans="1:34" ht="15.75" customHeight="1">
      <c r="A24" s="4">
        <v>21</v>
      </c>
      <c r="B24" s="11" t="s">
        <v>87</v>
      </c>
      <c r="C24" s="4">
        <f>H23</f>
        <v>4</v>
      </c>
      <c r="D24" s="4">
        <f>G23</f>
        <v>1024</v>
      </c>
      <c r="E24" s="4">
        <v>1</v>
      </c>
      <c r="F24" s="4">
        <v>1</v>
      </c>
      <c r="G24" s="4">
        <v>1024</v>
      </c>
      <c r="H24" s="4">
        <f t="shared" si="5"/>
        <v>4</v>
      </c>
      <c r="I24" s="4">
        <f>IF(B23="merge", 1, IF(B23="split", 2, I23))</f>
        <v>1</v>
      </c>
      <c r="J24" s="4">
        <f t="shared" si="0"/>
        <v>0</v>
      </c>
      <c r="K24" s="10">
        <f>J24/SUM(J$4:J$23)*100</f>
        <v>0</v>
      </c>
      <c r="L24" s="4"/>
      <c r="M24" s="4"/>
      <c r="N24" s="4"/>
      <c r="O24" s="4"/>
      <c r="P24" s="4"/>
      <c r="Q24" s="4"/>
      <c r="R24" s="4" t="e">
        <f>J24/(Q24*I24)</f>
        <v>#DIV/0!</v>
      </c>
      <c r="S24" s="4">
        <f>F24*F24*D24</f>
        <v>1024</v>
      </c>
      <c r="T24" s="4">
        <f>G24</f>
        <v>1024</v>
      </c>
      <c r="U24" s="4" t="e">
        <f t="shared" si="6"/>
        <v>#DIV/0!</v>
      </c>
      <c r="V24" s="4" t="e">
        <f t="shared" si="6"/>
        <v>#DIV/0!</v>
      </c>
      <c r="W24" s="4" t="e">
        <f>C24*C24+(F24*F24*H24*H24)/N24</f>
        <v>#DIV/0!</v>
      </c>
      <c r="X24" s="4">
        <f>F24*F24*H24*H24</f>
        <v>16</v>
      </c>
    </row>
    <row r="25" spans="1:34" ht="15.75" customHeight="1">
      <c r="A25" s="4">
        <v>22</v>
      </c>
      <c r="B25" s="31" t="s">
        <v>37</v>
      </c>
      <c r="C25" s="4">
        <f>H24</f>
        <v>4</v>
      </c>
      <c r="D25" s="4">
        <f>G24</f>
        <v>1024</v>
      </c>
      <c r="E25" s="4">
        <v>1</v>
      </c>
      <c r="F25" s="4">
        <v>1</v>
      </c>
      <c r="G25" s="21">
        <v>1000</v>
      </c>
      <c r="H25" s="21">
        <f t="shared" si="5"/>
        <v>4</v>
      </c>
      <c r="I25" s="4">
        <f>IF(B24="merge", 1, IF(B24="split", 2, I24))</f>
        <v>1</v>
      </c>
      <c r="J25" s="4">
        <f t="shared" si="0"/>
        <v>32768000</v>
      </c>
      <c r="K25" s="10"/>
      <c r="L25" s="11"/>
      <c r="M25" s="11"/>
      <c r="N25" s="11"/>
      <c r="O25" s="4"/>
      <c r="P25" s="4"/>
      <c r="Q25" s="4"/>
      <c r="R25" s="4"/>
      <c r="S25" s="11"/>
      <c r="T25" s="11"/>
      <c r="U25" s="4"/>
      <c r="V25" s="11"/>
      <c r="W25" s="11"/>
      <c r="X25" s="11"/>
    </row>
    <row r="26" spans="1:34" ht="15.75" customHeight="1">
      <c r="A26" s="4">
        <v>23</v>
      </c>
      <c r="B26" s="30" t="s">
        <v>39</v>
      </c>
      <c r="C26" s="4">
        <f>H25</f>
        <v>4</v>
      </c>
      <c r="D26" s="4">
        <f>G25</f>
        <v>1000</v>
      </c>
      <c r="E26" s="4">
        <v>1</v>
      </c>
      <c r="F26" s="4">
        <v>1</v>
      </c>
      <c r="G26" s="4">
        <v>1000</v>
      </c>
      <c r="H26" s="4">
        <f t="shared" si="5"/>
        <v>4</v>
      </c>
      <c r="I26" s="4">
        <f>IF(B25="merge", 1, IF(B25="split", 2, I25))</f>
        <v>1</v>
      </c>
      <c r="J26" s="4">
        <f t="shared" si="0"/>
        <v>16</v>
      </c>
      <c r="K26" s="1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1"/>
      <c r="X26" s="11"/>
      <c r="Z26" s="18">
        <f>SUM(Z4:Z23)</f>
        <v>6411184</v>
      </c>
      <c r="AD26" s="18">
        <f>SUM(AD4:AD18)</f>
        <v>119064</v>
      </c>
    </row>
    <row r="27" spans="1:34" ht="15.75" customHeight="1">
      <c r="Z27" s="18">
        <f>Z26*32/8/1000000</f>
        <v>25.644736000000002</v>
      </c>
    </row>
    <row r="28" spans="1:34" ht="15.75" customHeight="1">
      <c r="E28" s="12"/>
    </row>
    <row r="29" spans="1:34" ht="15.75" customHeight="1">
      <c r="E29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workbookViewId="0">
      <selection activeCell="J4" sqref="J4"/>
    </sheetView>
  </sheetViews>
  <sheetFormatPr defaultColWidth="14.42578125" defaultRowHeight="15.75" customHeight="1"/>
  <cols>
    <col min="1" max="1" width="8.7109375" style="20" customWidth="1"/>
    <col min="2" max="2" width="14.42578125" style="20"/>
    <col min="3" max="3" width="6.85546875" style="20" customWidth="1"/>
    <col min="4" max="4" width="11.42578125" style="20" customWidth="1"/>
    <col min="5" max="8" width="14.42578125" style="20"/>
    <col min="9" max="9" width="17.42578125" style="20" customWidth="1"/>
    <col min="10" max="10" width="24.42578125" style="20" customWidth="1"/>
    <col min="11" max="24" width="14.42578125" style="20"/>
    <col min="25" max="25" width="22.140625" style="20" customWidth="1"/>
    <col min="26" max="26" width="16.85546875" style="20" customWidth="1"/>
    <col min="27" max="27" width="16.28515625" style="20" customWidth="1"/>
    <col min="28" max="28" width="14.42578125" style="20" customWidth="1"/>
    <col min="29" max="29" width="19.85546875" style="20" customWidth="1"/>
    <col min="30" max="30" width="20.85546875" style="20" customWidth="1"/>
    <col min="31" max="33" width="16.42578125" style="20" customWidth="1"/>
    <col min="34" max="16384" width="14.42578125" style="20"/>
  </cols>
  <sheetData>
    <row r="1" spans="1:33" ht="15.75" customHeight="1">
      <c r="A1" s="19" t="s">
        <v>0</v>
      </c>
      <c r="B1" s="34" t="s">
        <v>1</v>
      </c>
      <c r="C1" s="35"/>
      <c r="D1" s="35"/>
      <c r="E1" s="35"/>
      <c r="F1" s="35"/>
      <c r="G1" s="19" t="s">
        <v>2</v>
      </c>
      <c r="H1" s="4">
        <v>300</v>
      </c>
      <c r="I1" s="19"/>
      <c r="J1" s="19" t="s">
        <v>3</v>
      </c>
      <c r="K1" s="4">
        <f>MAX(MAX(R4:R20),MAX(W4:W20))</f>
        <v>225792</v>
      </c>
      <c r="L1" s="19" t="s">
        <v>4</v>
      </c>
      <c r="M1" s="4">
        <f>1000000*H1/K1</f>
        <v>1328.656462585034</v>
      </c>
      <c r="N1" s="11"/>
      <c r="O1" s="11"/>
      <c r="P1" s="11"/>
      <c r="Q1" s="11"/>
      <c r="R1" s="19" t="s">
        <v>5</v>
      </c>
      <c r="S1" s="4">
        <f>SUM(J3:J23)/(C3*C3*D3+G23*2)</f>
        <v>16506.81809543919</v>
      </c>
      <c r="T1" s="11"/>
      <c r="U1" s="11"/>
      <c r="V1" s="11"/>
      <c r="W1" s="11"/>
      <c r="X1" s="11"/>
      <c r="Y1" s="6"/>
      <c r="Z1" s="11"/>
      <c r="AA1" s="11"/>
      <c r="AB1" s="11"/>
    </row>
    <row r="2" spans="1:33" ht="15.75" customHeight="1">
      <c r="A2" s="19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19" t="s">
        <v>11</v>
      </c>
      <c r="G2" s="19" t="s">
        <v>12</v>
      </c>
      <c r="H2" s="19" t="s">
        <v>13</v>
      </c>
      <c r="I2" s="19" t="s">
        <v>14</v>
      </c>
      <c r="J2" s="19" t="str">
        <f>"ops, total: " &amp; SUM(J3:J111)/1000000 &amp;"M"</f>
        <v>ops, total: 5119.624468M</v>
      </c>
      <c r="K2" s="19" t="s">
        <v>15</v>
      </c>
      <c r="L2" s="19" t="s">
        <v>16</v>
      </c>
      <c r="M2" s="19" t="s">
        <v>17</v>
      </c>
      <c r="N2" s="19" t="s">
        <v>18</v>
      </c>
      <c r="O2" s="19" t="s">
        <v>19</v>
      </c>
      <c r="P2" s="19" t="s">
        <v>20</v>
      </c>
      <c r="Q2" s="19" t="s">
        <v>21</v>
      </c>
      <c r="R2" s="19" t="s">
        <v>22</v>
      </c>
      <c r="S2" s="19" t="s">
        <v>23</v>
      </c>
      <c r="T2" s="19" t="s">
        <v>24</v>
      </c>
      <c r="U2" s="19" t="s">
        <v>25</v>
      </c>
      <c r="V2" s="19" t="s">
        <v>26</v>
      </c>
      <c r="W2" s="19" t="s">
        <v>27</v>
      </c>
      <c r="X2" s="19" t="s">
        <v>28</v>
      </c>
      <c r="Y2" s="19" t="s">
        <v>29</v>
      </c>
      <c r="Z2" s="19" t="s">
        <v>30</v>
      </c>
      <c r="AA2" s="19" t="s">
        <v>31</v>
      </c>
      <c r="AB2" s="19" t="s">
        <v>32</v>
      </c>
      <c r="AC2" s="7" t="s">
        <v>42</v>
      </c>
      <c r="AD2" s="7" t="s">
        <v>43</v>
      </c>
      <c r="AE2" s="7" t="s">
        <v>33</v>
      </c>
      <c r="AF2" s="7" t="s">
        <v>34</v>
      </c>
      <c r="AG2" s="7" t="s">
        <v>35</v>
      </c>
    </row>
    <row r="3" spans="1:33" ht="15.75" customHeight="1">
      <c r="A3" s="4">
        <v>0</v>
      </c>
      <c r="B3" s="11" t="s">
        <v>36</v>
      </c>
      <c r="C3" s="4">
        <v>224</v>
      </c>
      <c r="D3" s="4">
        <v>3</v>
      </c>
      <c r="E3" s="4">
        <v>1</v>
      </c>
      <c r="F3" s="4">
        <v>1</v>
      </c>
      <c r="G3" s="4">
        <v>3</v>
      </c>
      <c r="H3" s="4">
        <f>IF(B3="pad", C3+2*F3, IF(B3="pool", C3/F3, IF(OR(B3="conv",B3="fc"), C3-F3+1,C3)))</f>
        <v>226</v>
      </c>
      <c r="I3" s="4">
        <v>1</v>
      </c>
      <c r="J3" s="4">
        <f t="shared" ref="J3:J26" si="0">IF(B3="pad", 0, IF(B3="pool", H3*H3*F3*F3, IF(OR(B3="conv",B3="fc"), I3*2*H3*H3*F3*F3*D3*G3,0)))</f>
        <v>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4">
        <v>1</v>
      </c>
      <c r="V3" s="11"/>
      <c r="W3" s="11"/>
      <c r="X3" s="11"/>
      <c r="Y3" s="11"/>
      <c r="Z3" s="11"/>
      <c r="AA3" s="11"/>
      <c r="AB3" s="11"/>
    </row>
    <row r="4" spans="1:33" ht="15.75" customHeight="1">
      <c r="A4" s="4">
        <v>1</v>
      </c>
      <c r="B4" s="31" t="s">
        <v>37</v>
      </c>
      <c r="C4" s="4">
        <f t="shared" ref="C4:C26" si="1">H3</f>
        <v>226</v>
      </c>
      <c r="D4" s="4">
        <f t="shared" ref="D4:D26" si="2">G3</f>
        <v>3</v>
      </c>
      <c r="E4" s="4">
        <v>1</v>
      </c>
      <c r="F4" s="4">
        <v>3</v>
      </c>
      <c r="G4" s="21">
        <v>32</v>
      </c>
      <c r="H4" s="21">
        <f>IF(B4="pad", C4+2*F4, IF(B4="pool", C4/F4, IF(OR(B4="conv",B4="fc"), (C4-F4+1)/E4,C4)))</f>
        <v>224</v>
      </c>
      <c r="I4" s="4">
        <f t="shared" ref="I4:I26" si="3">IF(B3="merge", 1, IF(B3="split", 2, I3))</f>
        <v>1</v>
      </c>
      <c r="J4" s="4">
        <f t="shared" si="0"/>
        <v>86704128</v>
      </c>
      <c r="K4" s="10">
        <f>J4/SUM(J$4:J$23)*100</f>
        <v>3.4658896996398161</v>
      </c>
      <c r="L4" s="4">
        <v>3</v>
      </c>
      <c r="M4" s="4">
        <v>48</v>
      </c>
      <c r="N4" s="4">
        <v>9</v>
      </c>
      <c r="O4" s="4">
        <f>G4/M4</f>
        <v>0.66666666666666663</v>
      </c>
      <c r="P4" s="4">
        <f>F4*F4*D4*G4/(L4*M4)</f>
        <v>6</v>
      </c>
      <c r="Q4" s="4">
        <f>2*L4*M4*N4</f>
        <v>2592</v>
      </c>
      <c r="R4" s="4">
        <f>J4/(Q4*I4)</f>
        <v>33450.666666666664</v>
      </c>
      <c r="S4" s="4">
        <f>F4*F4*D4</f>
        <v>27</v>
      </c>
      <c r="T4" s="4">
        <f>G4</f>
        <v>32</v>
      </c>
      <c r="U4" s="4">
        <f>S4/L4</f>
        <v>9</v>
      </c>
      <c r="V4" s="4">
        <f>T4/M4</f>
        <v>0.66666666666666663</v>
      </c>
      <c r="W4" s="4">
        <f>C4*24+(F4*F4*H4*H4)/N4</f>
        <v>55600</v>
      </c>
      <c r="X4" s="4">
        <f>F4*F4*H4*H4/N4</f>
        <v>50176</v>
      </c>
      <c r="Y4" s="4">
        <f>D4*F4*F4*G4</f>
        <v>864</v>
      </c>
      <c r="Z4" s="4">
        <f>S4*T4</f>
        <v>864</v>
      </c>
      <c r="AA4" s="4">
        <v>8</v>
      </c>
      <c r="AB4" s="4">
        <v>4</v>
      </c>
      <c r="AC4" s="12">
        <v>25.5</v>
      </c>
      <c r="AD4" s="20">
        <f>AC4*L4*M4*N4</f>
        <v>33048</v>
      </c>
      <c r="AE4" s="20">
        <f>1000000*$H$1/R4</f>
        <v>8968.4311224489811</v>
      </c>
      <c r="AF4" s="20">
        <f>CEILING(Z4*AB4/18000,1) *M4</f>
        <v>48</v>
      </c>
    </row>
    <row r="5" spans="1:33" ht="15.75" customHeight="1">
      <c r="A5" s="4">
        <v>2</v>
      </c>
      <c r="B5" s="30" t="s">
        <v>39</v>
      </c>
      <c r="C5" s="4">
        <f t="shared" si="1"/>
        <v>224</v>
      </c>
      <c r="D5" s="4">
        <f t="shared" si="2"/>
        <v>32</v>
      </c>
      <c r="E5" s="4">
        <v>2</v>
      </c>
      <c r="F5" s="4">
        <v>2</v>
      </c>
      <c r="G5" s="21">
        <v>16</v>
      </c>
      <c r="H5" s="21">
        <f>IF(B5="pad", C5+2*F5, IF(B5="pool", C5/F5, IF(OR(B5="conv",B5="fc"), (C5-F5+1)/E5,C5)))</f>
        <v>112</v>
      </c>
      <c r="I5" s="4">
        <f t="shared" si="3"/>
        <v>1</v>
      </c>
      <c r="J5" s="4">
        <f t="shared" si="0"/>
        <v>50176</v>
      </c>
      <c r="K5" s="10"/>
      <c r="L5" s="11"/>
      <c r="M5" s="11"/>
      <c r="N5" s="11"/>
      <c r="O5" s="4"/>
      <c r="P5" s="4"/>
      <c r="Q5" s="4"/>
      <c r="R5" s="4"/>
      <c r="S5" s="11"/>
      <c r="T5" s="11"/>
      <c r="U5" s="4"/>
      <c r="V5" s="11"/>
      <c r="W5" s="4"/>
      <c r="X5" s="11"/>
      <c r="Y5" s="11"/>
      <c r="Z5" s="11"/>
      <c r="AA5" s="11"/>
      <c r="AB5" s="11"/>
    </row>
    <row r="6" spans="1:33" ht="15.75" customHeight="1">
      <c r="A6" s="4">
        <v>3</v>
      </c>
      <c r="B6" s="11" t="s">
        <v>36</v>
      </c>
      <c r="C6" s="4">
        <f t="shared" si="1"/>
        <v>112</v>
      </c>
      <c r="D6" s="4">
        <f t="shared" si="2"/>
        <v>16</v>
      </c>
      <c r="E6" s="4">
        <v>1</v>
      </c>
      <c r="F6" s="4">
        <v>1</v>
      </c>
      <c r="G6" s="28">
        <v>16</v>
      </c>
      <c r="H6" s="28">
        <f>IF(B6="pad", C6+2*F6, IF(B6="pool", C6/F6, IF(OR(B6="conv",B6="fc"), (C6-F6+1)/E6,C6)))</f>
        <v>114</v>
      </c>
      <c r="I6" s="4">
        <f t="shared" si="3"/>
        <v>1</v>
      </c>
      <c r="J6" s="4">
        <f t="shared" si="0"/>
        <v>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3" ht="15.75" customHeight="1">
      <c r="A7" s="4">
        <v>4</v>
      </c>
      <c r="B7" s="31" t="s">
        <v>37</v>
      </c>
      <c r="C7" s="4">
        <f t="shared" si="1"/>
        <v>114</v>
      </c>
      <c r="D7" s="4">
        <f t="shared" si="2"/>
        <v>16</v>
      </c>
      <c r="E7" s="4">
        <v>1</v>
      </c>
      <c r="F7" s="4">
        <v>3</v>
      </c>
      <c r="G7" s="21">
        <v>64</v>
      </c>
      <c r="H7" s="21">
        <f>IF(B7="pad", C7+2*F7, IF(B7="pool", C7/F7, IF(OR(B7="conv",B7="fc"), (C7-F7+1)/E7,C7)))</f>
        <v>112</v>
      </c>
      <c r="I7" s="4">
        <f t="shared" si="3"/>
        <v>1</v>
      </c>
      <c r="J7" s="4">
        <f t="shared" si="0"/>
        <v>231211008</v>
      </c>
      <c r="K7" s="10">
        <f>J7/SUM(J$4:J$23)*100</f>
        <v>9.2423725323728423</v>
      </c>
      <c r="L7" s="4">
        <v>48</v>
      </c>
      <c r="M7" s="4">
        <v>32</v>
      </c>
      <c r="N7" s="4">
        <v>3</v>
      </c>
      <c r="O7" s="4">
        <f>G7/M7</f>
        <v>2</v>
      </c>
      <c r="P7" s="4">
        <f>F7*F7*D7*G7/(L7*M7)</f>
        <v>6</v>
      </c>
      <c r="Q7" s="4">
        <f>2*L7*M7*N7</f>
        <v>9216</v>
      </c>
      <c r="R7" s="4">
        <f>J7/(Q7*I7)</f>
        <v>25088</v>
      </c>
      <c r="S7" s="4">
        <f>F7*F7*D7</f>
        <v>144</v>
      </c>
      <c r="T7" s="4">
        <f>G7</f>
        <v>64</v>
      </c>
      <c r="U7" s="4">
        <f>S7/L7</f>
        <v>3</v>
      </c>
      <c r="V7" s="4">
        <f>T7/M7</f>
        <v>2</v>
      </c>
      <c r="W7" s="4">
        <f>C7*C7+(F7*F7*H7*H7)/N7</f>
        <v>50628</v>
      </c>
      <c r="X7" s="4">
        <f>F7*F7*H7*H7</f>
        <v>112896</v>
      </c>
      <c r="Y7" s="4">
        <f>D7*F7*F7*G7</f>
        <v>9216</v>
      </c>
      <c r="Z7" s="4">
        <f>S7*T7*I7</f>
        <v>9216</v>
      </c>
      <c r="AA7" s="4">
        <v>2</v>
      </c>
      <c r="AB7" s="4">
        <v>1</v>
      </c>
      <c r="AC7" s="12">
        <v>6</v>
      </c>
      <c r="AD7" s="20">
        <f>AC7*L7*M7*N7</f>
        <v>27648</v>
      </c>
      <c r="AE7" s="20">
        <f>1000000*$H$1/MAX(R7,W7)</f>
        <v>5925.5747807537327</v>
      </c>
      <c r="AF7" s="20">
        <f>CEILING(Z7*AB7/18000,1) *M7</f>
        <v>32</v>
      </c>
    </row>
    <row r="8" spans="1:33" ht="15.75" customHeight="1">
      <c r="A8" s="4">
        <v>5</v>
      </c>
      <c r="B8" s="30" t="s">
        <v>39</v>
      </c>
      <c r="C8" s="4">
        <f t="shared" si="1"/>
        <v>112</v>
      </c>
      <c r="D8" s="4">
        <f t="shared" si="2"/>
        <v>64</v>
      </c>
      <c r="E8" s="4">
        <v>2</v>
      </c>
      <c r="F8" s="4">
        <v>2</v>
      </c>
      <c r="G8" s="21">
        <v>64</v>
      </c>
      <c r="H8" s="21">
        <f t="shared" ref="H8:H20" si="4">IF(B8="pad", C8+2*F8, IF(B8="pool", C8/E8, IF(OR(B8="conv",B8="fc"), (C8-F8+1)/E8,C8)))</f>
        <v>56</v>
      </c>
      <c r="I8" s="4">
        <f t="shared" si="3"/>
        <v>1</v>
      </c>
      <c r="J8" s="4">
        <f t="shared" si="0"/>
        <v>12544</v>
      </c>
      <c r="K8" s="10"/>
      <c r="L8" s="11"/>
      <c r="M8" s="11"/>
      <c r="N8" s="11"/>
      <c r="O8" s="4"/>
      <c r="P8" s="4"/>
      <c r="Q8" s="4"/>
      <c r="R8" s="4"/>
      <c r="S8" s="11"/>
      <c r="T8" s="11"/>
      <c r="U8" s="4"/>
      <c r="V8" s="11"/>
      <c r="W8" s="4"/>
      <c r="X8" s="11"/>
      <c r="Y8" s="11"/>
      <c r="Z8" s="4"/>
      <c r="AA8" s="11"/>
      <c r="AB8" s="11"/>
    </row>
    <row r="9" spans="1:33" ht="15.75" customHeight="1">
      <c r="A9" s="4">
        <v>6</v>
      </c>
      <c r="B9" s="11" t="s">
        <v>36</v>
      </c>
      <c r="C9" s="4">
        <f t="shared" si="1"/>
        <v>56</v>
      </c>
      <c r="D9" s="4">
        <f t="shared" si="2"/>
        <v>64</v>
      </c>
      <c r="E9" s="4">
        <v>1</v>
      </c>
      <c r="F9" s="4">
        <v>1</v>
      </c>
      <c r="G9" s="28">
        <v>32</v>
      </c>
      <c r="H9" s="28">
        <f t="shared" si="4"/>
        <v>58</v>
      </c>
      <c r="I9" s="4">
        <f t="shared" si="3"/>
        <v>1</v>
      </c>
      <c r="J9" s="4">
        <f t="shared" si="0"/>
        <v>0</v>
      </c>
      <c r="K9" s="10"/>
      <c r="L9" s="11"/>
      <c r="M9" s="11"/>
      <c r="N9" s="11"/>
      <c r="O9" s="4"/>
      <c r="P9" s="4"/>
      <c r="Q9" s="4"/>
      <c r="R9" s="4"/>
      <c r="S9" s="11"/>
      <c r="T9" s="11"/>
      <c r="U9" s="4"/>
      <c r="V9" s="11"/>
      <c r="W9" s="4"/>
      <c r="X9" s="11"/>
      <c r="Y9" s="11"/>
      <c r="Z9" s="4"/>
      <c r="AA9" s="11"/>
      <c r="AB9" s="11"/>
    </row>
    <row r="10" spans="1:33" ht="15.75" customHeight="1">
      <c r="A10" s="4">
        <v>7</v>
      </c>
      <c r="B10" s="31" t="s">
        <v>37</v>
      </c>
      <c r="C10" s="4">
        <f t="shared" si="1"/>
        <v>58</v>
      </c>
      <c r="D10" s="4">
        <f t="shared" si="2"/>
        <v>32</v>
      </c>
      <c r="E10" s="4">
        <v>1</v>
      </c>
      <c r="F10" s="4">
        <v>3</v>
      </c>
      <c r="G10" s="21">
        <v>128</v>
      </c>
      <c r="H10" s="21">
        <f t="shared" si="4"/>
        <v>56</v>
      </c>
      <c r="I10" s="4">
        <f t="shared" si="3"/>
        <v>1</v>
      </c>
      <c r="J10" s="4">
        <f t="shared" si="0"/>
        <v>231211008</v>
      </c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33" ht="15.75" customHeight="1">
      <c r="A11" s="4">
        <v>8</v>
      </c>
      <c r="B11" s="31" t="s">
        <v>37</v>
      </c>
      <c r="C11" s="4">
        <f t="shared" si="1"/>
        <v>56</v>
      </c>
      <c r="D11" s="4">
        <f t="shared" si="2"/>
        <v>128</v>
      </c>
      <c r="E11" s="4">
        <v>1</v>
      </c>
      <c r="F11" s="4">
        <v>1</v>
      </c>
      <c r="G11" s="21">
        <v>64</v>
      </c>
      <c r="H11" s="21">
        <f t="shared" si="4"/>
        <v>56</v>
      </c>
      <c r="I11" s="4">
        <f t="shared" si="3"/>
        <v>1</v>
      </c>
      <c r="J11" s="4">
        <f t="shared" si="0"/>
        <v>51380224</v>
      </c>
      <c r="K11" s="10">
        <f>J11/SUM(J$4:J$23)*100</f>
        <v>2.0538605627495206</v>
      </c>
      <c r="L11" s="4">
        <v>64</v>
      </c>
      <c r="M11" s="4">
        <v>128</v>
      </c>
      <c r="N11" s="4">
        <v>1</v>
      </c>
      <c r="O11" s="4">
        <f>G11/M11</f>
        <v>0.5</v>
      </c>
      <c r="P11" s="4">
        <f>F11*F11*D11*G11/(L11*M11)</f>
        <v>1</v>
      </c>
      <c r="Q11" s="4">
        <f>2*L11*M11*N11</f>
        <v>16384</v>
      </c>
      <c r="R11" s="4">
        <f>J11/(Q11*I11)</f>
        <v>3136</v>
      </c>
      <c r="S11" s="4">
        <f>F11*F11*D11</f>
        <v>128</v>
      </c>
      <c r="T11" s="4">
        <f>G11</f>
        <v>64</v>
      </c>
      <c r="U11" s="4">
        <f>S11/L11</f>
        <v>2</v>
      </c>
      <c r="V11" s="4">
        <f>T11/M11</f>
        <v>0.5</v>
      </c>
      <c r="W11" s="4">
        <f>C11*C11+(F11*F11*H11*H11)/N11</f>
        <v>6272</v>
      </c>
      <c r="X11" s="4">
        <f>F11*F11*H11*H11</f>
        <v>3136</v>
      </c>
      <c r="Y11" s="4">
        <f>D11*F11*F11*G11</f>
        <v>8192</v>
      </c>
      <c r="Z11" s="4">
        <f>S11*T11*I11</f>
        <v>8192</v>
      </c>
      <c r="AA11" s="4">
        <v>2</v>
      </c>
      <c r="AB11" s="4">
        <v>1</v>
      </c>
      <c r="AC11" s="12">
        <v>6</v>
      </c>
      <c r="AD11" s="20">
        <f>AC11*L11*M11*N11</f>
        <v>49152</v>
      </c>
      <c r="AE11" s="20">
        <f>1000000*$H$1/MAX(R11,W11)</f>
        <v>47831.632653061228</v>
      </c>
      <c r="AF11" s="20">
        <f>CEILING(Z11*AB11/18000,1) *M11</f>
        <v>128</v>
      </c>
    </row>
    <row r="12" spans="1:33" ht="15.75" customHeight="1">
      <c r="A12" s="4">
        <v>9</v>
      </c>
      <c r="B12" s="11" t="s">
        <v>36</v>
      </c>
      <c r="C12" s="4">
        <f t="shared" si="1"/>
        <v>56</v>
      </c>
      <c r="D12" s="4">
        <f t="shared" si="2"/>
        <v>64</v>
      </c>
      <c r="E12" s="4">
        <v>1</v>
      </c>
      <c r="F12" s="4">
        <v>1</v>
      </c>
      <c r="G12" s="28">
        <v>64</v>
      </c>
      <c r="H12" s="28">
        <f t="shared" si="4"/>
        <v>58</v>
      </c>
      <c r="I12" s="4">
        <f t="shared" si="3"/>
        <v>1</v>
      </c>
      <c r="J12" s="4">
        <f t="shared" si="0"/>
        <v>0</v>
      </c>
      <c r="K12" s="10"/>
      <c r="L12" s="11"/>
      <c r="M12" s="11"/>
      <c r="N12" s="11"/>
      <c r="O12" s="4"/>
      <c r="P12" s="4"/>
      <c r="Q12" s="4"/>
      <c r="R12" s="4"/>
      <c r="S12" s="11"/>
      <c r="T12" s="11"/>
      <c r="U12" s="4"/>
      <c r="V12" s="11"/>
      <c r="W12" s="4"/>
      <c r="X12" s="11"/>
      <c r="Y12" s="11"/>
      <c r="Z12" s="4"/>
      <c r="AA12" s="11"/>
      <c r="AB12" s="11"/>
    </row>
    <row r="13" spans="1:33" ht="15.75" customHeight="1">
      <c r="A13" s="4">
        <v>10</v>
      </c>
      <c r="B13" s="31" t="s">
        <v>37</v>
      </c>
      <c r="C13" s="4">
        <f t="shared" si="1"/>
        <v>58</v>
      </c>
      <c r="D13" s="4">
        <f t="shared" si="2"/>
        <v>64</v>
      </c>
      <c r="E13" s="4">
        <v>1</v>
      </c>
      <c r="F13" s="4">
        <v>3</v>
      </c>
      <c r="G13" s="21">
        <v>128</v>
      </c>
      <c r="H13" s="21">
        <f t="shared" si="4"/>
        <v>56</v>
      </c>
      <c r="I13" s="4">
        <f t="shared" si="3"/>
        <v>1</v>
      </c>
      <c r="J13" s="4">
        <f t="shared" si="0"/>
        <v>462422016</v>
      </c>
      <c r="K13" s="10"/>
      <c r="L13" s="11"/>
      <c r="M13" s="11"/>
      <c r="N13" s="11"/>
      <c r="O13" s="4"/>
      <c r="P13" s="4"/>
      <c r="Q13" s="4"/>
      <c r="R13" s="4"/>
      <c r="S13" s="11"/>
      <c r="T13" s="11"/>
      <c r="U13" s="4"/>
      <c r="V13" s="11"/>
      <c r="W13" s="4"/>
      <c r="X13" s="11"/>
      <c r="Y13" s="11"/>
      <c r="Z13" s="4"/>
      <c r="AA13" s="11"/>
      <c r="AB13" s="11"/>
    </row>
    <row r="14" spans="1:33" ht="15.75" customHeight="1">
      <c r="A14" s="4">
        <v>11</v>
      </c>
      <c r="B14" s="30" t="s">
        <v>39</v>
      </c>
      <c r="C14" s="4">
        <f t="shared" si="1"/>
        <v>56</v>
      </c>
      <c r="D14" s="4">
        <f t="shared" si="2"/>
        <v>128</v>
      </c>
      <c r="E14" s="4">
        <v>2</v>
      </c>
      <c r="F14" s="4">
        <v>2</v>
      </c>
      <c r="G14" s="21">
        <v>128</v>
      </c>
      <c r="H14" s="21">
        <f t="shared" si="4"/>
        <v>28</v>
      </c>
      <c r="I14" s="4">
        <f t="shared" si="3"/>
        <v>1</v>
      </c>
      <c r="J14" s="4">
        <f t="shared" si="0"/>
        <v>3136</v>
      </c>
      <c r="K14" s="10"/>
      <c r="L14" s="11"/>
      <c r="M14" s="11"/>
      <c r="N14" s="11"/>
      <c r="O14" s="4"/>
      <c r="P14" s="4"/>
      <c r="Q14" s="4"/>
      <c r="R14" s="4"/>
      <c r="S14" s="11"/>
      <c r="T14" s="11"/>
      <c r="U14" s="4"/>
      <c r="V14" s="11"/>
      <c r="W14" s="4"/>
      <c r="X14" s="11"/>
      <c r="Y14" s="11"/>
      <c r="Z14" s="4"/>
      <c r="AA14" s="11"/>
      <c r="AB14" s="11"/>
    </row>
    <row r="15" spans="1:33" ht="15.75" customHeight="1">
      <c r="A15" s="4">
        <v>12</v>
      </c>
      <c r="B15" s="11" t="s">
        <v>36</v>
      </c>
      <c r="C15" s="4">
        <f>H14</f>
        <v>28</v>
      </c>
      <c r="D15" s="4">
        <f t="shared" si="2"/>
        <v>128</v>
      </c>
      <c r="E15" s="4">
        <v>1</v>
      </c>
      <c r="F15" s="4">
        <v>1</v>
      </c>
      <c r="G15" s="28">
        <v>128</v>
      </c>
      <c r="H15" s="28">
        <f t="shared" si="4"/>
        <v>30</v>
      </c>
      <c r="I15" s="4">
        <f t="shared" si="3"/>
        <v>1</v>
      </c>
      <c r="J15" s="4">
        <f t="shared" si="0"/>
        <v>0</v>
      </c>
      <c r="K15" s="10"/>
      <c r="L15" s="11"/>
      <c r="M15" s="11"/>
      <c r="N15" s="11"/>
      <c r="O15" s="4"/>
      <c r="P15" s="4"/>
      <c r="Q15" s="4"/>
      <c r="R15" s="4"/>
      <c r="S15" s="11"/>
      <c r="T15" s="11"/>
      <c r="U15" s="4"/>
      <c r="V15" s="11"/>
      <c r="W15" s="4"/>
      <c r="X15" s="11"/>
      <c r="Y15" s="11"/>
      <c r="Z15" s="4"/>
      <c r="AA15" s="11"/>
      <c r="AB15" s="11"/>
    </row>
    <row r="16" spans="1:33" ht="15.75" customHeight="1">
      <c r="A16" s="4">
        <v>13</v>
      </c>
      <c r="B16" s="31" t="s">
        <v>37</v>
      </c>
      <c r="C16" s="4">
        <f t="shared" si="1"/>
        <v>30</v>
      </c>
      <c r="D16" s="4">
        <f t="shared" si="2"/>
        <v>128</v>
      </c>
      <c r="E16" s="4">
        <v>1</v>
      </c>
      <c r="F16" s="4">
        <v>3</v>
      </c>
      <c r="G16" s="21">
        <v>256</v>
      </c>
      <c r="H16" s="21">
        <f t="shared" si="4"/>
        <v>28</v>
      </c>
      <c r="I16" s="4">
        <f t="shared" si="3"/>
        <v>1</v>
      </c>
      <c r="J16" s="4">
        <f t="shared" si="0"/>
        <v>462422016</v>
      </c>
      <c r="K16" s="10">
        <f>J16/SUM(J$4:J$23)*100</f>
        <v>18.484745064745685</v>
      </c>
      <c r="L16" s="4">
        <v>32</v>
      </c>
      <c r="M16" s="4">
        <v>16</v>
      </c>
      <c r="N16" s="4">
        <v>2</v>
      </c>
      <c r="O16" s="4">
        <f>G16/M16</f>
        <v>16</v>
      </c>
      <c r="P16" s="4">
        <f>F16*F16*D16*G16/(L16*M16)</f>
        <v>576</v>
      </c>
      <c r="Q16" s="4">
        <f>2*L16*M16*N16</f>
        <v>2048</v>
      </c>
      <c r="R16" s="4">
        <f>J16/(Q16*I16)</f>
        <v>225792</v>
      </c>
      <c r="S16" s="4">
        <f>F16*F16*D16</f>
        <v>1152</v>
      </c>
      <c r="T16" s="4">
        <f>G16</f>
        <v>256</v>
      </c>
      <c r="U16" s="4">
        <f>S16/L16</f>
        <v>36</v>
      </c>
      <c r="V16" s="4">
        <f>T16/M16</f>
        <v>16</v>
      </c>
      <c r="W16" s="4">
        <f>C16*C16+(F16*F16*H16*H16)/N16</f>
        <v>4428</v>
      </c>
      <c r="X16" s="4">
        <f>F16*F16*H16*H16</f>
        <v>7056</v>
      </c>
      <c r="Y16" s="4">
        <f>D16*F16*F16*G16</f>
        <v>294912</v>
      </c>
      <c r="Z16" s="4">
        <f>S16*T16*I16</f>
        <v>294912</v>
      </c>
      <c r="AA16" s="4">
        <v>2</v>
      </c>
      <c r="AB16" s="4">
        <v>1</v>
      </c>
      <c r="AC16" s="12">
        <v>6</v>
      </c>
      <c r="AD16" s="20">
        <f>AC16*L16*M16*N16</f>
        <v>6144</v>
      </c>
      <c r="AE16" s="20">
        <f>1000000*$H$1/MAX(R16,W16)</f>
        <v>1328.656462585034</v>
      </c>
      <c r="AF16" s="20">
        <f>CEILING(Z16*AB16/18000,1) *M16</f>
        <v>272</v>
      </c>
    </row>
    <row r="17" spans="1:33" ht="15.75" customHeight="1">
      <c r="A17" s="4">
        <v>14</v>
      </c>
      <c r="B17" s="31" t="s">
        <v>37</v>
      </c>
      <c r="C17" s="4">
        <f t="shared" si="1"/>
        <v>28</v>
      </c>
      <c r="D17" s="4">
        <f t="shared" si="2"/>
        <v>256</v>
      </c>
      <c r="E17" s="4">
        <v>1</v>
      </c>
      <c r="F17" s="4">
        <v>1</v>
      </c>
      <c r="G17" s="21">
        <v>128</v>
      </c>
      <c r="H17" s="21">
        <f t="shared" si="4"/>
        <v>28</v>
      </c>
      <c r="I17" s="4">
        <f t="shared" si="3"/>
        <v>1</v>
      </c>
      <c r="J17" s="4">
        <f t="shared" si="0"/>
        <v>51380224</v>
      </c>
      <c r="K17" s="10"/>
      <c r="L17" s="11"/>
      <c r="M17" s="11"/>
      <c r="N17" s="11"/>
      <c r="O17" s="4"/>
      <c r="P17" s="4"/>
      <c r="Q17" s="4"/>
      <c r="R17" s="4"/>
      <c r="S17" s="11"/>
      <c r="T17" s="11"/>
      <c r="U17" s="4"/>
      <c r="V17" s="11"/>
      <c r="W17" s="4"/>
      <c r="X17" s="11"/>
      <c r="Y17" s="11"/>
      <c r="Z17" s="4"/>
      <c r="AA17" s="11"/>
      <c r="AB17" s="11"/>
    </row>
    <row r="18" spans="1:33" ht="15.75" customHeight="1">
      <c r="A18" s="4">
        <v>15</v>
      </c>
      <c r="B18" s="11" t="s">
        <v>36</v>
      </c>
      <c r="C18" s="4">
        <f t="shared" si="1"/>
        <v>28</v>
      </c>
      <c r="D18" s="4">
        <f t="shared" si="2"/>
        <v>128</v>
      </c>
      <c r="E18" s="4">
        <v>1</v>
      </c>
      <c r="F18" s="4">
        <v>1</v>
      </c>
      <c r="G18" s="28">
        <v>128</v>
      </c>
      <c r="H18" s="28">
        <f t="shared" si="4"/>
        <v>30</v>
      </c>
      <c r="I18" s="4">
        <f t="shared" si="3"/>
        <v>1</v>
      </c>
      <c r="J18" s="4">
        <f t="shared" si="0"/>
        <v>0</v>
      </c>
      <c r="K18" s="10">
        <f>J18/SUM(J$4:J$23)*100</f>
        <v>0</v>
      </c>
      <c r="L18" s="4">
        <v>32</v>
      </c>
      <c r="M18" s="4">
        <v>8</v>
      </c>
      <c r="N18" s="4">
        <v>2</v>
      </c>
      <c r="O18" s="4">
        <f>G18/M18</f>
        <v>16</v>
      </c>
      <c r="P18" s="4">
        <f>F18*F18*D18*G18/(L18*M18)</f>
        <v>64</v>
      </c>
      <c r="Q18" s="4">
        <f>2*L18*M18*N18</f>
        <v>1024</v>
      </c>
      <c r="R18" s="4">
        <f>J18/(Q18*I18)</f>
        <v>0</v>
      </c>
      <c r="S18" s="4">
        <f>F18*F18*D18</f>
        <v>128</v>
      </c>
      <c r="T18" s="4">
        <f>G18</f>
        <v>128</v>
      </c>
      <c r="U18" s="4">
        <f>S18/L18</f>
        <v>4</v>
      </c>
      <c r="V18" s="4">
        <f>T18/M18</f>
        <v>16</v>
      </c>
      <c r="W18" s="4">
        <f>C18*C18+(F18*F18*H18*H18)/N18</f>
        <v>1234</v>
      </c>
      <c r="X18" s="4">
        <f>F18*F18*H18*H18</f>
        <v>900</v>
      </c>
      <c r="Y18" s="4">
        <f>D18*F18*F18*G18</f>
        <v>16384</v>
      </c>
      <c r="Z18" s="4">
        <f>S18*T18*I18</f>
        <v>16384</v>
      </c>
      <c r="AA18" s="4">
        <v>2</v>
      </c>
      <c r="AB18" s="4">
        <v>1</v>
      </c>
      <c r="AC18" s="12">
        <v>6</v>
      </c>
      <c r="AD18" s="20">
        <f>AC18*L18*M18*N18</f>
        <v>3072</v>
      </c>
      <c r="AE18" s="20">
        <f>1000000*$H$1/MAX(R18,W18)</f>
        <v>243111.83144246353</v>
      </c>
      <c r="AF18" s="20">
        <f>CEILING(Z18*AB18/18000,1) *M18</f>
        <v>8</v>
      </c>
    </row>
    <row r="19" spans="1:33" ht="15.75" customHeight="1">
      <c r="A19" s="4">
        <v>16</v>
      </c>
      <c r="B19" s="31" t="s">
        <v>37</v>
      </c>
      <c r="C19" s="4">
        <f t="shared" si="1"/>
        <v>30</v>
      </c>
      <c r="D19" s="4">
        <f t="shared" si="2"/>
        <v>128</v>
      </c>
      <c r="E19" s="4">
        <v>1</v>
      </c>
      <c r="F19" s="4">
        <v>3</v>
      </c>
      <c r="G19" s="21">
        <v>256</v>
      </c>
      <c r="H19" s="21">
        <f t="shared" si="4"/>
        <v>28</v>
      </c>
      <c r="I19" s="4">
        <f t="shared" si="3"/>
        <v>1</v>
      </c>
      <c r="J19" s="4">
        <f t="shared" si="0"/>
        <v>462422016</v>
      </c>
      <c r="K19" s="10"/>
      <c r="L19" s="11"/>
      <c r="M19" s="11"/>
      <c r="N19" s="11"/>
      <c r="O19" s="4"/>
      <c r="P19" s="4"/>
      <c r="Q19" s="4"/>
      <c r="R19" s="4"/>
      <c r="S19" s="11"/>
      <c r="T19" s="11"/>
      <c r="U19" s="4"/>
      <c r="V19" s="11"/>
      <c r="W19" s="11"/>
      <c r="X19" s="11"/>
      <c r="Y19" s="11"/>
      <c r="Z19" s="11"/>
      <c r="AA19" s="11"/>
      <c r="AB19" s="11"/>
    </row>
    <row r="20" spans="1:33" ht="15.75" customHeight="1">
      <c r="A20" s="4">
        <v>17</v>
      </c>
      <c r="B20" s="11" t="s">
        <v>36</v>
      </c>
      <c r="C20" s="4">
        <f t="shared" si="1"/>
        <v>28</v>
      </c>
      <c r="D20" s="4">
        <f t="shared" si="2"/>
        <v>256</v>
      </c>
      <c r="E20" s="4">
        <v>1</v>
      </c>
      <c r="F20" s="4">
        <v>1</v>
      </c>
      <c r="G20" s="28">
        <v>256</v>
      </c>
      <c r="H20" s="28">
        <f t="shared" si="4"/>
        <v>30</v>
      </c>
      <c r="I20" s="4">
        <f t="shared" si="3"/>
        <v>1</v>
      </c>
      <c r="J20" s="4">
        <f t="shared" si="0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1"/>
      <c r="X20" s="11"/>
      <c r="Y20" s="4"/>
      <c r="Z20" s="4"/>
      <c r="AA20" s="4"/>
      <c r="AB20" s="4"/>
    </row>
    <row r="21" spans="1:33" ht="15.75" customHeight="1">
      <c r="A21" s="4">
        <v>18</v>
      </c>
      <c r="B21" s="30" t="s">
        <v>39</v>
      </c>
      <c r="C21" s="4">
        <f t="shared" si="1"/>
        <v>30</v>
      </c>
      <c r="D21" s="4">
        <f t="shared" si="2"/>
        <v>256</v>
      </c>
      <c r="E21" s="4">
        <v>2</v>
      </c>
      <c r="F21" s="4">
        <v>2</v>
      </c>
      <c r="G21" s="21">
        <v>256</v>
      </c>
      <c r="H21" s="21">
        <f t="shared" ref="H21:H40" si="5">IF(B21="pad", C21+2*F21, IF(B21="pool",_xlfn.FLOOR.MATH((C21-F21+1)/E21), IF(OR(B21="conv",B21="fc"), _xlfn.FLOOR.MATH((C21-F21+1)/E21),C21)))</f>
        <v>14</v>
      </c>
      <c r="I21" s="4">
        <f t="shared" si="3"/>
        <v>1</v>
      </c>
      <c r="J21" s="4">
        <f t="shared" si="0"/>
        <v>784</v>
      </c>
      <c r="K21" s="10">
        <f>J21/SUM(J$4:J$23)*100</f>
        <v>3.1339425090782479E-5</v>
      </c>
      <c r="L21" s="4">
        <v>64</v>
      </c>
      <c r="M21" s="4">
        <v>8</v>
      </c>
      <c r="N21" s="4">
        <v>1</v>
      </c>
      <c r="O21" s="4">
        <f>G21/M21</f>
        <v>32</v>
      </c>
      <c r="P21" s="4">
        <f>F21*F21*D21*G21/(L21*M21)</f>
        <v>512</v>
      </c>
      <c r="Q21" s="4">
        <f>2*L21*M21*N21</f>
        <v>1024</v>
      </c>
      <c r="R21" s="4">
        <f>J21/(Q21*I21)</f>
        <v>0.765625</v>
      </c>
      <c r="S21" s="4">
        <f>F21*F21*D21</f>
        <v>1024</v>
      </c>
      <c r="T21" s="4">
        <f>G21</f>
        <v>256</v>
      </c>
      <c r="U21" s="4">
        <f t="shared" ref="U21:V24" si="6">S21/L21</f>
        <v>16</v>
      </c>
      <c r="V21" s="4">
        <f t="shared" si="6"/>
        <v>32</v>
      </c>
      <c r="W21" s="11"/>
      <c r="X21" s="11"/>
      <c r="Y21" s="4">
        <f>D21*F21*F21*G21</f>
        <v>262144</v>
      </c>
      <c r="Z21" s="4">
        <f>S21*T21</f>
        <v>262144</v>
      </c>
      <c r="AA21" s="4">
        <v>2</v>
      </c>
      <c r="AB21" s="4">
        <v>1</v>
      </c>
      <c r="AC21" s="12">
        <v>6</v>
      </c>
      <c r="AD21" s="20">
        <f>AC21*L21*M21*N21</f>
        <v>3072</v>
      </c>
      <c r="AE21" s="20">
        <f>1000000*$H$1/MAX(R21,W21)</f>
        <v>391836734.69387758</v>
      </c>
      <c r="AF21" s="20">
        <f>CEILING(Z21*AB21/18000,1) *M21</f>
        <v>120</v>
      </c>
      <c r="AG21" s="20">
        <f>Z21*M$1*AB21*H21*H21/(1024*1024*1024)</f>
        <v>63.578287760416671</v>
      </c>
    </row>
    <row r="22" spans="1:33" ht="15.75" customHeight="1">
      <c r="A22" s="4">
        <v>19</v>
      </c>
      <c r="B22" s="11" t="s">
        <v>36</v>
      </c>
      <c r="C22" s="4">
        <f t="shared" si="1"/>
        <v>14</v>
      </c>
      <c r="D22" s="4">
        <f t="shared" si="2"/>
        <v>256</v>
      </c>
      <c r="E22" s="4">
        <v>1</v>
      </c>
      <c r="F22" s="4">
        <v>1</v>
      </c>
      <c r="G22" s="28">
        <v>256</v>
      </c>
      <c r="H22" s="28">
        <f t="shared" si="5"/>
        <v>16</v>
      </c>
      <c r="I22" s="4">
        <f t="shared" si="3"/>
        <v>1</v>
      </c>
      <c r="J22" s="4">
        <f t="shared" si="0"/>
        <v>0</v>
      </c>
      <c r="K22" s="10">
        <f>J22/SUM(J$4:J$23)*100</f>
        <v>0</v>
      </c>
      <c r="L22" s="4">
        <v>64</v>
      </c>
      <c r="M22" s="4">
        <v>4</v>
      </c>
      <c r="N22" s="4">
        <v>1</v>
      </c>
      <c r="O22" s="4">
        <f>G22/M22</f>
        <v>64</v>
      </c>
      <c r="P22" s="4">
        <f>F22*F22*D22*G22/(L22*M22)</f>
        <v>256</v>
      </c>
      <c r="Q22" s="4">
        <f>2*L22*M22*N22</f>
        <v>512</v>
      </c>
      <c r="R22" s="4">
        <f>J22/(Q22*I22)</f>
        <v>0</v>
      </c>
      <c r="S22" s="4">
        <f>F22*F22*D22</f>
        <v>256</v>
      </c>
      <c r="T22" s="4">
        <f>G22</f>
        <v>256</v>
      </c>
      <c r="U22" s="4">
        <f t="shared" si="6"/>
        <v>4</v>
      </c>
      <c r="V22" s="4">
        <f t="shared" si="6"/>
        <v>64</v>
      </c>
      <c r="W22" s="11"/>
      <c r="X22" s="11"/>
      <c r="Y22" s="4">
        <f>D22*F22*F22*G22</f>
        <v>65536</v>
      </c>
      <c r="Z22" s="4">
        <f>S22*T22</f>
        <v>65536</v>
      </c>
      <c r="AA22" s="4">
        <v>2</v>
      </c>
      <c r="AB22" s="4">
        <v>1</v>
      </c>
      <c r="AC22" s="12">
        <v>6</v>
      </c>
      <c r="AD22" s="20">
        <f>AC22*L22*M22*N22</f>
        <v>1536</v>
      </c>
      <c r="AE22" s="20" t="e">
        <f>1000000*$H$1/MAX(R22,W22)</f>
        <v>#DIV/0!</v>
      </c>
      <c r="AF22" s="20">
        <f>CEILING(Z22*AB22/18000,1) *M22</f>
        <v>16</v>
      </c>
      <c r="AG22" s="20">
        <f>Z22*M$1*AB22*H22*H22/(1024*1024*1024)</f>
        <v>20.760257227891156</v>
      </c>
    </row>
    <row r="23" spans="1:33" ht="15.75" customHeight="1">
      <c r="A23" s="4">
        <v>20</v>
      </c>
      <c r="B23" s="31" t="s">
        <v>37</v>
      </c>
      <c r="C23" s="4">
        <f t="shared" si="1"/>
        <v>16</v>
      </c>
      <c r="D23" s="4">
        <f t="shared" si="2"/>
        <v>256</v>
      </c>
      <c r="E23" s="4">
        <v>1</v>
      </c>
      <c r="F23" s="4">
        <v>3</v>
      </c>
      <c r="G23" s="21">
        <v>512</v>
      </c>
      <c r="H23" s="21">
        <f t="shared" si="5"/>
        <v>14</v>
      </c>
      <c r="I23" s="4">
        <f t="shared" si="3"/>
        <v>1</v>
      </c>
      <c r="J23" s="4">
        <f t="shared" si="0"/>
        <v>462422016</v>
      </c>
      <c r="K23" s="10">
        <f>J23/SUM(J$4:J$23)*100</f>
        <v>18.484745064745685</v>
      </c>
      <c r="L23" s="4">
        <v>8</v>
      </c>
      <c r="M23" s="4">
        <v>8</v>
      </c>
      <c r="N23" s="4">
        <v>1</v>
      </c>
      <c r="O23" s="4">
        <f>G23/M23</f>
        <v>64</v>
      </c>
      <c r="P23" s="4">
        <f>F23*F23*D23*G23/(L23*M23)</f>
        <v>18432</v>
      </c>
      <c r="Q23" s="4">
        <f>2*L23*M23*N23</f>
        <v>128</v>
      </c>
      <c r="R23" s="4">
        <f>J23/(Q23*I23)</f>
        <v>3612672</v>
      </c>
      <c r="S23" s="4">
        <f>F23*F23*D23</f>
        <v>2304</v>
      </c>
      <c r="T23" s="4">
        <f>G23</f>
        <v>512</v>
      </c>
      <c r="U23" s="4">
        <f t="shared" si="6"/>
        <v>288</v>
      </c>
      <c r="V23" s="4">
        <f t="shared" si="6"/>
        <v>64</v>
      </c>
      <c r="W23" s="11"/>
      <c r="X23" s="11"/>
      <c r="Y23" s="4">
        <f>D23*F23*F23*G23</f>
        <v>1179648</v>
      </c>
      <c r="Z23" s="4">
        <f>S23*T23</f>
        <v>1179648</v>
      </c>
      <c r="AA23" s="4">
        <v>2</v>
      </c>
      <c r="AB23" s="4">
        <v>4</v>
      </c>
      <c r="AC23" s="12">
        <v>8.5</v>
      </c>
      <c r="AD23" s="20">
        <f>AC23*L23*M23*N23</f>
        <v>544</v>
      </c>
      <c r="AE23" s="20">
        <f>1000000*$H$1/MAX(R23,W23)</f>
        <v>83.041028911564624</v>
      </c>
      <c r="AF23" s="20">
        <f>CEILING(Z23*AB23/18000,1) *M23</f>
        <v>2104</v>
      </c>
      <c r="AG23" s="20">
        <f>Z23*M$1*AB23*H23*H23/(1024*1024*1024)</f>
        <v>1144.4091796874998</v>
      </c>
    </row>
    <row r="24" spans="1:33" ht="15.75" customHeight="1">
      <c r="A24" s="4">
        <v>21</v>
      </c>
      <c r="B24" s="31" t="s">
        <v>37</v>
      </c>
      <c r="C24" s="4">
        <f t="shared" si="1"/>
        <v>14</v>
      </c>
      <c r="D24" s="4">
        <f t="shared" si="2"/>
        <v>512</v>
      </c>
      <c r="E24" s="4">
        <v>1</v>
      </c>
      <c r="F24" s="4">
        <v>1</v>
      </c>
      <c r="G24" s="21">
        <v>256</v>
      </c>
      <c r="H24" s="21">
        <f t="shared" si="5"/>
        <v>14</v>
      </c>
      <c r="I24" s="4">
        <f t="shared" si="3"/>
        <v>1</v>
      </c>
      <c r="J24" s="4">
        <f t="shared" si="0"/>
        <v>51380224</v>
      </c>
      <c r="K24" s="10">
        <f>J24/SUM(J$4:J$23)*100</f>
        <v>2.0538605627495206</v>
      </c>
      <c r="L24" s="4"/>
      <c r="M24" s="4"/>
      <c r="N24" s="4"/>
      <c r="O24" s="4"/>
      <c r="P24" s="4"/>
      <c r="Q24" s="4"/>
      <c r="R24" s="4" t="e">
        <f>J24/(Q24*I24)</f>
        <v>#DIV/0!</v>
      </c>
      <c r="S24" s="4">
        <f>F24*F24*D24</f>
        <v>512</v>
      </c>
      <c r="T24" s="4">
        <f>G24</f>
        <v>256</v>
      </c>
      <c r="U24" s="4" t="e">
        <f t="shared" si="6"/>
        <v>#DIV/0!</v>
      </c>
      <c r="V24" s="4" t="e">
        <f t="shared" si="6"/>
        <v>#DIV/0!</v>
      </c>
      <c r="W24" s="4" t="e">
        <f>C24*C24+(F24*F24*H24*H24)/N24</f>
        <v>#DIV/0!</v>
      </c>
      <c r="X24" s="4">
        <f>F24*F24*H24*H24</f>
        <v>196</v>
      </c>
    </row>
    <row r="25" spans="1:33" ht="15.75" customHeight="1">
      <c r="A25" s="4">
        <v>22</v>
      </c>
      <c r="B25" s="11" t="s">
        <v>36</v>
      </c>
      <c r="C25" s="4">
        <f t="shared" si="1"/>
        <v>14</v>
      </c>
      <c r="D25" s="4">
        <f t="shared" si="2"/>
        <v>256</v>
      </c>
      <c r="E25" s="4">
        <v>1</v>
      </c>
      <c r="F25" s="4">
        <v>1</v>
      </c>
      <c r="G25" s="29">
        <v>256</v>
      </c>
      <c r="H25" s="29">
        <f t="shared" si="5"/>
        <v>16</v>
      </c>
      <c r="I25" s="4">
        <f t="shared" si="3"/>
        <v>1</v>
      </c>
      <c r="J25" s="4">
        <f t="shared" si="0"/>
        <v>0</v>
      </c>
      <c r="K25" s="10"/>
      <c r="L25" s="11"/>
      <c r="M25" s="11"/>
      <c r="N25" s="11"/>
      <c r="O25" s="4"/>
      <c r="P25" s="4"/>
      <c r="Q25" s="4"/>
      <c r="R25" s="4"/>
      <c r="S25" s="11"/>
      <c r="T25" s="11"/>
      <c r="U25" s="4"/>
      <c r="V25" s="11"/>
      <c r="W25" s="11"/>
      <c r="X25" s="11"/>
    </row>
    <row r="26" spans="1:33" ht="15.75" customHeight="1">
      <c r="A26" s="4">
        <v>23</v>
      </c>
      <c r="B26" s="31" t="s">
        <v>37</v>
      </c>
      <c r="C26" s="4">
        <f t="shared" si="1"/>
        <v>16</v>
      </c>
      <c r="D26" s="4">
        <f t="shared" si="2"/>
        <v>256</v>
      </c>
      <c r="E26" s="4">
        <v>1</v>
      </c>
      <c r="F26" s="4">
        <v>3</v>
      </c>
      <c r="G26" s="21">
        <v>512</v>
      </c>
      <c r="H26" s="21">
        <f t="shared" si="5"/>
        <v>14</v>
      </c>
      <c r="I26" s="4">
        <f t="shared" si="3"/>
        <v>1</v>
      </c>
      <c r="J26" s="4">
        <f t="shared" si="0"/>
        <v>462422016</v>
      </c>
      <c r="K26" s="1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1"/>
      <c r="X26" s="11"/>
      <c r="AD26" s="20">
        <f>SUM(AD4:AD18)</f>
        <v>119064</v>
      </c>
    </row>
    <row r="27" spans="1:33" ht="15.75" customHeight="1">
      <c r="A27" s="4">
        <v>24</v>
      </c>
      <c r="B27" s="31" t="s">
        <v>37</v>
      </c>
      <c r="C27" s="4">
        <f t="shared" ref="C27:C40" si="7">H26</f>
        <v>14</v>
      </c>
      <c r="D27" s="4">
        <f t="shared" ref="D27:D40" si="8">G26</f>
        <v>512</v>
      </c>
      <c r="E27" s="4">
        <v>1</v>
      </c>
      <c r="F27" s="4">
        <v>1</v>
      </c>
      <c r="G27" s="21">
        <v>256</v>
      </c>
      <c r="H27" s="21">
        <f t="shared" si="5"/>
        <v>14</v>
      </c>
      <c r="I27" s="4">
        <f t="shared" ref="I27:I40" si="9">IF(B26="merge", 1, IF(B26="split", 2, I26))</f>
        <v>1</v>
      </c>
      <c r="J27" s="4">
        <f t="shared" ref="J27:J40" si="10">IF(B27="pad", 0, IF(B27="pool", H27*H27*F27*F27, IF(OR(B27="conv",B27="fc"), I27*2*H27*H27*F27*F27*D27*G27,0)))</f>
        <v>51380224</v>
      </c>
    </row>
    <row r="28" spans="1:33" ht="15.75" customHeight="1">
      <c r="A28" s="4">
        <v>25</v>
      </c>
      <c r="B28" s="11" t="s">
        <v>36</v>
      </c>
      <c r="C28" s="4">
        <f t="shared" si="7"/>
        <v>14</v>
      </c>
      <c r="D28" s="4">
        <f t="shared" si="8"/>
        <v>256</v>
      </c>
      <c r="E28" s="4">
        <v>1</v>
      </c>
      <c r="F28" s="4">
        <v>1</v>
      </c>
      <c r="G28" s="29">
        <v>256</v>
      </c>
      <c r="H28" s="29">
        <f t="shared" si="5"/>
        <v>16</v>
      </c>
      <c r="I28" s="4">
        <f t="shared" si="9"/>
        <v>1</v>
      </c>
      <c r="J28" s="4">
        <f t="shared" si="10"/>
        <v>0</v>
      </c>
    </row>
    <row r="29" spans="1:33" ht="15.75" customHeight="1">
      <c r="A29" s="4">
        <v>26</v>
      </c>
      <c r="B29" s="31" t="s">
        <v>37</v>
      </c>
      <c r="C29" s="4">
        <f t="shared" si="7"/>
        <v>16</v>
      </c>
      <c r="D29" s="4">
        <f t="shared" si="8"/>
        <v>256</v>
      </c>
      <c r="E29" s="4">
        <v>1</v>
      </c>
      <c r="F29" s="4">
        <v>3</v>
      </c>
      <c r="G29" s="21">
        <v>512</v>
      </c>
      <c r="H29" s="21">
        <f t="shared" si="5"/>
        <v>14</v>
      </c>
      <c r="I29" s="4">
        <f t="shared" si="9"/>
        <v>1</v>
      </c>
      <c r="J29" s="4">
        <f t="shared" si="10"/>
        <v>462422016</v>
      </c>
    </row>
    <row r="30" spans="1:33" ht="15.75" customHeight="1">
      <c r="A30" s="4">
        <v>27</v>
      </c>
      <c r="B30" s="22" t="s">
        <v>36</v>
      </c>
      <c r="C30" s="4">
        <f t="shared" si="7"/>
        <v>14</v>
      </c>
      <c r="D30" s="4">
        <f t="shared" si="8"/>
        <v>512</v>
      </c>
      <c r="E30" s="4">
        <v>1</v>
      </c>
      <c r="F30" s="4">
        <v>1</v>
      </c>
      <c r="G30" s="22">
        <v>512</v>
      </c>
      <c r="H30" s="22">
        <f t="shared" si="5"/>
        <v>16</v>
      </c>
      <c r="I30" s="4">
        <f t="shared" si="9"/>
        <v>1</v>
      </c>
      <c r="J30" s="4">
        <f t="shared" si="10"/>
        <v>0</v>
      </c>
    </row>
    <row r="31" spans="1:33" ht="15.75" customHeight="1">
      <c r="A31" s="4">
        <v>28</v>
      </c>
      <c r="B31" s="30" t="s">
        <v>39</v>
      </c>
      <c r="C31" s="4">
        <f t="shared" si="7"/>
        <v>16</v>
      </c>
      <c r="D31" s="4">
        <f t="shared" si="8"/>
        <v>512</v>
      </c>
      <c r="E31" s="4">
        <v>2</v>
      </c>
      <c r="F31" s="4">
        <v>2</v>
      </c>
      <c r="G31" s="21">
        <v>512</v>
      </c>
      <c r="H31" s="21">
        <f t="shared" si="5"/>
        <v>7</v>
      </c>
      <c r="I31" s="4">
        <f t="shared" si="9"/>
        <v>1</v>
      </c>
      <c r="J31" s="4">
        <f t="shared" si="10"/>
        <v>196</v>
      </c>
    </row>
    <row r="32" spans="1:33" ht="15.75" customHeight="1">
      <c r="A32" s="4">
        <v>29</v>
      </c>
      <c r="B32" s="11" t="s">
        <v>36</v>
      </c>
      <c r="C32" s="4">
        <f t="shared" si="7"/>
        <v>7</v>
      </c>
      <c r="D32" s="4">
        <f t="shared" si="8"/>
        <v>512</v>
      </c>
      <c r="E32" s="4">
        <v>1</v>
      </c>
      <c r="F32" s="4">
        <v>1</v>
      </c>
      <c r="G32" s="22">
        <v>512</v>
      </c>
      <c r="H32" s="22">
        <f t="shared" si="5"/>
        <v>9</v>
      </c>
      <c r="I32" s="4">
        <f t="shared" si="9"/>
        <v>1</v>
      </c>
      <c r="J32" s="4">
        <f t="shared" si="10"/>
        <v>0</v>
      </c>
    </row>
    <row r="33" spans="1:10" ht="15.75" customHeight="1">
      <c r="A33" s="4">
        <v>30</v>
      </c>
      <c r="B33" s="31" t="s">
        <v>37</v>
      </c>
      <c r="C33" s="4">
        <f t="shared" si="7"/>
        <v>9</v>
      </c>
      <c r="D33" s="4">
        <f t="shared" si="8"/>
        <v>512</v>
      </c>
      <c r="E33" s="4">
        <v>1</v>
      </c>
      <c r="F33" s="4">
        <v>3</v>
      </c>
      <c r="G33" s="23">
        <v>1024</v>
      </c>
      <c r="H33" s="23">
        <f t="shared" si="5"/>
        <v>7</v>
      </c>
      <c r="I33" s="4">
        <f t="shared" si="9"/>
        <v>1</v>
      </c>
      <c r="J33" s="4">
        <f t="shared" si="10"/>
        <v>462422016</v>
      </c>
    </row>
    <row r="34" spans="1:10" ht="15.75" customHeight="1">
      <c r="A34" s="4">
        <v>31</v>
      </c>
      <c r="B34" s="31" t="s">
        <v>37</v>
      </c>
      <c r="C34" s="4">
        <f t="shared" si="7"/>
        <v>7</v>
      </c>
      <c r="D34" s="4">
        <f t="shared" si="8"/>
        <v>1024</v>
      </c>
      <c r="E34" s="4">
        <v>1</v>
      </c>
      <c r="F34" s="4">
        <v>1</v>
      </c>
      <c r="G34" s="23">
        <v>512</v>
      </c>
      <c r="H34" s="23">
        <f t="shared" si="5"/>
        <v>7</v>
      </c>
      <c r="I34" s="4">
        <f t="shared" si="9"/>
        <v>1</v>
      </c>
      <c r="J34" s="4">
        <f t="shared" si="10"/>
        <v>51380224</v>
      </c>
    </row>
    <row r="35" spans="1:10" ht="15.75" customHeight="1">
      <c r="A35" s="4">
        <v>32</v>
      </c>
      <c r="B35" s="11" t="s">
        <v>36</v>
      </c>
      <c r="C35" s="4">
        <f t="shared" si="7"/>
        <v>7</v>
      </c>
      <c r="D35" s="4">
        <f t="shared" si="8"/>
        <v>512</v>
      </c>
      <c r="E35" s="4">
        <v>1</v>
      </c>
      <c r="F35" s="4">
        <v>1</v>
      </c>
      <c r="G35" s="22">
        <v>512</v>
      </c>
      <c r="H35" s="22">
        <f t="shared" si="5"/>
        <v>9</v>
      </c>
      <c r="I35" s="4">
        <f t="shared" si="9"/>
        <v>1</v>
      </c>
      <c r="J35" s="4">
        <f t="shared" si="10"/>
        <v>0</v>
      </c>
    </row>
    <row r="36" spans="1:10" ht="15.75" customHeight="1">
      <c r="A36" s="4">
        <v>33</v>
      </c>
      <c r="B36" s="31" t="s">
        <v>37</v>
      </c>
      <c r="C36" s="4">
        <f t="shared" si="7"/>
        <v>9</v>
      </c>
      <c r="D36" s="4">
        <f t="shared" si="8"/>
        <v>512</v>
      </c>
      <c r="E36" s="4">
        <v>1</v>
      </c>
      <c r="F36" s="4">
        <v>3</v>
      </c>
      <c r="G36" s="23">
        <v>1024</v>
      </c>
      <c r="H36" s="23">
        <f t="shared" si="5"/>
        <v>7</v>
      </c>
      <c r="I36" s="4">
        <f t="shared" si="9"/>
        <v>1</v>
      </c>
      <c r="J36" s="4">
        <f t="shared" si="10"/>
        <v>462422016</v>
      </c>
    </row>
    <row r="37" spans="1:10" ht="15.75" customHeight="1">
      <c r="A37" s="4">
        <v>34</v>
      </c>
      <c r="B37" s="31" t="s">
        <v>37</v>
      </c>
      <c r="C37" s="4">
        <f t="shared" si="7"/>
        <v>7</v>
      </c>
      <c r="D37" s="4">
        <f t="shared" si="8"/>
        <v>1024</v>
      </c>
      <c r="E37" s="4">
        <v>1</v>
      </c>
      <c r="F37" s="4">
        <v>1</v>
      </c>
      <c r="G37" s="23">
        <v>512</v>
      </c>
      <c r="H37" s="23">
        <f t="shared" si="5"/>
        <v>7</v>
      </c>
      <c r="I37" s="4">
        <f t="shared" si="9"/>
        <v>1</v>
      </c>
      <c r="J37" s="4">
        <f t="shared" si="10"/>
        <v>51380224</v>
      </c>
    </row>
    <row r="38" spans="1:10" ht="15.75" customHeight="1">
      <c r="A38" s="4">
        <v>35</v>
      </c>
      <c r="B38" s="11" t="s">
        <v>36</v>
      </c>
      <c r="C38" s="4">
        <f t="shared" si="7"/>
        <v>7</v>
      </c>
      <c r="D38" s="4">
        <f t="shared" si="8"/>
        <v>512</v>
      </c>
      <c r="E38" s="4">
        <v>1</v>
      </c>
      <c r="F38" s="4">
        <v>1</v>
      </c>
      <c r="G38" s="22">
        <v>512</v>
      </c>
      <c r="H38" s="22">
        <f t="shared" si="5"/>
        <v>9</v>
      </c>
      <c r="I38" s="4">
        <f t="shared" si="9"/>
        <v>1</v>
      </c>
      <c r="J38" s="4">
        <f t="shared" si="10"/>
        <v>0</v>
      </c>
    </row>
    <row r="39" spans="1:10" ht="15.75" customHeight="1">
      <c r="A39" s="4">
        <v>36</v>
      </c>
      <c r="B39" s="31" t="s">
        <v>37</v>
      </c>
      <c r="C39" s="4">
        <f t="shared" si="7"/>
        <v>9</v>
      </c>
      <c r="D39" s="4">
        <f t="shared" si="8"/>
        <v>512</v>
      </c>
      <c r="E39" s="4">
        <v>1</v>
      </c>
      <c r="F39" s="4">
        <v>3</v>
      </c>
      <c r="G39" s="23">
        <v>1024</v>
      </c>
      <c r="H39" s="23">
        <f t="shared" si="5"/>
        <v>7</v>
      </c>
      <c r="I39" s="4">
        <f t="shared" si="9"/>
        <v>1</v>
      </c>
      <c r="J39" s="4">
        <f t="shared" si="10"/>
        <v>462422016</v>
      </c>
    </row>
    <row r="40" spans="1:10" ht="15.75" customHeight="1">
      <c r="A40" s="4">
        <v>37</v>
      </c>
      <c r="B40" s="31" t="s">
        <v>37</v>
      </c>
      <c r="C40" s="4">
        <f t="shared" si="7"/>
        <v>7</v>
      </c>
      <c r="D40" s="4">
        <f t="shared" si="8"/>
        <v>1024</v>
      </c>
      <c r="E40" s="4">
        <v>1</v>
      </c>
      <c r="F40" s="4">
        <v>1</v>
      </c>
      <c r="G40" s="23">
        <v>1000</v>
      </c>
      <c r="H40" s="23">
        <f t="shared" si="5"/>
        <v>7</v>
      </c>
      <c r="I40" s="4">
        <f t="shared" si="9"/>
        <v>1</v>
      </c>
      <c r="J40" s="4">
        <f t="shared" si="10"/>
        <v>100352000</v>
      </c>
    </row>
    <row r="41" spans="1:10" ht="15.75" customHeight="1">
      <c r="A41" s="4"/>
      <c r="B41" s="22"/>
    </row>
    <row r="42" spans="1:10" ht="15.75" customHeight="1">
      <c r="A42" s="4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opLeftCell="A7" workbookViewId="0">
      <selection activeCell="J46" sqref="J46"/>
    </sheetView>
  </sheetViews>
  <sheetFormatPr defaultColWidth="14.42578125" defaultRowHeight="15.75" customHeight="1"/>
  <cols>
    <col min="1" max="1" width="8.7109375" style="20" customWidth="1"/>
    <col min="2" max="2" width="14.42578125" style="20"/>
    <col min="3" max="3" width="6.85546875" style="20" customWidth="1"/>
    <col min="4" max="4" width="11.42578125" style="20" customWidth="1"/>
    <col min="5" max="8" width="14.42578125" style="20"/>
    <col min="9" max="9" width="17.42578125" style="20" customWidth="1"/>
    <col min="10" max="10" width="24.42578125" style="20" customWidth="1"/>
    <col min="11" max="24" width="14.42578125" style="20"/>
    <col min="25" max="25" width="22.140625" style="20" customWidth="1"/>
    <col min="26" max="26" width="16.85546875" style="20" customWidth="1"/>
    <col min="27" max="27" width="16.28515625" style="20" customWidth="1"/>
    <col min="28" max="28" width="14.42578125" style="20" customWidth="1"/>
    <col min="29" max="29" width="19.85546875" style="20" customWidth="1"/>
    <col min="30" max="30" width="20.85546875" style="20" customWidth="1"/>
    <col min="31" max="33" width="16.42578125" style="20" customWidth="1"/>
    <col min="34" max="16384" width="14.42578125" style="20"/>
  </cols>
  <sheetData>
    <row r="1" spans="1:33" ht="15.75" customHeight="1">
      <c r="A1" s="19" t="s">
        <v>0</v>
      </c>
      <c r="B1" s="34" t="s">
        <v>1</v>
      </c>
      <c r="C1" s="35"/>
      <c r="D1" s="35"/>
      <c r="E1" s="35"/>
      <c r="F1" s="35"/>
      <c r="G1" s="19" t="s">
        <v>2</v>
      </c>
      <c r="H1" s="4">
        <v>300</v>
      </c>
      <c r="I1" s="19"/>
      <c r="J1" s="19" t="s">
        <v>3</v>
      </c>
      <c r="K1" s="4">
        <f>MAX(MAX(R4:R20),MAX(W4:W20))</f>
        <v>225792</v>
      </c>
      <c r="L1" s="19" t="s">
        <v>4</v>
      </c>
      <c r="M1" s="4">
        <f>1000000*H1/K1</f>
        <v>1328.656462585034</v>
      </c>
      <c r="N1" s="11"/>
      <c r="O1" s="11"/>
      <c r="P1" s="11"/>
      <c r="Q1" s="11"/>
      <c r="R1" s="19" t="s">
        <v>5</v>
      </c>
      <c r="S1" s="4">
        <f>SUM(J3:J23)/(C3*C3*D3+G23*2)</f>
        <v>21931.25052787162</v>
      </c>
      <c r="T1" s="11"/>
      <c r="U1" s="11"/>
      <c r="V1" s="11"/>
      <c r="W1" s="11"/>
      <c r="X1" s="11"/>
      <c r="Y1" s="6"/>
      <c r="Z1" s="11"/>
      <c r="AA1" s="11"/>
      <c r="AB1" s="11"/>
    </row>
    <row r="2" spans="1:33" ht="15.75" customHeight="1">
      <c r="A2" s="19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19" t="s">
        <v>11</v>
      </c>
      <c r="G2" s="19" t="s">
        <v>12</v>
      </c>
      <c r="H2" s="19" t="s">
        <v>13</v>
      </c>
      <c r="I2" s="19" t="s">
        <v>14</v>
      </c>
      <c r="J2" s="19" t="str">
        <f>"ops, total: " &amp; SUM(J3:J40)/1000000 &amp;"M"</f>
        <v>ops, total: 8388.69122M</v>
      </c>
      <c r="K2" s="19" t="s">
        <v>15</v>
      </c>
      <c r="L2" s="19" t="s">
        <v>16</v>
      </c>
      <c r="M2" s="19" t="s">
        <v>17</v>
      </c>
      <c r="N2" s="19" t="s">
        <v>18</v>
      </c>
      <c r="O2" s="19" t="s">
        <v>19</v>
      </c>
      <c r="P2" s="19" t="s">
        <v>20</v>
      </c>
      <c r="Q2" s="19" t="s">
        <v>21</v>
      </c>
      <c r="R2" s="19" t="s">
        <v>22</v>
      </c>
      <c r="S2" s="19" t="s">
        <v>23</v>
      </c>
      <c r="T2" s="19" t="s">
        <v>24</v>
      </c>
      <c r="U2" s="19" t="s">
        <v>25</v>
      </c>
      <c r="V2" s="19" t="s">
        <v>26</v>
      </c>
      <c r="W2" s="19" t="s">
        <v>27</v>
      </c>
      <c r="X2" s="19" t="s">
        <v>28</v>
      </c>
      <c r="Y2" s="19" t="s">
        <v>29</v>
      </c>
      <c r="Z2" s="19" t="s">
        <v>30</v>
      </c>
      <c r="AA2" s="19" t="s">
        <v>31</v>
      </c>
      <c r="AB2" s="19" t="s">
        <v>32</v>
      </c>
      <c r="AC2" s="7" t="s">
        <v>42</v>
      </c>
      <c r="AD2" s="7" t="s">
        <v>43</v>
      </c>
      <c r="AE2" s="7" t="s">
        <v>33</v>
      </c>
      <c r="AF2" s="7" t="s">
        <v>34</v>
      </c>
      <c r="AG2" s="7" t="s">
        <v>35</v>
      </c>
    </row>
    <row r="3" spans="1:33" ht="15.75" customHeight="1">
      <c r="A3" s="4">
        <v>0</v>
      </c>
      <c r="B3" s="11" t="s">
        <v>36</v>
      </c>
      <c r="C3" s="4">
        <v>224</v>
      </c>
      <c r="D3" s="4">
        <v>3</v>
      </c>
      <c r="E3" s="4">
        <v>1</v>
      </c>
      <c r="F3" s="4">
        <v>1</v>
      </c>
      <c r="G3" s="4">
        <v>3</v>
      </c>
      <c r="H3" s="4">
        <f>IF(B3="pad", C3+2*F3, IF(B3="pool", C3/F3, IF(OR(B3="conv",B3="fc"), C3-F3+1,C3)))</f>
        <v>226</v>
      </c>
      <c r="I3" s="4">
        <v>1</v>
      </c>
      <c r="J3" s="4">
        <f t="shared" ref="J3:J40" si="0">IF(B3="pad", 0, IF(B3="pool", H3*H3*F3*F3, IF(OR(B3="conv",B3="fc"), I3*2*H3*H3*F3*F3*D3*G3,0)))</f>
        <v>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4">
        <v>1</v>
      </c>
      <c r="V3" s="11"/>
      <c r="W3" s="11"/>
      <c r="X3" s="11"/>
      <c r="Y3" s="11"/>
      <c r="Z3" s="11"/>
      <c r="AA3" s="11"/>
      <c r="AB3" s="11"/>
    </row>
    <row r="4" spans="1:33" ht="15.75" customHeight="1">
      <c r="A4" s="4">
        <v>1</v>
      </c>
      <c r="B4" s="31" t="s">
        <v>37</v>
      </c>
      <c r="C4" s="4">
        <f t="shared" ref="C4:C39" si="1">H3</f>
        <v>226</v>
      </c>
      <c r="D4" s="4">
        <f t="shared" ref="D4:D40" si="2">G3</f>
        <v>3</v>
      </c>
      <c r="E4" s="4">
        <v>1</v>
      </c>
      <c r="F4" s="4">
        <v>3</v>
      </c>
      <c r="G4" s="21">
        <v>32</v>
      </c>
      <c r="H4" s="21">
        <f>IF(B4="pad", C4+2*F4, IF(B4="pool", C4/F4, IF(OR(B4="conv",B4="fc"), (C4-F4+1)/E4,C4)))</f>
        <v>224</v>
      </c>
      <c r="I4" s="4">
        <f t="shared" ref="I4:I40" si="3">IF(B3="merge", 1, IF(B3="split", 2, I3))</f>
        <v>1</v>
      </c>
      <c r="J4" s="4">
        <f t="shared" si="0"/>
        <v>86704128</v>
      </c>
      <c r="K4" s="10">
        <f>J4/SUM(J$4:J$23)*100</f>
        <v>2.6086433483628166</v>
      </c>
      <c r="L4" s="4">
        <v>3</v>
      </c>
      <c r="M4" s="4">
        <v>48</v>
      </c>
      <c r="N4" s="4">
        <v>9</v>
      </c>
      <c r="O4" s="4">
        <f>G4/M4</f>
        <v>0.66666666666666663</v>
      </c>
      <c r="P4" s="4">
        <f>F4*F4*D4*G4/(L4*M4)</f>
        <v>6</v>
      </c>
      <c r="Q4" s="4">
        <f>2*L4*M4*N4</f>
        <v>2592</v>
      </c>
      <c r="R4" s="4">
        <f>J4/(Q4*I4)</f>
        <v>33450.666666666664</v>
      </c>
      <c r="S4" s="4">
        <f>F4*F4*D4</f>
        <v>27</v>
      </c>
      <c r="T4" s="4">
        <f>G4</f>
        <v>32</v>
      </c>
      <c r="U4" s="4">
        <f>S4/L4</f>
        <v>9</v>
      </c>
      <c r="V4" s="4">
        <f>T4/M4</f>
        <v>0.66666666666666663</v>
      </c>
      <c r="W4" s="4">
        <f>C4*24+(F4*F4*H4*H4)/N4</f>
        <v>55600</v>
      </c>
      <c r="X4" s="4">
        <f>F4*F4*H4*H4/N4</f>
        <v>50176</v>
      </c>
      <c r="Y4" s="4">
        <f>D4*F4*F4*G4</f>
        <v>864</v>
      </c>
      <c r="Z4" s="4">
        <f>S4*T4</f>
        <v>864</v>
      </c>
      <c r="AA4" s="4">
        <v>8</v>
      </c>
      <c r="AB4" s="4">
        <v>4</v>
      </c>
      <c r="AC4" s="12">
        <v>25.5</v>
      </c>
      <c r="AD4" s="20">
        <f>AC4*L4*M4*N4</f>
        <v>33048</v>
      </c>
      <c r="AE4" s="20">
        <f>1000000*$H$1/R4</f>
        <v>8968.4311224489811</v>
      </c>
      <c r="AF4" s="20">
        <f>CEILING(Z4*AB4/18000,1) *M4</f>
        <v>48</v>
      </c>
    </row>
    <row r="5" spans="1:33" ht="15.75" customHeight="1">
      <c r="A5" s="4">
        <v>2</v>
      </c>
      <c r="B5" s="30" t="s">
        <v>39</v>
      </c>
      <c r="C5" s="4">
        <f t="shared" si="1"/>
        <v>224</v>
      </c>
      <c r="D5" s="4">
        <f t="shared" si="2"/>
        <v>32</v>
      </c>
      <c r="E5" s="4">
        <v>2</v>
      </c>
      <c r="F5" s="4">
        <v>2</v>
      </c>
      <c r="G5" s="21">
        <v>16</v>
      </c>
      <c r="H5" s="21">
        <f>IF(B5="pad", C5+2*F5, IF(B5="pool", C5/F5, IF(OR(B5="conv",B5="fc"), (C5-F5+1)/E5,C5)))</f>
        <v>112</v>
      </c>
      <c r="I5" s="4">
        <f t="shared" si="3"/>
        <v>1</v>
      </c>
      <c r="J5" s="4">
        <f t="shared" si="0"/>
        <v>50176</v>
      </c>
      <c r="K5" s="10"/>
      <c r="L5" s="11"/>
      <c r="M5" s="11"/>
      <c r="N5" s="11"/>
      <c r="O5" s="4"/>
      <c r="P5" s="4"/>
      <c r="Q5" s="4"/>
      <c r="R5" s="4"/>
      <c r="S5" s="11"/>
      <c r="T5" s="11"/>
      <c r="U5" s="4"/>
      <c r="V5" s="11"/>
      <c r="W5" s="4"/>
      <c r="X5" s="11"/>
      <c r="Y5" s="11"/>
      <c r="Z5" s="11"/>
      <c r="AA5" s="11"/>
      <c r="AB5" s="11"/>
    </row>
    <row r="6" spans="1:33" ht="15.75" customHeight="1">
      <c r="A6" s="4">
        <v>3</v>
      </c>
      <c r="B6" s="11" t="s">
        <v>36</v>
      </c>
      <c r="C6" s="4">
        <f t="shared" si="1"/>
        <v>112</v>
      </c>
      <c r="D6" s="4">
        <f t="shared" si="2"/>
        <v>16</v>
      </c>
      <c r="E6" s="4">
        <v>1</v>
      </c>
      <c r="F6" s="4">
        <v>1</v>
      </c>
      <c r="G6" s="28">
        <v>16</v>
      </c>
      <c r="H6" s="28">
        <f>IF(B6="pad", C6+2*F6, IF(B6="pool", C6/F6, IF(OR(B6="conv",B6="fc"), (C6-F6+1)/E6,C6)))</f>
        <v>114</v>
      </c>
      <c r="I6" s="4">
        <f t="shared" si="3"/>
        <v>1</v>
      </c>
      <c r="J6" s="4">
        <f t="shared" si="0"/>
        <v>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3" ht="15.75" customHeight="1">
      <c r="A7" s="4">
        <v>4</v>
      </c>
      <c r="B7" s="31" t="s">
        <v>37</v>
      </c>
      <c r="C7" s="4">
        <f t="shared" si="1"/>
        <v>114</v>
      </c>
      <c r="D7" s="4">
        <f t="shared" si="2"/>
        <v>16</v>
      </c>
      <c r="E7" s="4">
        <v>1</v>
      </c>
      <c r="F7" s="4">
        <v>3</v>
      </c>
      <c r="G7" s="21">
        <v>64</v>
      </c>
      <c r="H7" s="21">
        <f>IF(B7="pad", C7+2*F7, IF(B7="pool", C7/F7, IF(OR(B7="conv",B7="fc"), (C7-F7+1)/E7,C7)))</f>
        <v>112</v>
      </c>
      <c r="I7" s="4">
        <f t="shared" si="3"/>
        <v>1</v>
      </c>
      <c r="J7" s="4">
        <f t="shared" si="0"/>
        <v>231211008</v>
      </c>
      <c r="K7" s="10">
        <f>J7/SUM(J$4:J$23)*100</f>
        <v>6.9563822623008438</v>
      </c>
      <c r="L7" s="4">
        <v>48</v>
      </c>
      <c r="M7" s="4">
        <v>32</v>
      </c>
      <c r="N7" s="4">
        <v>3</v>
      </c>
      <c r="O7" s="4">
        <f>G7/M7</f>
        <v>2</v>
      </c>
      <c r="P7" s="4">
        <f>F7*F7*D7*G7/(L7*M7)</f>
        <v>6</v>
      </c>
      <c r="Q7" s="4">
        <f>2*L7*M7*N7</f>
        <v>9216</v>
      </c>
      <c r="R7" s="4">
        <f>J7/(Q7*I7)</f>
        <v>25088</v>
      </c>
      <c r="S7" s="4">
        <f>F7*F7*D7</f>
        <v>144</v>
      </c>
      <c r="T7" s="4">
        <f>G7</f>
        <v>64</v>
      </c>
      <c r="U7" s="4">
        <f>S7/L7</f>
        <v>3</v>
      </c>
      <c r="V7" s="4">
        <f>T7/M7</f>
        <v>2</v>
      </c>
      <c r="W7" s="4">
        <f>C7*C7+(F7*F7*H7*H7)/N7</f>
        <v>50628</v>
      </c>
      <c r="X7" s="4">
        <f>F7*F7*H7*H7</f>
        <v>112896</v>
      </c>
      <c r="Y7" s="4">
        <f>D7*F7*F7*G7</f>
        <v>9216</v>
      </c>
      <c r="Z7" s="4">
        <f>S7*T7*I7</f>
        <v>9216</v>
      </c>
      <c r="AA7" s="4">
        <v>2</v>
      </c>
      <c r="AB7" s="4">
        <v>1</v>
      </c>
      <c r="AC7" s="12">
        <v>6</v>
      </c>
      <c r="AD7" s="20">
        <f>AC7*L7*M7*N7</f>
        <v>27648</v>
      </c>
      <c r="AE7" s="20">
        <f>1000000*$H$1/MAX(R7,W7)</f>
        <v>5925.5747807537327</v>
      </c>
      <c r="AF7" s="20">
        <f>CEILING(Z7*AB7/18000,1) *M7</f>
        <v>32</v>
      </c>
    </row>
    <row r="8" spans="1:33" ht="15.75" customHeight="1">
      <c r="A8" s="4">
        <v>5</v>
      </c>
      <c r="B8" s="30" t="s">
        <v>39</v>
      </c>
      <c r="C8" s="4">
        <f t="shared" si="1"/>
        <v>112</v>
      </c>
      <c r="D8" s="4">
        <f t="shared" si="2"/>
        <v>64</v>
      </c>
      <c r="E8" s="4">
        <v>2</v>
      </c>
      <c r="F8" s="4">
        <v>2</v>
      </c>
      <c r="G8" s="21">
        <v>64</v>
      </c>
      <c r="H8" s="21">
        <f t="shared" ref="H8:H20" si="4">IF(B8="pad", C8+2*F8, IF(B8="pool", C8/E8, IF(OR(B8="conv",B8="fc"), (C8-F8+1)/E8,C8)))</f>
        <v>56</v>
      </c>
      <c r="I8" s="4">
        <f t="shared" si="3"/>
        <v>1</v>
      </c>
      <c r="J8" s="4">
        <f t="shared" si="0"/>
        <v>12544</v>
      </c>
      <c r="K8" s="10"/>
      <c r="L8" s="11"/>
      <c r="M8" s="11"/>
      <c r="N8" s="11"/>
      <c r="O8" s="4"/>
      <c r="P8" s="4"/>
      <c r="Q8" s="4"/>
      <c r="R8" s="4"/>
      <c r="S8" s="11"/>
      <c r="T8" s="11"/>
      <c r="U8" s="4"/>
      <c r="V8" s="11"/>
      <c r="W8" s="4"/>
      <c r="X8" s="11"/>
      <c r="Y8" s="11"/>
      <c r="Z8" s="4"/>
      <c r="AA8" s="11"/>
      <c r="AB8" s="11"/>
    </row>
    <row r="9" spans="1:33" ht="15.75" customHeight="1">
      <c r="A9" s="4">
        <v>6</v>
      </c>
      <c r="B9" s="11" t="s">
        <v>36</v>
      </c>
      <c r="C9" s="4">
        <f t="shared" si="1"/>
        <v>56</v>
      </c>
      <c r="D9" s="4">
        <f t="shared" si="2"/>
        <v>64</v>
      </c>
      <c r="E9" s="4">
        <v>1</v>
      </c>
      <c r="F9" s="4">
        <v>1</v>
      </c>
      <c r="G9" s="28">
        <v>32</v>
      </c>
      <c r="H9" s="28">
        <f t="shared" si="4"/>
        <v>58</v>
      </c>
      <c r="I9" s="4">
        <f t="shared" si="3"/>
        <v>1</v>
      </c>
      <c r="J9" s="4">
        <f t="shared" si="0"/>
        <v>0</v>
      </c>
      <c r="K9" s="10"/>
      <c r="L9" s="11"/>
      <c r="M9" s="11"/>
      <c r="N9" s="11"/>
      <c r="O9" s="4"/>
      <c r="P9" s="4"/>
      <c r="Q9" s="4"/>
      <c r="R9" s="4"/>
      <c r="S9" s="11"/>
      <c r="T9" s="11"/>
      <c r="U9" s="4"/>
      <c r="V9" s="11"/>
      <c r="W9" s="4"/>
      <c r="X9" s="11"/>
      <c r="Y9" s="11"/>
      <c r="Z9" s="4"/>
      <c r="AA9" s="11"/>
      <c r="AB9" s="11"/>
    </row>
    <row r="10" spans="1:33" ht="15.75" customHeight="1">
      <c r="A10" s="4">
        <v>7</v>
      </c>
      <c r="B10" s="31" t="s">
        <v>37</v>
      </c>
      <c r="C10" s="4">
        <f t="shared" si="1"/>
        <v>58</v>
      </c>
      <c r="D10" s="4">
        <f t="shared" si="2"/>
        <v>32</v>
      </c>
      <c r="E10" s="4">
        <v>1</v>
      </c>
      <c r="F10" s="4">
        <v>3</v>
      </c>
      <c r="G10" s="21">
        <v>128</v>
      </c>
      <c r="H10" s="21">
        <f t="shared" si="4"/>
        <v>56</v>
      </c>
      <c r="I10" s="4">
        <f t="shared" si="3"/>
        <v>1</v>
      </c>
      <c r="J10" s="4">
        <f t="shared" si="0"/>
        <v>231211008</v>
      </c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33" ht="15.75" customHeight="1">
      <c r="A11" s="4">
        <v>8</v>
      </c>
      <c r="B11" s="31" t="s">
        <v>37</v>
      </c>
      <c r="C11" s="4">
        <v>58</v>
      </c>
      <c r="D11" s="4">
        <f t="shared" si="2"/>
        <v>128</v>
      </c>
      <c r="E11" s="4">
        <v>1</v>
      </c>
      <c r="F11" s="4">
        <v>3</v>
      </c>
      <c r="G11" s="21">
        <v>64</v>
      </c>
      <c r="H11" s="21">
        <f t="shared" si="4"/>
        <v>56</v>
      </c>
      <c r="I11" s="4">
        <f t="shared" si="3"/>
        <v>1</v>
      </c>
      <c r="J11" s="4">
        <f t="shared" si="0"/>
        <v>462422016</v>
      </c>
      <c r="K11" s="10">
        <f>J11/SUM(J$4:J$23)*100</f>
        <v>13.912764524601688</v>
      </c>
      <c r="L11" s="4">
        <v>64</v>
      </c>
      <c r="M11" s="4">
        <v>128</v>
      </c>
      <c r="N11" s="4">
        <v>1</v>
      </c>
      <c r="O11" s="4">
        <f>G11/M11</f>
        <v>0.5</v>
      </c>
      <c r="P11" s="4">
        <f>F11*F11*D11*G11/(L11*M11)</f>
        <v>9</v>
      </c>
      <c r="Q11" s="4">
        <f>2*L11*M11*N11</f>
        <v>16384</v>
      </c>
      <c r="R11" s="4">
        <f>J11/(Q11*I11)</f>
        <v>28224</v>
      </c>
      <c r="S11" s="4">
        <f>F11*F11*D11</f>
        <v>1152</v>
      </c>
      <c r="T11" s="4">
        <f>G11</f>
        <v>64</v>
      </c>
      <c r="U11" s="4">
        <f>S11/L11</f>
        <v>18</v>
      </c>
      <c r="V11" s="4">
        <f>T11/M11</f>
        <v>0.5</v>
      </c>
      <c r="W11" s="4">
        <f>C11*C11+(F11*F11*H11*H11)/N11</f>
        <v>31588</v>
      </c>
      <c r="X11" s="4">
        <f>F11*F11*H11*H11</f>
        <v>28224</v>
      </c>
      <c r="Y11" s="4">
        <f>D11*F11*F11*G11</f>
        <v>73728</v>
      </c>
      <c r="Z11" s="4">
        <f>S11*T11*I11</f>
        <v>73728</v>
      </c>
      <c r="AA11" s="4">
        <v>2</v>
      </c>
      <c r="AB11" s="4">
        <v>1</v>
      </c>
      <c r="AC11" s="12">
        <v>6</v>
      </c>
      <c r="AD11" s="20">
        <f>AC11*L11*M11*N11</f>
        <v>49152</v>
      </c>
      <c r="AE11" s="20">
        <f>1000000*$H$1/MAX(R11,W11)</f>
        <v>9497.2774471318226</v>
      </c>
      <c r="AF11" s="20">
        <f>CEILING(Z11*AB11/18000,1) *M11</f>
        <v>640</v>
      </c>
    </row>
    <row r="12" spans="1:33" ht="15.75" customHeight="1">
      <c r="A12" s="4">
        <v>9</v>
      </c>
      <c r="B12" s="11" t="s">
        <v>36</v>
      </c>
      <c r="C12" s="4">
        <f t="shared" si="1"/>
        <v>56</v>
      </c>
      <c r="D12" s="4">
        <f t="shared" si="2"/>
        <v>64</v>
      </c>
      <c r="E12" s="4">
        <v>1</v>
      </c>
      <c r="F12" s="4">
        <v>1</v>
      </c>
      <c r="G12" s="28">
        <v>64</v>
      </c>
      <c r="H12" s="28">
        <f t="shared" si="4"/>
        <v>58</v>
      </c>
      <c r="I12" s="4">
        <f t="shared" si="3"/>
        <v>1</v>
      </c>
      <c r="J12" s="4">
        <f t="shared" si="0"/>
        <v>0</v>
      </c>
      <c r="K12" s="10"/>
      <c r="L12" s="11"/>
      <c r="M12" s="11"/>
      <c r="N12" s="11"/>
      <c r="O12" s="4"/>
      <c r="P12" s="4"/>
      <c r="Q12" s="4"/>
      <c r="R12" s="4"/>
      <c r="S12" s="11"/>
      <c r="T12" s="11"/>
      <c r="U12" s="4"/>
      <c r="V12" s="11"/>
      <c r="W12" s="4"/>
      <c r="X12" s="11"/>
      <c r="Y12" s="11"/>
      <c r="Z12" s="4"/>
      <c r="AA12" s="11"/>
      <c r="AB12" s="11"/>
    </row>
    <row r="13" spans="1:33" ht="15.75" customHeight="1">
      <c r="A13" s="4">
        <v>10</v>
      </c>
      <c r="B13" s="31" t="s">
        <v>37</v>
      </c>
      <c r="C13" s="4">
        <f t="shared" si="1"/>
        <v>58</v>
      </c>
      <c r="D13" s="4">
        <f t="shared" si="2"/>
        <v>64</v>
      </c>
      <c r="E13" s="4">
        <v>1</v>
      </c>
      <c r="F13" s="4">
        <v>3</v>
      </c>
      <c r="G13" s="21">
        <v>128</v>
      </c>
      <c r="H13" s="21">
        <f t="shared" si="4"/>
        <v>56</v>
      </c>
      <c r="I13" s="4">
        <f t="shared" si="3"/>
        <v>1</v>
      </c>
      <c r="J13" s="4">
        <f t="shared" si="0"/>
        <v>462422016</v>
      </c>
      <c r="K13" s="10"/>
      <c r="L13" s="11"/>
      <c r="M13" s="11"/>
      <c r="N13" s="11"/>
      <c r="O13" s="4"/>
      <c r="P13" s="4"/>
      <c r="Q13" s="4"/>
      <c r="R13" s="4"/>
      <c r="S13" s="11"/>
      <c r="T13" s="11"/>
      <c r="U13" s="4"/>
      <c r="V13" s="11"/>
      <c r="W13" s="4"/>
      <c r="X13" s="11"/>
      <c r="Y13" s="11"/>
      <c r="Z13" s="4"/>
      <c r="AA13" s="11"/>
      <c r="AB13" s="11"/>
    </row>
    <row r="14" spans="1:33" ht="15.75" customHeight="1">
      <c r="A14" s="4">
        <v>11</v>
      </c>
      <c r="B14" s="30" t="s">
        <v>39</v>
      </c>
      <c r="C14" s="4">
        <f t="shared" si="1"/>
        <v>56</v>
      </c>
      <c r="D14" s="4">
        <f t="shared" si="2"/>
        <v>128</v>
      </c>
      <c r="E14" s="4">
        <v>2</v>
      </c>
      <c r="F14" s="4">
        <v>2</v>
      </c>
      <c r="G14" s="21">
        <v>128</v>
      </c>
      <c r="H14" s="21">
        <f t="shared" si="4"/>
        <v>28</v>
      </c>
      <c r="I14" s="4">
        <f t="shared" si="3"/>
        <v>1</v>
      </c>
      <c r="J14" s="4">
        <f t="shared" si="0"/>
        <v>3136</v>
      </c>
      <c r="K14" s="10"/>
      <c r="L14" s="11"/>
      <c r="M14" s="11"/>
      <c r="N14" s="11"/>
      <c r="O14" s="4"/>
      <c r="P14" s="4"/>
      <c r="Q14" s="4"/>
      <c r="R14" s="4"/>
      <c r="S14" s="11"/>
      <c r="T14" s="11"/>
      <c r="U14" s="4"/>
      <c r="V14" s="11"/>
      <c r="W14" s="4"/>
      <c r="X14" s="11"/>
      <c r="Y14" s="11"/>
      <c r="Z14" s="4"/>
      <c r="AA14" s="11"/>
      <c r="AB14" s="11"/>
    </row>
    <row r="15" spans="1:33" ht="15.75" customHeight="1">
      <c r="A15" s="4">
        <v>12</v>
      </c>
      <c r="B15" s="11" t="s">
        <v>36</v>
      </c>
      <c r="C15" s="4">
        <f>H14</f>
        <v>28</v>
      </c>
      <c r="D15" s="4">
        <f t="shared" si="2"/>
        <v>128</v>
      </c>
      <c r="E15" s="4">
        <v>1</v>
      </c>
      <c r="F15" s="4">
        <v>1</v>
      </c>
      <c r="G15" s="28">
        <v>128</v>
      </c>
      <c r="H15" s="28">
        <f t="shared" si="4"/>
        <v>30</v>
      </c>
      <c r="I15" s="4">
        <f t="shared" si="3"/>
        <v>1</v>
      </c>
      <c r="J15" s="4">
        <f t="shared" si="0"/>
        <v>0</v>
      </c>
      <c r="K15" s="10"/>
      <c r="L15" s="11"/>
      <c r="M15" s="11"/>
      <c r="N15" s="11"/>
      <c r="O15" s="4"/>
      <c r="P15" s="4"/>
      <c r="Q15" s="4"/>
      <c r="R15" s="4"/>
      <c r="S15" s="11"/>
      <c r="T15" s="11"/>
      <c r="U15" s="4"/>
      <c r="V15" s="11"/>
      <c r="W15" s="4"/>
      <c r="X15" s="11"/>
      <c r="Y15" s="11"/>
      <c r="Z15" s="4"/>
      <c r="AA15" s="11"/>
      <c r="AB15" s="11"/>
    </row>
    <row r="16" spans="1:33" ht="15.75" customHeight="1">
      <c r="A16" s="4">
        <v>13</v>
      </c>
      <c r="B16" s="31" t="s">
        <v>37</v>
      </c>
      <c r="C16" s="4">
        <f t="shared" si="1"/>
        <v>30</v>
      </c>
      <c r="D16" s="4">
        <f t="shared" si="2"/>
        <v>128</v>
      </c>
      <c r="E16" s="4">
        <v>1</v>
      </c>
      <c r="F16" s="4">
        <v>3</v>
      </c>
      <c r="G16" s="21">
        <v>256</v>
      </c>
      <c r="H16" s="21">
        <f t="shared" si="4"/>
        <v>28</v>
      </c>
      <c r="I16" s="4">
        <f t="shared" si="3"/>
        <v>1</v>
      </c>
      <c r="J16" s="4">
        <f t="shared" si="0"/>
        <v>462422016</v>
      </c>
      <c r="K16" s="10">
        <f>J16/SUM(J$4:J$23)*100</f>
        <v>13.912764524601688</v>
      </c>
      <c r="L16" s="4">
        <v>32</v>
      </c>
      <c r="M16" s="4">
        <v>16</v>
      </c>
      <c r="N16" s="4">
        <v>2</v>
      </c>
      <c r="O16" s="4">
        <f>G16/M16</f>
        <v>16</v>
      </c>
      <c r="P16" s="4">
        <f>F16*F16*D16*G16/(L16*M16)</f>
        <v>576</v>
      </c>
      <c r="Q16" s="4">
        <f>2*L16*M16*N16</f>
        <v>2048</v>
      </c>
      <c r="R16" s="4">
        <f>J16/(Q16*I16)</f>
        <v>225792</v>
      </c>
      <c r="S16" s="4">
        <f>F16*F16*D16</f>
        <v>1152</v>
      </c>
      <c r="T16" s="4">
        <f>G16</f>
        <v>256</v>
      </c>
      <c r="U16" s="4">
        <f>S16/L16</f>
        <v>36</v>
      </c>
      <c r="V16" s="4">
        <f>T16/M16</f>
        <v>16</v>
      </c>
      <c r="W16" s="4">
        <f>C16*C16+(F16*F16*H16*H16)/N16</f>
        <v>4428</v>
      </c>
      <c r="X16" s="4">
        <f>F16*F16*H16*H16</f>
        <v>7056</v>
      </c>
      <c r="Y16" s="4">
        <f>D16*F16*F16*G16</f>
        <v>294912</v>
      </c>
      <c r="Z16" s="4">
        <f>S16*T16*I16</f>
        <v>294912</v>
      </c>
      <c r="AA16" s="4">
        <v>2</v>
      </c>
      <c r="AB16" s="4">
        <v>1</v>
      </c>
      <c r="AC16" s="12">
        <v>6</v>
      </c>
      <c r="AD16" s="20">
        <f>AC16*L16*M16*N16</f>
        <v>6144</v>
      </c>
      <c r="AE16" s="20">
        <f>1000000*$H$1/MAX(R16,W16)</f>
        <v>1328.656462585034</v>
      </c>
      <c r="AF16" s="20">
        <f>CEILING(Z16*AB16/18000,1) *M16</f>
        <v>272</v>
      </c>
    </row>
    <row r="17" spans="1:33" ht="15.75" customHeight="1">
      <c r="A17" s="4">
        <v>14</v>
      </c>
      <c r="B17" s="31" t="s">
        <v>37</v>
      </c>
      <c r="C17" s="4">
        <v>30</v>
      </c>
      <c r="D17" s="4">
        <f t="shared" si="2"/>
        <v>256</v>
      </c>
      <c r="E17" s="4">
        <v>1</v>
      </c>
      <c r="F17" s="4">
        <v>3</v>
      </c>
      <c r="G17" s="21">
        <v>128</v>
      </c>
      <c r="H17" s="21">
        <f t="shared" si="4"/>
        <v>28</v>
      </c>
      <c r="I17" s="4">
        <f t="shared" si="3"/>
        <v>1</v>
      </c>
      <c r="J17" s="4">
        <f t="shared" si="0"/>
        <v>462422016</v>
      </c>
      <c r="K17" s="10"/>
      <c r="L17" s="11"/>
      <c r="M17" s="11"/>
      <c r="N17" s="11"/>
      <c r="O17" s="4"/>
      <c r="P17" s="4"/>
      <c r="Q17" s="4"/>
      <c r="R17" s="4"/>
      <c r="S17" s="11"/>
      <c r="T17" s="11"/>
      <c r="U17" s="4"/>
      <c r="V17" s="11"/>
      <c r="W17" s="4"/>
      <c r="X17" s="11"/>
      <c r="Y17" s="11"/>
      <c r="Z17" s="4"/>
      <c r="AA17" s="11"/>
      <c r="AB17" s="11"/>
    </row>
    <row r="18" spans="1:33" ht="15.75" customHeight="1">
      <c r="A18" s="4">
        <v>15</v>
      </c>
      <c r="B18" s="11" t="s">
        <v>36</v>
      </c>
      <c r="C18" s="4">
        <f t="shared" si="1"/>
        <v>28</v>
      </c>
      <c r="D18" s="4">
        <f t="shared" si="2"/>
        <v>128</v>
      </c>
      <c r="E18" s="4">
        <v>1</v>
      </c>
      <c r="F18" s="4">
        <v>1</v>
      </c>
      <c r="G18" s="28">
        <v>128</v>
      </c>
      <c r="H18" s="28">
        <f t="shared" si="4"/>
        <v>30</v>
      </c>
      <c r="I18" s="4">
        <f t="shared" si="3"/>
        <v>1</v>
      </c>
      <c r="J18" s="4">
        <f t="shared" si="0"/>
        <v>0</v>
      </c>
      <c r="K18" s="10">
        <f>J18/SUM(J$4:J$23)*100</f>
        <v>0</v>
      </c>
      <c r="L18" s="4">
        <v>32</v>
      </c>
      <c r="M18" s="4">
        <v>8</v>
      </c>
      <c r="N18" s="4">
        <v>2</v>
      </c>
      <c r="O18" s="4">
        <f>G18/M18</f>
        <v>16</v>
      </c>
      <c r="P18" s="4">
        <f>F18*F18*D18*G18/(L18*M18)</f>
        <v>64</v>
      </c>
      <c r="Q18" s="4">
        <f>2*L18*M18*N18</f>
        <v>1024</v>
      </c>
      <c r="R18" s="4">
        <f>J18/(Q18*I18)</f>
        <v>0</v>
      </c>
      <c r="S18" s="4">
        <f>F18*F18*D18</f>
        <v>128</v>
      </c>
      <c r="T18" s="4">
        <f>G18</f>
        <v>128</v>
      </c>
      <c r="U18" s="4">
        <f>S18/L18</f>
        <v>4</v>
      </c>
      <c r="V18" s="4">
        <f>T18/M18</f>
        <v>16</v>
      </c>
      <c r="W18" s="4">
        <f>C18*C18+(F18*F18*H18*H18)/N18</f>
        <v>1234</v>
      </c>
      <c r="X18" s="4">
        <f>F18*F18*H18*H18</f>
        <v>900</v>
      </c>
      <c r="Y18" s="4">
        <f>D18*F18*F18*G18</f>
        <v>16384</v>
      </c>
      <c r="Z18" s="4">
        <f>S18*T18*I18</f>
        <v>16384</v>
      </c>
      <c r="AA18" s="4">
        <v>2</v>
      </c>
      <c r="AB18" s="4">
        <v>1</v>
      </c>
      <c r="AC18" s="12">
        <v>6</v>
      </c>
      <c r="AD18" s="20">
        <f>AC18*L18*M18*N18</f>
        <v>3072</v>
      </c>
      <c r="AE18" s="20">
        <f>1000000*$H$1/MAX(R18,W18)</f>
        <v>243111.83144246353</v>
      </c>
      <c r="AF18" s="20">
        <f>CEILING(Z18*AB18/18000,1) *M18</f>
        <v>8</v>
      </c>
    </row>
    <row r="19" spans="1:33" ht="15.75" customHeight="1">
      <c r="A19" s="4">
        <v>16</v>
      </c>
      <c r="B19" s="31" t="s">
        <v>37</v>
      </c>
      <c r="C19" s="4">
        <f t="shared" si="1"/>
        <v>30</v>
      </c>
      <c r="D19" s="4">
        <f t="shared" si="2"/>
        <v>128</v>
      </c>
      <c r="E19" s="4">
        <v>1</v>
      </c>
      <c r="F19" s="4">
        <v>3</v>
      </c>
      <c r="G19" s="21">
        <v>256</v>
      </c>
      <c r="H19" s="21">
        <f t="shared" si="4"/>
        <v>28</v>
      </c>
      <c r="I19" s="4">
        <f t="shared" si="3"/>
        <v>1</v>
      </c>
      <c r="J19" s="4">
        <f t="shared" si="0"/>
        <v>462422016</v>
      </c>
      <c r="K19" s="10"/>
      <c r="L19" s="11"/>
      <c r="M19" s="11"/>
      <c r="N19" s="11"/>
      <c r="O19" s="4"/>
      <c r="P19" s="4"/>
      <c r="Q19" s="4"/>
      <c r="R19" s="4"/>
      <c r="S19" s="11"/>
      <c r="T19" s="11"/>
      <c r="U19" s="4"/>
      <c r="V19" s="11"/>
      <c r="W19" s="11"/>
      <c r="X19" s="11"/>
      <c r="Y19" s="11"/>
      <c r="Z19" s="11"/>
      <c r="AA19" s="11"/>
      <c r="AB19" s="11"/>
    </row>
    <row r="20" spans="1:33" ht="15.75" customHeight="1">
      <c r="A20" s="4">
        <v>17</v>
      </c>
      <c r="B20" s="11" t="s">
        <v>36</v>
      </c>
      <c r="C20" s="4">
        <f t="shared" si="1"/>
        <v>28</v>
      </c>
      <c r="D20" s="4">
        <f t="shared" si="2"/>
        <v>256</v>
      </c>
      <c r="E20" s="4">
        <v>1</v>
      </c>
      <c r="F20" s="4">
        <v>1</v>
      </c>
      <c r="G20" s="28">
        <v>256</v>
      </c>
      <c r="H20" s="28">
        <f t="shared" si="4"/>
        <v>30</v>
      </c>
      <c r="I20" s="4">
        <f t="shared" si="3"/>
        <v>1</v>
      </c>
      <c r="J20" s="4">
        <f t="shared" si="0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1"/>
      <c r="X20" s="11"/>
      <c r="Y20" s="4"/>
      <c r="Z20" s="4"/>
      <c r="AA20" s="4"/>
      <c r="AB20" s="4"/>
    </row>
    <row r="21" spans="1:33" ht="15.75" customHeight="1">
      <c r="A21" s="4">
        <v>18</v>
      </c>
      <c r="B21" s="30" t="s">
        <v>39</v>
      </c>
      <c r="C21" s="4">
        <f t="shared" si="1"/>
        <v>30</v>
      </c>
      <c r="D21" s="4">
        <f t="shared" si="2"/>
        <v>256</v>
      </c>
      <c r="E21" s="4">
        <v>2</v>
      </c>
      <c r="F21" s="4">
        <v>2</v>
      </c>
      <c r="G21" s="21">
        <v>256</v>
      </c>
      <c r="H21" s="21">
        <f>IF(B21="pad", C21+2*F21, IF(B21="pool",_xlfn.FLOOR.MATH((C21-F21+1)/E21), IF(OR(B21="conv",B21="fc"), _xlfn.FLOOR.MATH((C21-F21+1)/E21),C21)))</f>
        <v>14</v>
      </c>
      <c r="I21" s="4">
        <f t="shared" si="3"/>
        <v>1</v>
      </c>
      <c r="J21" s="4">
        <f t="shared" si="0"/>
        <v>784</v>
      </c>
      <c r="K21" s="10">
        <f>J21/SUM(J$4:J$23)*100</f>
        <v>2.3587993239681138E-5</v>
      </c>
      <c r="L21" s="4">
        <v>64</v>
      </c>
      <c r="M21" s="4">
        <v>8</v>
      </c>
      <c r="N21" s="4">
        <v>1</v>
      </c>
      <c r="O21" s="4">
        <f>G21/M21</f>
        <v>32</v>
      </c>
      <c r="P21" s="4">
        <f>F21*F21*D21*G21/(L21*M21)</f>
        <v>512</v>
      </c>
      <c r="Q21" s="4">
        <f>2*L21*M21*N21</f>
        <v>1024</v>
      </c>
      <c r="R21" s="4">
        <f>J21/(Q21*I21)</f>
        <v>0.765625</v>
      </c>
      <c r="S21" s="4">
        <f>F21*F21*D21</f>
        <v>1024</v>
      </c>
      <c r="T21" s="4">
        <f>G21</f>
        <v>256</v>
      </c>
      <c r="U21" s="4">
        <f t="shared" ref="U21:V24" si="5">S21/L21</f>
        <v>16</v>
      </c>
      <c r="V21" s="4">
        <f t="shared" si="5"/>
        <v>32</v>
      </c>
      <c r="W21" s="11"/>
      <c r="X21" s="11"/>
      <c r="Y21" s="4">
        <f>D21*F21*F21*G21</f>
        <v>262144</v>
      </c>
      <c r="Z21" s="4">
        <f>S21*T21</f>
        <v>262144</v>
      </c>
      <c r="AA21" s="4">
        <v>2</v>
      </c>
      <c r="AB21" s="4">
        <v>1</v>
      </c>
      <c r="AC21" s="12">
        <v>6</v>
      </c>
      <c r="AD21" s="20">
        <f>AC21*L21*M21*N21</f>
        <v>3072</v>
      </c>
      <c r="AE21" s="20">
        <f>1000000*$H$1/MAX(R21,W21)</f>
        <v>391836734.69387758</v>
      </c>
      <c r="AF21" s="20">
        <f>CEILING(Z21*AB21/18000,1) *M21</f>
        <v>120</v>
      </c>
      <c r="AG21" s="20">
        <f>Z21*M$1*AB21*H21*H21/(1024*1024*1024)</f>
        <v>63.578287760416671</v>
      </c>
    </row>
    <row r="22" spans="1:33" ht="15.75" customHeight="1">
      <c r="A22" s="4">
        <v>19</v>
      </c>
      <c r="B22" s="11" t="s">
        <v>36</v>
      </c>
      <c r="C22" s="4">
        <f t="shared" si="1"/>
        <v>14</v>
      </c>
      <c r="D22" s="4">
        <f t="shared" si="2"/>
        <v>256</v>
      </c>
      <c r="E22" s="4">
        <v>1</v>
      </c>
      <c r="F22" s="4">
        <v>1</v>
      </c>
      <c r="G22" s="28">
        <v>256</v>
      </c>
      <c r="H22" s="28">
        <f t="shared" ref="H22:H29" si="6">IF(B22="pad", C22+2*F22, IF(B22="pool",_xlfn.FLOOR.MATH((C22-F22+1)/E22), IF(OR(B22="conv",B22="fc"), _xlfn.FLOOR.MATH((C22-F22+1)/E22),C22)))</f>
        <v>16</v>
      </c>
      <c r="I22" s="4">
        <f t="shared" si="3"/>
        <v>1</v>
      </c>
      <c r="J22" s="4">
        <f t="shared" si="0"/>
        <v>0</v>
      </c>
      <c r="K22" s="10">
        <f>J22/SUM(J$4:J$23)*100</f>
        <v>0</v>
      </c>
      <c r="L22" s="4">
        <v>64</v>
      </c>
      <c r="M22" s="4">
        <v>4</v>
      </c>
      <c r="N22" s="4">
        <v>1</v>
      </c>
      <c r="O22" s="4">
        <f>G22/M22</f>
        <v>64</v>
      </c>
      <c r="P22" s="4">
        <f>F22*F22*D22*G22/(L22*M22)</f>
        <v>256</v>
      </c>
      <c r="Q22" s="4">
        <f>2*L22*M22*N22</f>
        <v>512</v>
      </c>
      <c r="R22" s="4">
        <f>J22/(Q22*I22)</f>
        <v>0</v>
      </c>
      <c r="S22" s="4">
        <f>F22*F22*D22</f>
        <v>256</v>
      </c>
      <c r="T22" s="4">
        <f>G22</f>
        <v>256</v>
      </c>
      <c r="U22" s="4">
        <f t="shared" si="5"/>
        <v>4</v>
      </c>
      <c r="V22" s="4">
        <f t="shared" si="5"/>
        <v>64</v>
      </c>
      <c r="W22" s="11"/>
      <c r="X22" s="11"/>
      <c r="Y22" s="4">
        <f>D22*F22*F22*G22</f>
        <v>65536</v>
      </c>
      <c r="Z22" s="4">
        <f>S22*T22</f>
        <v>65536</v>
      </c>
      <c r="AA22" s="4">
        <v>2</v>
      </c>
      <c r="AB22" s="4">
        <v>1</v>
      </c>
      <c r="AC22" s="12">
        <v>6</v>
      </c>
      <c r="AD22" s="20">
        <f>AC22*L22*M22*N22</f>
        <v>1536</v>
      </c>
      <c r="AE22" s="20" t="e">
        <f>1000000*$H$1/MAX(R22,W22)</f>
        <v>#DIV/0!</v>
      </c>
      <c r="AF22" s="20">
        <f>CEILING(Z22*AB22/18000,1) *M22</f>
        <v>16</v>
      </c>
      <c r="AG22" s="20">
        <f>Z22*M$1*AB22*H22*H22/(1024*1024*1024)</f>
        <v>20.760257227891156</v>
      </c>
    </row>
    <row r="23" spans="1:33" ht="15.75" customHeight="1">
      <c r="A23" s="4">
        <v>20</v>
      </c>
      <c r="B23" s="31" t="s">
        <v>37</v>
      </c>
      <c r="C23" s="4">
        <f t="shared" si="1"/>
        <v>16</v>
      </c>
      <c r="D23" s="4">
        <f t="shared" si="2"/>
        <v>256</v>
      </c>
      <c r="E23" s="4">
        <v>1</v>
      </c>
      <c r="F23" s="4">
        <v>3</v>
      </c>
      <c r="G23" s="21">
        <v>512</v>
      </c>
      <c r="H23" s="21">
        <f t="shared" si="6"/>
        <v>14</v>
      </c>
      <c r="I23" s="4">
        <f t="shared" si="3"/>
        <v>1</v>
      </c>
      <c r="J23" s="4">
        <f t="shared" si="0"/>
        <v>462422016</v>
      </c>
      <c r="K23" s="10">
        <f>J23/SUM(J$4:J$23)*100</f>
        <v>13.912764524601688</v>
      </c>
      <c r="L23" s="4">
        <v>8</v>
      </c>
      <c r="M23" s="4">
        <v>8</v>
      </c>
      <c r="N23" s="4">
        <v>1</v>
      </c>
      <c r="O23" s="4">
        <f>G23/M23</f>
        <v>64</v>
      </c>
      <c r="P23" s="4">
        <f>F23*F23*D23*G23/(L23*M23)</f>
        <v>18432</v>
      </c>
      <c r="Q23" s="4">
        <f>2*L23*M23*N23</f>
        <v>128</v>
      </c>
      <c r="R23" s="4">
        <f>J23/(Q23*I23)</f>
        <v>3612672</v>
      </c>
      <c r="S23" s="4">
        <f>F23*F23*D23</f>
        <v>2304</v>
      </c>
      <c r="T23" s="4">
        <f>G23</f>
        <v>512</v>
      </c>
      <c r="U23" s="4">
        <f t="shared" si="5"/>
        <v>288</v>
      </c>
      <c r="V23" s="4">
        <f t="shared" si="5"/>
        <v>64</v>
      </c>
      <c r="W23" s="11"/>
      <c r="X23" s="11"/>
      <c r="Y23" s="4">
        <f>D23*F23*F23*G23</f>
        <v>1179648</v>
      </c>
      <c r="Z23" s="4">
        <f>S23*T23</f>
        <v>1179648</v>
      </c>
      <c r="AA23" s="4">
        <v>2</v>
      </c>
      <c r="AB23" s="4">
        <v>4</v>
      </c>
      <c r="AC23" s="12">
        <v>8.5</v>
      </c>
      <c r="AD23" s="20">
        <f>AC23*L23*M23*N23</f>
        <v>544</v>
      </c>
      <c r="AE23" s="20">
        <f>1000000*$H$1/MAX(R23,W23)</f>
        <v>83.041028911564624</v>
      </c>
      <c r="AF23" s="20">
        <f>CEILING(Z23*AB23/18000,1) *M23</f>
        <v>2104</v>
      </c>
      <c r="AG23" s="20">
        <f>Z23*M$1*AB23*H23*H23/(1024*1024*1024)</f>
        <v>1144.4091796874998</v>
      </c>
    </row>
    <row r="24" spans="1:33" ht="15.75" customHeight="1">
      <c r="A24" s="4">
        <v>21</v>
      </c>
      <c r="B24" s="31" t="s">
        <v>37</v>
      </c>
      <c r="C24" s="4">
        <v>16</v>
      </c>
      <c r="D24" s="4">
        <f t="shared" si="2"/>
        <v>512</v>
      </c>
      <c r="E24" s="4">
        <v>1</v>
      </c>
      <c r="F24" s="4">
        <v>3</v>
      </c>
      <c r="G24" s="21">
        <v>256</v>
      </c>
      <c r="H24" s="21">
        <f t="shared" si="6"/>
        <v>14</v>
      </c>
      <c r="I24" s="4">
        <f t="shared" si="3"/>
        <v>1</v>
      </c>
      <c r="J24" s="4">
        <f t="shared" si="0"/>
        <v>462422016</v>
      </c>
      <c r="K24" s="10">
        <f>J24/SUM(J$4:J$23)*100</f>
        <v>13.912764524601688</v>
      </c>
      <c r="L24" s="4"/>
      <c r="M24" s="4"/>
      <c r="N24" s="4"/>
      <c r="O24" s="4"/>
      <c r="P24" s="4"/>
      <c r="Q24" s="4"/>
      <c r="R24" s="4" t="e">
        <f>J24/(Q24*I24)</f>
        <v>#DIV/0!</v>
      </c>
      <c r="S24" s="4">
        <f>F24*F24*D24</f>
        <v>4608</v>
      </c>
      <c r="T24" s="4">
        <f>G24</f>
        <v>256</v>
      </c>
      <c r="U24" s="4" t="e">
        <f t="shared" si="5"/>
        <v>#DIV/0!</v>
      </c>
      <c r="V24" s="4" t="e">
        <f t="shared" si="5"/>
        <v>#DIV/0!</v>
      </c>
      <c r="W24" s="4" t="e">
        <f>C24*C24+(F24*F24*H24*H24)/N24</f>
        <v>#DIV/0!</v>
      </c>
      <c r="X24" s="4">
        <f>F24*F24*H24*H24</f>
        <v>1764</v>
      </c>
    </row>
    <row r="25" spans="1:33" ht="15.75" customHeight="1">
      <c r="A25" s="4">
        <v>22</v>
      </c>
      <c r="B25" s="11" t="s">
        <v>36</v>
      </c>
      <c r="C25" s="4">
        <f t="shared" si="1"/>
        <v>14</v>
      </c>
      <c r="D25" s="4">
        <f t="shared" si="2"/>
        <v>256</v>
      </c>
      <c r="E25" s="4">
        <v>1</v>
      </c>
      <c r="F25" s="4">
        <v>1</v>
      </c>
      <c r="G25" s="29">
        <v>256</v>
      </c>
      <c r="H25" s="29">
        <f t="shared" si="6"/>
        <v>16</v>
      </c>
      <c r="I25" s="4">
        <f t="shared" si="3"/>
        <v>1</v>
      </c>
      <c r="J25" s="4">
        <f t="shared" si="0"/>
        <v>0</v>
      </c>
      <c r="K25" s="10"/>
      <c r="L25" s="11"/>
      <c r="M25" s="11"/>
      <c r="N25" s="11"/>
      <c r="O25" s="4"/>
      <c r="P25" s="4"/>
      <c r="Q25" s="4"/>
      <c r="R25" s="4"/>
      <c r="S25" s="11"/>
      <c r="T25" s="11"/>
      <c r="U25" s="4"/>
      <c r="V25" s="11"/>
      <c r="W25" s="11"/>
      <c r="X25" s="11"/>
    </row>
    <row r="26" spans="1:33" ht="15.75" customHeight="1">
      <c r="A26" s="4">
        <v>23</v>
      </c>
      <c r="B26" s="31" t="s">
        <v>37</v>
      </c>
      <c r="C26" s="4">
        <f t="shared" si="1"/>
        <v>16</v>
      </c>
      <c r="D26" s="4">
        <f t="shared" si="2"/>
        <v>256</v>
      </c>
      <c r="E26" s="4">
        <v>1</v>
      </c>
      <c r="F26" s="4">
        <v>3</v>
      </c>
      <c r="G26" s="21">
        <v>512</v>
      </c>
      <c r="H26" s="21">
        <f t="shared" si="6"/>
        <v>14</v>
      </c>
      <c r="I26" s="4">
        <f t="shared" si="3"/>
        <v>1</v>
      </c>
      <c r="J26" s="4">
        <f t="shared" si="0"/>
        <v>462422016</v>
      </c>
      <c r="K26" s="1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1"/>
      <c r="X26" s="11"/>
      <c r="AD26" s="20">
        <f>SUM(AD4:AD18)</f>
        <v>119064</v>
      </c>
    </row>
    <row r="27" spans="1:33" ht="15.75" customHeight="1">
      <c r="A27" s="4">
        <v>24</v>
      </c>
      <c r="B27" s="31" t="s">
        <v>37</v>
      </c>
      <c r="C27" s="4">
        <v>16</v>
      </c>
      <c r="D27" s="4">
        <f t="shared" si="2"/>
        <v>512</v>
      </c>
      <c r="E27" s="4">
        <v>1</v>
      </c>
      <c r="F27" s="4">
        <v>3</v>
      </c>
      <c r="G27" s="21">
        <v>256</v>
      </c>
      <c r="H27" s="21">
        <f t="shared" si="6"/>
        <v>14</v>
      </c>
      <c r="I27" s="4">
        <f t="shared" si="3"/>
        <v>1</v>
      </c>
      <c r="J27" s="4">
        <f t="shared" si="0"/>
        <v>462422016</v>
      </c>
    </row>
    <row r="28" spans="1:33" ht="15.75" customHeight="1">
      <c r="A28" s="4">
        <v>25</v>
      </c>
      <c r="B28" s="11" t="s">
        <v>36</v>
      </c>
      <c r="C28" s="4">
        <f t="shared" si="1"/>
        <v>14</v>
      </c>
      <c r="D28" s="4">
        <f t="shared" si="2"/>
        <v>256</v>
      </c>
      <c r="E28" s="4">
        <v>1</v>
      </c>
      <c r="F28" s="4">
        <v>1</v>
      </c>
      <c r="G28" s="29">
        <v>256</v>
      </c>
      <c r="H28" s="29">
        <f t="shared" si="6"/>
        <v>16</v>
      </c>
      <c r="I28" s="4">
        <f t="shared" si="3"/>
        <v>1</v>
      </c>
      <c r="J28" s="4">
        <f t="shared" si="0"/>
        <v>0</v>
      </c>
    </row>
    <row r="29" spans="1:33" ht="15.75" customHeight="1">
      <c r="A29" s="4">
        <v>26</v>
      </c>
      <c r="B29" s="31" t="s">
        <v>37</v>
      </c>
      <c r="C29" s="4">
        <f t="shared" si="1"/>
        <v>16</v>
      </c>
      <c r="D29" s="4">
        <f t="shared" si="2"/>
        <v>256</v>
      </c>
      <c r="E29" s="4">
        <v>1</v>
      </c>
      <c r="F29" s="4">
        <v>3</v>
      </c>
      <c r="G29" s="21">
        <v>512</v>
      </c>
      <c r="H29" s="21">
        <f t="shared" si="6"/>
        <v>14</v>
      </c>
      <c r="I29" s="4">
        <f t="shared" si="3"/>
        <v>1</v>
      </c>
      <c r="J29" s="4">
        <f t="shared" si="0"/>
        <v>462422016</v>
      </c>
    </row>
    <row r="30" spans="1:33" ht="15.75" customHeight="1">
      <c r="A30" s="4">
        <v>27</v>
      </c>
      <c r="B30" s="22" t="s">
        <v>36</v>
      </c>
      <c r="C30" s="4">
        <f t="shared" si="1"/>
        <v>14</v>
      </c>
      <c r="D30" s="4">
        <f t="shared" si="2"/>
        <v>512</v>
      </c>
      <c r="E30" s="4">
        <v>1</v>
      </c>
      <c r="F30" s="4">
        <v>1</v>
      </c>
      <c r="G30" s="22">
        <v>512</v>
      </c>
      <c r="H30" s="22">
        <f>IF(B30="pad", C30+2*F30, IF(B30="pool",_xlfn.FLOOR.MATH((C30-F30+1)/E30), IF(OR(B30="conv",B30="fc"), _xlfn.FLOOR.MATH((C30-F30+1)/E30),C30)))</f>
        <v>16</v>
      </c>
      <c r="I30" s="4">
        <f t="shared" si="3"/>
        <v>1</v>
      </c>
      <c r="J30" s="4">
        <f t="shared" si="0"/>
        <v>0</v>
      </c>
    </row>
    <row r="31" spans="1:33" ht="15.75" customHeight="1">
      <c r="A31" s="4">
        <v>28</v>
      </c>
      <c r="B31" s="30" t="s">
        <v>39</v>
      </c>
      <c r="C31" s="4">
        <f t="shared" si="1"/>
        <v>16</v>
      </c>
      <c r="D31" s="4">
        <f t="shared" si="2"/>
        <v>512</v>
      </c>
      <c r="E31" s="4">
        <v>2</v>
      </c>
      <c r="F31" s="4">
        <v>2</v>
      </c>
      <c r="G31" s="21">
        <v>512</v>
      </c>
      <c r="H31" s="21">
        <f>IF(B31="pad", C31+2*F31, IF(B31="pool",_xlfn.FLOOR.MATH((C31-F31+1)/E31), IF(OR(B31="conv",B31="fc"), _xlfn.FLOOR.MATH((C31-F31+1)/E31),C31)))</f>
        <v>7</v>
      </c>
      <c r="I31" s="4">
        <f t="shared" si="3"/>
        <v>1</v>
      </c>
      <c r="J31" s="4">
        <f t="shared" si="0"/>
        <v>196</v>
      </c>
    </row>
    <row r="32" spans="1:33" ht="15.75" customHeight="1">
      <c r="A32" s="4">
        <v>29</v>
      </c>
      <c r="B32" s="11" t="s">
        <v>36</v>
      </c>
      <c r="C32" s="4">
        <f t="shared" si="1"/>
        <v>7</v>
      </c>
      <c r="D32" s="4">
        <f t="shared" si="2"/>
        <v>512</v>
      </c>
      <c r="E32" s="4">
        <v>1</v>
      </c>
      <c r="F32" s="4">
        <v>1</v>
      </c>
      <c r="G32" s="22">
        <v>512</v>
      </c>
      <c r="H32" s="22">
        <f t="shared" ref="H32:H40" si="7">IF(B32="pad", C32+2*F32, IF(B32="pool",_xlfn.FLOOR.MATH((C32-F32+1)/E32), IF(OR(B32="conv",B32="fc"), _xlfn.FLOOR.MATH((C32-F32+1)/E32),C32)))</f>
        <v>9</v>
      </c>
      <c r="I32" s="4">
        <f t="shared" si="3"/>
        <v>1</v>
      </c>
      <c r="J32" s="4">
        <f t="shared" si="0"/>
        <v>0</v>
      </c>
    </row>
    <row r="33" spans="1:13" ht="15.75" customHeight="1">
      <c r="A33" s="4">
        <v>30</v>
      </c>
      <c r="B33" s="31" t="s">
        <v>37</v>
      </c>
      <c r="C33" s="4">
        <f t="shared" si="1"/>
        <v>9</v>
      </c>
      <c r="D33" s="4">
        <f t="shared" si="2"/>
        <v>512</v>
      </c>
      <c r="E33" s="4">
        <v>1</v>
      </c>
      <c r="F33" s="4">
        <v>3</v>
      </c>
      <c r="G33" s="23">
        <v>1024</v>
      </c>
      <c r="H33" s="23">
        <f t="shared" si="7"/>
        <v>7</v>
      </c>
      <c r="I33" s="4">
        <f t="shared" si="3"/>
        <v>1</v>
      </c>
      <c r="J33" s="4">
        <f t="shared" si="0"/>
        <v>462422016</v>
      </c>
    </row>
    <row r="34" spans="1:13" ht="15.75" customHeight="1">
      <c r="A34" s="4">
        <v>31</v>
      </c>
      <c r="B34" s="31" t="s">
        <v>37</v>
      </c>
      <c r="C34" s="4">
        <v>9</v>
      </c>
      <c r="D34" s="4">
        <f t="shared" si="2"/>
        <v>1024</v>
      </c>
      <c r="E34" s="4">
        <v>1</v>
      </c>
      <c r="F34" s="4">
        <v>3</v>
      </c>
      <c r="G34" s="23">
        <v>512</v>
      </c>
      <c r="H34" s="23">
        <f t="shared" si="7"/>
        <v>7</v>
      </c>
      <c r="I34" s="4">
        <f t="shared" si="3"/>
        <v>1</v>
      </c>
      <c r="J34" s="4">
        <f t="shared" si="0"/>
        <v>462422016</v>
      </c>
    </row>
    <row r="35" spans="1:13" ht="15.75" customHeight="1">
      <c r="A35" s="4">
        <v>32</v>
      </c>
      <c r="B35" s="11" t="s">
        <v>36</v>
      </c>
      <c r="C35" s="4">
        <f t="shared" si="1"/>
        <v>7</v>
      </c>
      <c r="D35" s="4">
        <f t="shared" si="2"/>
        <v>512</v>
      </c>
      <c r="E35" s="4">
        <v>1</v>
      </c>
      <c r="F35" s="4">
        <v>1</v>
      </c>
      <c r="G35" s="22">
        <v>512</v>
      </c>
      <c r="H35" s="22">
        <f t="shared" si="7"/>
        <v>9</v>
      </c>
      <c r="I35" s="4">
        <f t="shared" si="3"/>
        <v>1</v>
      </c>
      <c r="J35" s="4">
        <f t="shared" si="0"/>
        <v>0</v>
      </c>
    </row>
    <row r="36" spans="1:13" ht="15.75" customHeight="1">
      <c r="A36" s="4">
        <v>33</v>
      </c>
      <c r="B36" s="31" t="s">
        <v>37</v>
      </c>
      <c r="C36" s="4">
        <f t="shared" si="1"/>
        <v>9</v>
      </c>
      <c r="D36" s="4">
        <f t="shared" si="2"/>
        <v>512</v>
      </c>
      <c r="E36" s="4">
        <v>1</v>
      </c>
      <c r="F36" s="4">
        <v>3</v>
      </c>
      <c r="G36" s="23">
        <v>1024</v>
      </c>
      <c r="H36" s="23">
        <f t="shared" si="7"/>
        <v>7</v>
      </c>
      <c r="I36" s="4">
        <f t="shared" si="3"/>
        <v>1</v>
      </c>
      <c r="J36" s="4">
        <f t="shared" si="0"/>
        <v>462422016</v>
      </c>
    </row>
    <row r="37" spans="1:13" ht="15.75" customHeight="1">
      <c r="A37" s="4">
        <v>34</v>
      </c>
      <c r="B37" s="31" t="s">
        <v>37</v>
      </c>
      <c r="C37" s="4">
        <v>9</v>
      </c>
      <c r="D37" s="4">
        <f t="shared" si="2"/>
        <v>1024</v>
      </c>
      <c r="E37" s="4">
        <v>1</v>
      </c>
      <c r="F37" s="4">
        <v>3</v>
      </c>
      <c r="G37" s="23">
        <v>512</v>
      </c>
      <c r="H37" s="23">
        <f t="shared" si="7"/>
        <v>7</v>
      </c>
      <c r="I37" s="4">
        <f t="shared" si="3"/>
        <v>1</v>
      </c>
      <c r="J37" s="4">
        <f t="shared" si="0"/>
        <v>462422016</v>
      </c>
    </row>
    <row r="38" spans="1:13" ht="15.75" customHeight="1">
      <c r="A38" s="4">
        <v>35</v>
      </c>
      <c r="B38" s="11" t="s">
        <v>36</v>
      </c>
      <c r="C38" s="4">
        <f t="shared" si="1"/>
        <v>7</v>
      </c>
      <c r="D38" s="4">
        <f t="shared" si="2"/>
        <v>512</v>
      </c>
      <c r="E38" s="4">
        <v>1</v>
      </c>
      <c r="F38" s="4">
        <v>1</v>
      </c>
      <c r="G38" s="22">
        <v>512</v>
      </c>
      <c r="H38" s="22">
        <f t="shared" si="7"/>
        <v>9</v>
      </c>
      <c r="I38" s="4">
        <f t="shared" si="3"/>
        <v>1</v>
      </c>
      <c r="J38" s="4">
        <f t="shared" si="0"/>
        <v>0</v>
      </c>
    </row>
    <row r="39" spans="1:13" ht="15.75" customHeight="1">
      <c r="A39" s="4">
        <v>36</v>
      </c>
      <c r="B39" s="31" t="s">
        <v>37</v>
      </c>
      <c r="C39" s="4">
        <f t="shared" si="1"/>
        <v>9</v>
      </c>
      <c r="D39" s="4">
        <f t="shared" si="2"/>
        <v>512</v>
      </c>
      <c r="E39" s="4">
        <v>1</v>
      </c>
      <c r="F39" s="4">
        <v>3</v>
      </c>
      <c r="G39" s="23">
        <v>1024</v>
      </c>
      <c r="H39" s="23">
        <f t="shared" si="7"/>
        <v>7</v>
      </c>
      <c r="I39" s="4">
        <f t="shared" si="3"/>
        <v>1</v>
      </c>
      <c r="J39" s="4">
        <f t="shared" si="0"/>
        <v>462422016</v>
      </c>
    </row>
    <row r="40" spans="1:13" ht="15.75" customHeight="1">
      <c r="A40" s="4">
        <v>37</v>
      </c>
      <c r="B40" s="31" t="s">
        <v>37</v>
      </c>
      <c r="C40" s="4">
        <v>9</v>
      </c>
      <c r="D40" s="4">
        <f t="shared" si="2"/>
        <v>1024</v>
      </c>
      <c r="E40" s="4">
        <v>1</v>
      </c>
      <c r="F40" s="4">
        <v>3</v>
      </c>
      <c r="G40" s="23">
        <v>1000</v>
      </c>
      <c r="H40" s="23">
        <f t="shared" si="7"/>
        <v>7</v>
      </c>
      <c r="I40" s="4">
        <f t="shared" si="3"/>
        <v>1</v>
      </c>
      <c r="J40" s="4">
        <f t="shared" si="0"/>
        <v>903168000</v>
      </c>
    </row>
    <row r="41" spans="1:13" ht="15.75" customHeight="1">
      <c r="A41" s="4"/>
      <c r="B41" s="22"/>
    </row>
    <row r="42" spans="1:13" ht="15.75" customHeight="1">
      <c r="A42" s="4"/>
      <c r="J42" s="4">
        <f>SUM(J4:J40)</f>
        <v>8388691220</v>
      </c>
      <c r="L42" s="20" t="s">
        <v>90</v>
      </c>
      <c r="M42" s="20">
        <f>(J42-J45)/J45</f>
        <v>0.51979383174225036</v>
      </c>
    </row>
    <row r="45" spans="1:13" ht="15.75" customHeight="1">
      <c r="J45" s="20">
        <f>5119624468 + 400000000</f>
        <v>5519624468</v>
      </c>
      <c r="K45" s="20" t="s">
        <v>89</v>
      </c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G33" sqref="G33"/>
    </sheetView>
  </sheetViews>
  <sheetFormatPr defaultColWidth="14.42578125" defaultRowHeight="15.75" customHeight="1"/>
  <cols>
    <col min="1" max="1" width="15.140625" style="20" customWidth="1"/>
    <col min="2" max="2" width="14.42578125" style="20"/>
    <col min="3" max="3" width="6.85546875" style="20" customWidth="1"/>
    <col min="4" max="4" width="11.42578125" style="20" customWidth="1"/>
    <col min="5" max="8" width="14.42578125" style="20"/>
    <col min="9" max="9" width="17.42578125" style="20" customWidth="1"/>
    <col min="10" max="11" width="24.42578125" style="20" customWidth="1"/>
    <col min="12" max="12" width="14.42578125" style="20"/>
    <col min="13" max="13" width="16.28515625" style="20" customWidth="1"/>
    <col min="14" max="14" width="14.42578125" style="20" customWidth="1"/>
    <col min="15" max="15" width="19.28515625" style="20" customWidth="1"/>
    <col min="16" max="16" width="14.42578125" style="20" customWidth="1"/>
    <col min="17" max="16384" width="14.42578125" style="20"/>
  </cols>
  <sheetData>
    <row r="1" spans="1:16" ht="15.75" customHeight="1">
      <c r="A1" s="34" t="s">
        <v>44</v>
      </c>
      <c r="B1" s="35"/>
      <c r="C1" s="34">
        <f>SUM(P4:P29)/100</f>
        <v>7.0493713881478008</v>
      </c>
      <c r="D1" s="35"/>
      <c r="E1" s="34" t="s">
        <v>45</v>
      </c>
      <c r="F1" s="35"/>
      <c r="G1" s="19">
        <f>B29*B30*B31/(C1*1000)</f>
        <v>16467.851331422295</v>
      </c>
      <c r="H1" s="4"/>
      <c r="I1" s="19" t="s">
        <v>46</v>
      </c>
      <c r="J1" s="19">
        <f>G1/(SUM(J3:J118)/1000000000)</f>
        <v>20451.637091606557</v>
      </c>
      <c r="K1" s="19"/>
      <c r="L1" s="4"/>
      <c r="M1" s="11"/>
      <c r="N1" s="11"/>
      <c r="O1" s="11"/>
      <c r="P1" s="11"/>
    </row>
    <row r="2" spans="1:16" ht="15.75" customHeight="1">
      <c r="A2" s="19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19" t="s">
        <v>11</v>
      </c>
      <c r="G2" s="19" t="s">
        <v>12</v>
      </c>
      <c r="H2" s="19" t="s">
        <v>13</v>
      </c>
      <c r="I2" s="19" t="s">
        <v>14</v>
      </c>
      <c r="J2" s="19" t="str">
        <f>"ops, total: " &amp; SUM(J3:J118)/1000000 &amp;"M"</f>
        <v>ops, total: 805.209444M</v>
      </c>
      <c r="K2" s="19" t="s">
        <v>47</v>
      </c>
      <c r="L2" s="19" t="s">
        <v>15</v>
      </c>
      <c r="M2" s="19" t="s">
        <v>31</v>
      </c>
      <c r="N2" s="19" t="s">
        <v>32</v>
      </c>
      <c r="O2" s="19" t="s">
        <v>48</v>
      </c>
      <c r="P2" s="19"/>
    </row>
    <row r="3" spans="1:16" ht="15.75" customHeight="1">
      <c r="A3" s="4">
        <v>0</v>
      </c>
      <c r="B3" s="11" t="s">
        <v>36</v>
      </c>
      <c r="C3" s="4">
        <v>224</v>
      </c>
      <c r="D3" s="4">
        <v>3</v>
      </c>
      <c r="E3" s="4">
        <v>1</v>
      </c>
      <c r="F3" s="4">
        <v>1</v>
      </c>
      <c r="G3" s="4">
        <v>3</v>
      </c>
      <c r="H3" s="4">
        <f>IF(B3="pad", C3+2*F3, IF(B3="pool", C3/F3, IF(OR(B3="conv",B3="fc"), C3-F3+1,C3)))</f>
        <v>226</v>
      </c>
      <c r="I3" s="4">
        <v>1</v>
      </c>
      <c r="J3" s="4">
        <f t="shared" ref="J3:J26" si="0">IF(B3="pad", 0, IF(B3="pool", H3*H3*F3*F3, IF(OR(B3="conv",B3="fc"), I3*2*H3*H3*F3*F3*D3*G3,0)))</f>
        <v>0</v>
      </c>
      <c r="K3" s="4"/>
      <c r="L3" s="10">
        <f>J3/SUM(J$4:J$26)*100</f>
        <v>0</v>
      </c>
      <c r="M3" s="4">
        <v>2</v>
      </c>
      <c r="N3" s="4">
        <v>1</v>
      </c>
      <c r="O3" s="4">
        <v>6</v>
      </c>
      <c r="P3" s="11"/>
    </row>
    <row r="4" spans="1:16" ht="15.75" customHeight="1">
      <c r="A4" s="4">
        <v>1</v>
      </c>
      <c r="B4" s="11" t="s">
        <v>37</v>
      </c>
      <c r="C4" s="4">
        <f t="shared" ref="C4:C26" si="1">H3</f>
        <v>226</v>
      </c>
      <c r="D4" s="4">
        <f t="shared" ref="D4:D26" si="2">G3</f>
        <v>3</v>
      </c>
      <c r="E4" s="4">
        <v>1</v>
      </c>
      <c r="F4" s="4">
        <v>3</v>
      </c>
      <c r="G4" s="21">
        <v>16</v>
      </c>
      <c r="H4" s="21">
        <f>IF(B4="pad", C4+2*F4, IF(B4="pool", C4/F4, IF(OR(B4="conv",B4="fc"), (C4-F4+1)/E4,C4)))</f>
        <v>224</v>
      </c>
      <c r="I4" s="4">
        <f t="shared" ref="I4:I26" si="3">IF(B3="merge", 1, IF(B3="split", 2, I3))</f>
        <v>1</v>
      </c>
      <c r="J4" s="4">
        <f t="shared" si="0"/>
        <v>43352064</v>
      </c>
      <c r="K4" s="4"/>
      <c r="L4" s="10">
        <f>J4/SUM(J$4:J$26)*100</f>
        <v>5.3839487754443178</v>
      </c>
      <c r="M4" s="4">
        <v>8</v>
      </c>
      <c r="N4" s="4">
        <v>8</v>
      </c>
      <c r="O4" s="4">
        <v>25.5</v>
      </c>
      <c r="P4" s="4">
        <f t="shared" ref="P4:P26" si="4">O4*L4</f>
        <v>137.2906937738301</v>
      </c>
    </row>
    <row r="5" spans="1:16" ht="15.75" customHeight="1">
      <c r="A5" s="4">
        <v>2</v>
      </c>
      <c r="B5" s="11" t="s">
        <v>39</v>
      </c>
      <c r="C5" s="4">
        <f t="shared" si="1"/>
        <v>224</v>
      </c>
      <c r="D5" s="4">
        <f t="shared" si="2"/>
        <v>16</v>
      </c>
      <c r="E5" s="4">
        <v>2</v>
      </c>
      <c r="F5" s="4">
        <v>2</v>
      </c>
      <c r="G5" s="21">
        <v>16</v>
      </c>
      <c r="H5" s="21">
        <f>IF(B5="pad", C5+2*F5, IF(B5="pool", C5/F5, IF(OR(B5="conv",B5="fc"), (C5-F5+1)/E5,C5)))</f>
        <v>112</v>
      </c>
      <c r="I5" s="4">
        <f t="shared" si="3"/>
        <v>1</v>
      </c>
      <c r="J5" s="4">
        <f t="shared" si="0"/>
        <v>50176</v>
      </c>
      <c r="K5" s="4"/>
      <c r="L5" s="10">
        <f t="shared" ref="L5:L26" si="5">J5/SUM(J$4:J$26)*100</f>
        <v>6.2314221938012948E-3</v>
      </c>
      <c r="M5" s="4">
        <v>2</v>
      </c>
      <c r="N5" s="4">
        <v>1</v>
      </c>
      <c r="O5" s="4">
        <v>0</v>
      </c>
      <c r="P5" s="4">
        <f t="shared" si="4"/>
        <v>0</v>
      </c>
    </row>
    <row r="6" spans="1:16" ht="15.75" customHeight="1">
      <c r="A6" s="4">
        <v>3</v>
      </c>
      <c r="B6" s="11" t="s">
        <v>36</v>
      </c>
      <c r="C6" s="4">
        <f t="shared" si="1"/>
        <v>112</v>
      </c>
      <c r="D6" s="4">
        <f t="shared" si="2"/>
        <v>16</v>
      </c>
      <c r="E6" s="4">
        <v>1</v>
      </c>
      <c r="F6" s="4">
        <v>1</v>
      </c>
      <c r="G6" s="4">
        <v>16</v>
      </c>
      <c r="H6" s="4">
        <f>IF(B6="pad", C6+2*F6, IF(B6="pool", C6/F6, IF(OR(B6="conv",B6="fc"), (C6-F6+1)/E6,C6)))</f>
        <v>114</v>
      </c>
      <c r="I6" s="4">
        <f t="shared" si="3"/>
        <v>1</v>
      </c>
      <c r="J6" s="4">
        <f t="shared" si="0"/>
        <v>0</v>
      </c>
      <c r="K6" s="4"/>
      <c r="L6" s="10">
        <f t="shared" si="5"/>
        <v>0</v>
      </c>
      <c r="M6" s="4">
        <v>2</v>
      </c>
      <c r="N6" s="4">
        <v>1</v>
      </c>
      <c r="O6" s="4">
        <v>0</v>
      </c>
      <c r="P6" s="4">
        <f t="shared" si="4"/>
        <v>0</v>
      </c>
    </row>
    <row r="7" spans="1:16" ht="15.75" customHeight="1">
      <c r="A7" s="4">
        <v>4</v>
      </c>
      <c r="B7" s="11" t="s">
        <v>37</v>
      </c>
      <c r="C7" s="4">
        <f t="shared" si="1"/>
        <v>114</v>
      </c>
      <c r="D7" s="4">
        <f t="shared" si="2"/>
        <v>16</v>
      </c>
      <c r="E7" s="4">
        <v>1</v>
      </c>
      <c r="F7" s="4">
        <v>3</v>
      </c>
      <c r="G7" s="21">
        <v>32</v>
      </c>
      <c r="H7" s="21">
        <f>IF(B7="pad", C7+2*F7, IF(B7="pool", C7/F7, IF(OR(B7="conv",B7="fc"), (C7-F7+1)/E7,C7)))</f>
        <v>112</v>
      </c>
      <c r="I7" s="4">
        <f t="shared" si="3"/>
        <v>1</v>
      </c>
      <c r="J7" s="4">
        <f t="shared" si="0"/>
        <v>115605504</v>
      </c>
      <c r="K7" s="4"/>
      <c r="L7" s="10">
        <f t="shared" si="5"/>
        <v>14.35719673451818</v>
      </c>
      <c r="M7" s="4">
        <v>2</v>
      </c>
      <c r="N7" s="4">
        <v>1</v>
      </c>
      <c r="O7" s="4">
        <v>6</v>
      </c>
      <c r="P7" s="4">
        <f t="shared" si="4"/>
        <v>86.143180407109071</v>
      </c>
    </row>
    <row r="8" spans="1:16" ht="15.75" customHeight="1">
      <c r="A8" s="4">
        <v>5</v>
      </c>
      <c r="B8" s="11" t="s">
        <v>39</v>
      </c>
      <c r="C8" s="4">
        <f t="shared" si="1"/>
        <v>112</v>
      </c>
      <c r="D8" s="4">
        <f t="shared" si="2"/>
        <v>32</v>
      </c>
      <c r="E8" s="4">
        <v>2</v>
      </c>
      <c r="F8" s="4">
        <v>2</v>
      </c>
      <c r="G8" s="21">
        <v>32</v>
      </c>
      <c r="H8" s="21">
        <f t="shared" ref="H8:H20" si="6">IF(B8="pad", C8+2*F8, IF(B8="pool", C8/E8, IF(OR(B8="conv",B8="fc"), (C8-F8+1)/E8,C8)))</f>
        <v>56</v>
      </c>
      <c r="I8" s="4">
        <f t="shared" si="3"/>
        <v>1</v>
      </c>
      <c r="J8" s="4">
        <f t="shared" si="0"/>
        <v>12544</v>
      </c>
      <c r="K8" s="4"/>
      <c r="L8" s="10">
        <f t="shared" si="5"/>
        <v>1.5578555484503237E-3</v>
      </c>
      <c r="M8" s="4">
        <v>2</v>
      </c>
      <c r="N8" s="4">
        <v>1</v>
      </c>
      <c r="O8" s="4">
        <v>0</v>
      </c>
      <c r="P8" s="4">
        <f t="shared" si="4"/>
        <v>0</v>
      </c>
    </row>
    <row r="9" spans="1:16" ht="15.75" customHeight="1">
      <c r="A9" s="4">
        <v>6</v>
      </c>
      <c r="B9" s="11" t="s">
        <v>36</v>
      </c>
      <c r="C9" s="4">
        <f t="shared" si="1"/>
        <v>56</v>
      </c>
      <c r="D9" s="4">
        <f t="shared" si="2"/>
        <v>32</v>
      </c>
      <c r="E9" s="4">
        <v>1</v>
      </c>
      <c r="F9" s="4">
        <v>1</v>
      </c>
      <c r="G9" s="4">
        <v>32</v>
      </c>
      <c r="H9" s="4">
        <f t="shared" si="6"/>
        <v>58</v>
      </c>
      <c r="I9" s="4">
        <f t="shared" si="3"/>
        <v>1</v>
      </c>
      <c r="J9" s="4">
        <f t="shared" si="0"/>
        <v>0</v>
      </c>
      <c r="K9" s="4"/>
      <c r="L9" s="10">
        <f t="shared" si="5"/>
        <v>0</v>
      </c>
      <c r="M9" s="4">
        <v>2</v>
      </c>
      <c r="N9" s="4">
        <v>1</v>
      </c>
      <c r="O9" s="4">
        <v>0</v>
      </c>
      <c r="P9" s="4">
        <f t="shared" si="4"/>
        <v>0</v>
      </c>
    </row>
    <row r="10" spans="1:16" ht="15.75" customHeight="1">
      <c r="A10" s="4">
        <v>7</v>
      </c>
      <c r="B10" s="11" t="s">
        <v>37</v>
      </c>
      <c r="C10" s="4">
        <f t="shared" si="1"/>
        <v>58</v>
      </c>
      <c r="D10" s="4">
        <f t="shared" si="2"/>
        <v>32</v>
      </c>
      <c r="E10" s="4">
        <v>1</v>
      </c>
      <c r="F10" s="4">
        <v>3</v>
      </c>
      <c r="G10" s="21">
        <v>64</v>
      </c>
      <c r="H10" s="21">
        <f t="shared" si="6"/>
        <v>56</v>
      </c>
      <c r="I10" s="4">
        <f t="shared" si="3"/>
        <v>1</v>
      </c>
      <c r="J10" s="4">
        <f t="shared" si="0"/>
        <v>115605504</v>
      </c>
      <c r="K10" s="4"/>
      <c r="L10" s="10">
        <f t="shared" si="5"/>
        <v>14.35719673451818</v>
      </c>
      <c r="M10" s="4">
        <v>2</v>
      </c>
      <c r="N10" s="4">
        <v>1</v>
      </c>
      <c r="O10" s="4">
        <v>6</v>
      </c>
      <c r="P10" s="4">
        <f t="shared" si="4"/>
        <v>86.143180407109071</v>
      </c>
    </row>
    <row r="11" spans="1:16" ht="15.75" customHeight="1">
      <c r="A11" s="4">
        <v>8</v>
      </c>
      <c r="B11" s="11" t="s">
        <v>39</v>
      </c>
      <c r="C11" s="4">
        <f t="shared" si="1"/>
        <v>56</v>
      </c>
      <c r="D11" s="4">
        <f t="shared" si="2"/>
        <v>64</v>
      </c>
      <c r="E11" s="4">
        <v>2</v>
      </c>
      <c r="F11" s="4">
        <v>2</v>
      </c>
      <c r="G11" s="21">
        <v>64</v>
      </c>
      <c r="H11" s="21">
        <f t="shared" si="6"/>
        <v>28</v>
      </c>
      <c r="I11" s="4">
        <f t="shared" si="3"/>
        <v>1</v>
      </c>
      <c r="J11" s="4">
        <f t="shared" si="0"/>
        <v>3136</v>
      </c>
      <c r="K11" s="4"/>
      <c r="L11" s="10">
        <f t="shared" si="5"/>
        <v>3.8946388711258093E-4</v>
      </c>
      <c r="M11" s="4">
        <v>2</v>
      </c>
      <c r="N11" s="4">
        <v>1</v>
      </c>
      <c r="O11" s="4">
        <v>0</v>
      </c>
      <c r="P11" s="4">
        <f t="shared" si="4"/>
        <v>0</v>
      </c>
    </row>
    <row r="12" spans="1:16" ht="15.75" customHeight="1">
      <c r="A12" s="4">
        <v>9</v>
      </c>
      <c r="B12" s="11" t="s">
        <v>36</v>
      </c>
      <c r="C12" s="4">
        <f t="shared" si="1"/>
        <v>28</v>
      </c>
      <c r="D12" s="4">
        <f t="shared" si="2"/>
        <v>64</v>
      </c>
      <c r="E12" s="4">
        <v>1</v>
      </c>
      <c r="F12" s="4">
        <v>1</v>
      </c>
      <c r="G12" s="4">
        <v>64</v>
      </c>
      <c r="H12" s="4">
        <f t="shared" si="6"/>
        <v>30</v>
      </c>
      <c r="I12" s="4">
        <f t="shared" si="3"/>
        <v>1</v>
      </c>
      <c r="J12" s="4">
        <f t="shared" si="0"/>
        <v>0</v>
      </c>
      <c r="K12" s="4"/>
      <c r="L12" s="10">
        <f t="shared" si="5"/>
        <v>0</v>
      </c>
      <c r="M12" s="4">
        <v>2</v>
      </c>
      <c r="N12" s="4">
        <v>1</v>
      </c>
      <c r="O12" s="4">
        <v>0</v>
      </c>
      <c r="P12" s="4">
        <f t="shared" si="4"/>
        <v>0</v>
      </c>
    </row>
    <row r="13" spans="1:16" ht="15.75" customHeight="1">
      <c r="A13" s="4">
        <v>10</v>
      </c>
      <c r="B13" s="11" t="s">
        <v>37</v>
      </c>
      <c r="C13" s="4">
        <f t="shared" si="1"/>
        <v>30</v>
      </c>
      <c r="D13" s="4">
        <f t="shared" si="2"/>
        <v>64</v>
      </c>
      <c r="E13" s="4">
        <v>1</v>
      </c>
      <c r="F13" s="4">
        <v>3</v>
      </c>
      <c r="G13" s="21">
        <v>128</v>
      </c>
      <c r="H13" s="21">
        <f t="shared" si="6"/>
        <v>28</v>
      </c>
      <c r="I13" s="4">
        <f t="shared" si="3"/>
        <v>1</v>
      </c>
      <c r="J13" s="4">
        <f t="shared" si="0"/>
        <v>115605504</v>
      </c>
      <c r="K13" s="4"/>
      <c r="L13" s="10">
        <f t="shared" si="5"/>
        <v>14.35719673451818</v>
      </c>
      <c r="M13" s="4">
        <v>2</v>
      </c>
      <c r="N13" s="4">
        <v>1</v>
      </c>
      <c r="O13" s="4">
        <v>6</v>
      </c>
      <c r="P13" s="4">
        <f t="shared" si="4"/>
        <v>86.143180407109071</v>
      </c>
    </row>
    <row r="14" spans="1:16" ht="15.75" customHeight="1">
      <c r="A14" s="4">
        <v>11</v>
      </c>
      <c r="B14" s="11" t="s">
        <v>39</v>
      </c>
      <c r="C14" s="4">
        <f t="shared" si="1"/>
        <v>28</v>
      </c>
      <c r="D14" s="4">
        <f t="shared" si="2"/>
        <v>128</v>
      </c>
      <c r="E14" s="4">
        <v>2</v>
      </c>
      <c r="F14" s="4">
        <v>2</v>
      </c>
      <c r="G14" s="21">
        <v>128</v>
      </c>
      <c r="H14" s="21">
        <f t="shared" si="6"/>
        <v>14</v>
      </c>
      <c r="I14" s="4">
        <f t="shared" si="3"/>
        <v>1</v>
      </c>
      <c r="J14" s="4">
        <f t="shared" si="0"/>
        <v>784</v>
      </c>
      <c r="K14" s="4"/>
      <c r="L14" s="10">
        <f t="shared" si="5"/>
        <v>9.7365971778145231E-5</v>
      </c>
      <c r="M14" s="4">
        <v>2</v>
      </c>
      <c r="N14" s="4">
        <v>1</v>
      </c>
      <c r="O14" s="4">
        <v>0</v>
      </c>
      <c r="P14" s="4">
        <f t="shared" si="4"/>
        <v>0</v>
      </c>
    </row>
    <row r="15" spans="1:16" ht="15.75" customHeight="1">
      <c r="A15" s="4">
        <v>12</v>
      </c>
      <c r="B15" s="11" t="s">
        <v>36</v>
      </c>
      <c r="C15" s="4">
        <f>H14</f>
        <v>14</v>
      </c>
      <c r="D15" s="4">
        <f t="shared" si="2"/>
        <v>128</v>
      </c>
      <c r="E15" s="4">
        <v>1</v>
      </c>
      <c r="F15" s="4">
        <v>1</v>
      </c>
      <c r="G15" s="4">
        <v>128</v>
      </c>
      <c r="H15" s="4">
        <f t="shared" si="6"/>
        <v>16</v>
      </c>
      <c r="I15" s="4">
        <f t="shared" si="3"/>
        <v>1</v>
      </c>
      <c r="J15" s="4">
        <f t="shared" si="0"/>
        <v>0</v>
      </c>
      <c r="K15" s="4"/>
      <c r="L15" s="10">
        <f t="shared" si="5"/>
        <v>0</v>
      </c>
      <c r="M15" s="4">
        <v>2</v>
      </c>
      <c r="N15" s="4">
        <v>1</v>
      </c>
      <c r="O15" s="4">
        <v>0</v>
      </c>
      <c r="P15" s="4">
        <f t="shared" si="4"/>
        <v>0</v>
      </c>
    </row>
    <row r="16" spans="1:16" ht="15.75" customHeight="1">
      <c r="A16" s="4">
        <v>13</v>
      </c>
      <c r="B16" s="11" t="s">
        <v>37</v>
      </c>
      <c r="C16" s="4">
        <f t="shared" si="1"/>
        <v>16</v>
      </c>
      <c r="D16" s="4">
        <f t="shared" si="2"/>
        <v>128</v>
      </c>
      <c r="E16" s="4">
        <v>1</v>
      </c>
      <c r="F16" s="4">
        <v>3</v>
      </c>
      <c r="G16" s="21">
        <v>256</v>
      </c>
      <c r="H16" s="21">
        <f t="shared" si="6"/>
        <v>14</v>
      </c>
      <c r="I16" s="4">
        <f t="shared" si="3"/>
        <v>1</v>
      </c>
      <c r="J16" s="4">
        <f t="shared" si="0"/>
        <v>115605504</v>
      </c>
      <c r="K16" s="4"/>
      <c r="L16" s="10">
        <f t="shared" si="5"/>
        <v>14.35719673451818</v>
      </c>
      <c r="M16" s="4">
        <v>2</v>
      </c>
      <c r="N16" s="4">
        <v>1</v>
      </c>
      <c r="O16" s="4">
        <v>6</v>
      </c>
      <c r="P16" s="4">
        <f t="shared" si="4"/>
        <v>86.143180407109071</v>
      </c>
    </row>
    <row r="17" spans="1:16" ht="15.75" customHeight="1">
      <c r="A17" s="4">
        <v>14</v>
      </c>
      <c r="B17" s="11" t="s">
        <v>39</v>
      </c>
      <c r="C17" s="4">
        <f t="shared" si="1"/>
        <v>14</v>
      </c>
      <c r="D17" s="4">
        <f t="shared" si="2"/>
        <v>256</v>
      </c>
      <c r="E17" s="4">
        <v>2</v>
      </c>
      <c r="F17" s="4">
        <v>2</v>
      </c>
      <c r="G17" s="21">
        <v>256</v>
      </c>
      <c r="H17" s="21">
        <f t="shared" si="6"/>
        <v>7</v>
      </c>
      <c r="I17" s="4">
        <f t="shared" si="3"/>
        <v>1</v>
      </c>
      <c r="J17" s="4">
        <f t="shared" si="0"/>
        <v>196</v>
      </c>
      <c r="K17" s="4"/>
      <c r="L17" s="10">
        <f t="shared" si="5"/>
        <v>2.4341492944536308E-5</v>
      </c>
      <c r="M17" s="4">
        <v>2</v>
      </c>
      <c r="N17" s="4">
        <v>1</v>
      </c>
      <c r="O17" s="4">
        <v>0</v>
      </c>
      <c r="P17" s="4">
        <f t="shared" si="4"/>
        <v>0</v>
      </c>
    </row>
    <row r="18" spans="1:16" ht="15.75" customHeight="1">
      <c r="A18" s="4">
        <v>15</v>
      </c>
      <c r="B18" s="11" t="s">
        <v>36</v>
      </c>
      <c r="C18" s="4">
        <f t="shared" si="1"/>
        <v>7</v>
      </c>
      <c r="D18" s="4">
        <f t="shared" si="2"/>
        <v>256</v>
      </c>
      <c r="E18" s="4">
        <v>1</v>
      </c>
      <c r="F18" s="4">
        <v>1</v>
      </c>
      <c r="G18" s="4">
        <v>256</v>
      </c>
      <c r="H18" s="4">
        <f t="shared" si="6"/>
        <v>9</v>
      </c>
      <c r="I18" s="4">
        <f t="shared" si="3"/>
        <v>1</v>
      </c>
      <c r="J18" s="4">
        <f t="shared" si="0"/>
        <v>0</v>
      </c>
      <c r="K18" s="4"/>
      <c r="L18" s="10">
        <f t="shared" si="5"/>
        <v>0</v>
      </c>
      <c r="M18" s="4">
        <v>2</v>
      </c>
      <c r="N18" s="4">
        <v>1</v>
      </c>
      <c r="O18" s="4">
        <v>0</v>
      </c>
      <c r="P18" s="4">
        <f t="shared" si="4"/>
        <v>0</v>
      </c>
    </row>
    <row r="19" spans="1:16" ht="15.75" customHeight="1">
      <c r="A19" s="4">
        <v>16</v>
      </c>
      <c r="B19" s="11" t="s">
        <v>37</v>
      </c>
      <c r="C19" s="4">
        <f t="shared" si="1"/>
        <v>9</v>
      </c>
      <c r="D19" s="4">
        <f t="shared" si="2"/>
        <v>256</v>
      </c>
      <c r="E19" s="4">
        <v>1</v>
      </c>
      <c r="F19" s="4">
        <v>3</v>
      </c>
      <c r="G19" s="21">
        <v>512</v>
      </c>
      <c r="H19" s="21">
        <f t="shared" si="6"/>
        <v>7</v>
      </c>
      <c r="I19" s="4">
        <f t="shared" si="3"/>
        <v>1</v>
      </c>
      <c r="J19" s="4">
        <f t="shared" si="0"/>
        <v>115605504</v>
      </c>
      <c r="K19" s="4"/>
      <c r="L19" s="10">
        <f t="shared" si="5"/>
        <v>14.35719673451818</v>
      </c>
      <c r="M19" s="4">
        <v>2</v>
      </c>
      <c r="N19" s="4">
        <v>1</v>
      </c>
      <c r="O19" s="4">
        <v>6</v>
      </c>
      <c r="P19" s="4">
        <f t="shared" si="4"/>
        <v>86.143180407109071</v>
      </c>
    </row>
    <row r="20" spans="1:16" ht="15.75" customHeight="1">
      <c r="A20" s="4">
        <v>17</v>
      </c>
      <c r="B20" s="11" t="s">
        <v>36</v>
      </c>
      <c r="C20" s="4">
        <f t="shared" si="1"/>
        <v>7</v>
      </c>
      <c r="D20" s="4">
        <f t="shared" si="2"/>
        <v>512</v>
      </c>
      <c r="E20" s="4">
        <v>1</v>
      </c>
      <c r="F20" s="4">
        <v>1</v>
      </c>
      <c r="G20" s="4">
        <v>512</v>
      </c>
      <c r="H20" s="4">
        <f t="shared" si="6"/>
        <v>9</v>
      </c>
      <c r="I20" s="4">
        <f t="shared" si="3"/>
        <v>1</v>
      </c>
      <c r="J20" s="4">
        <f t="shared" si="0"/>
        <v>0</v>
      </c>
      <c r="K20" s="4"/>
      <c r="L20" s="10">
        <f t="shared" si="5"/>
        <v>0</v>
      </c>
      <c r="M20" s="4">
        <v>2</v>
      </c>
      <c r="N20" s="4">
        <v>1</v>
      </c>
      <c r="O20" s="4">
        <v>0</v>
      </c>
      <c r="P20" s="4">
        <f t="shared" si="4"/>
        <v>0</v>
      </c>
    </row>
    <row r="21" spans="1:16" ht="15.75" customHeight="1">
      <c r="A21" s="4">
        <v>18</v>
      </c>
      <c r="B21" s="11" t="s">
        <v>39</v>
      </c>
      <c r="C21" s="4">
        <f t="shared" si="1"/>
        <v>9</v>
      </c>
      <c r="D21" s="4">
        <f t="shared" si="2"/>
        <v>512</v>
      </c>
      <c r="E21" s="4">
        <v>2</v>
      </c>
      <c r="F21" s="4">
        <v>2</v>
      </c>
      <c r="G21" s="21">
        <v>512</v>
      </c>
      <c r="H21" s="21">
        <f t="shared" ref="H21:H26" si="7">IF(B21="pad", C21+2*F21, IF(B21="pool",_xlfn.FLOOR.MATH((C21-F21+1)/E21), IF(OR(B21="conv",B21="fc"), _xlfn.FLOOR.MATH((C21-F21+1)/E21),C21)))</f>
        <v>4</v>
      </c>
      <c r="I21" s="4">
        <f t="shared" si="3"/>
        <v>1</v>
      </c>
      <c r="J21" s="4">
        <f t="shared" si="0"/>
        <v>64</v>
      </c>
      <c r="K21" s="4"/>
      <c r="L21" s="10">
        <f t="shared" si="5"/>
        <v>7.9482425941343027E-6</v>
      </c>
      <c r="M21" s="4">
        <v>2</v>
      </c>
      <c r="N21" s="4">
        <v>1</v>
      </c>
      <c r="O21" s="4">
        <v>0</v>
      </c>
      <c r="P21" s="4">
        <f t="shared" si="4"/>
        <v>0</v>
      </c>
    </row>
    <row r="22" spans="1:16" ht="15.75" customHeight="1">
      <c r="A22" s="4">
        <v>19</v>
      </c>
      <c r="B22" s="11" t="s">
        <v>36</v>
      </c>
      <c r="C22" s="4">
        <f t="shared" si="1"/>
        <v>4</v>
      </c>
      <c r="D22" s="4">
        <f t="shared" si="2"/>
        <v>512</v>
      </c>
      <c r="E22" s="4">
        <v>1</v>
      </c>
      <c r="F22" s="4">
        <v>1</v>
      </c>
      <c r="G22" s="4">
        <v>512</v>
      </c>
      <c r="H22" s="4">
        <f t="shared" si="7"/>
        <v>6</v>
      </c>
      <c r="I22" s="4">
        <f t="shared" si="3"/>
        <v>1</v>
      </c>
      <c r="J22" s="4">
        <f t="shared" si="0"/>
        <v>0</v>
      </c>
      <c r="K22" s="4"/>
      <c r="L22" s="10">
        <f t="shared" si="5"/>
        <v>0</v>
      </c>
      <c r="M22" s="4">
        <v>2</v>
      </c>
      <c r="N22" s="4">
        <v>1</v>
      </c>
      <c r="O22" s="4">
        <v>0</v>
      </c>
      <c r="P22" s="4">
        <f t="shared" si="4"/>
        <v>0</v>
      </c>
    </row>
    <row r="23" spans="1:16" ht="15.75" customHeight="1">
      <c r="A23" s="4">
        <v>20</v>
      </c>
      <c r="B23" s="11" t="s">
        <v>37</v>
      </c>
      <c r="C23" s="4">
        <f t="shared" si="1"/>
        <v>6</v>
      </c>
      <c r="D23" s="4">
        <f t="shared" si="2"/>
        <v>512</v>
      </c>
      <c r="E23" s="4">
        <v>1</v>
      </c>
      <c r="F23" s="4">
        <v>3</v>
      </c>
      <c r="G23" s="21">
        <v>1024</v>
      </c>
      <c r="H23" s="21">
        <f t="shared" si="7"/>
        <v>4</v>
      </c>
      <c r="I23" s="4">
        <f t="shared" si="3"/>
        <v>1</v>
      </c>
      <c r="J23" s="4">
        <f t="shared" si="0"/>
        <v>150994944</v>
      </c>
      <c r="K23" s="4"/>
      <c r="L23" s="10">
        <f t="shared" si="5"/>
        <v>18.752256959370687</v>
      </c>
      <c r="M23" s="4">
        <v>2</v>
      </c>
      <c r="N23" s="4">
        <v>1</v>
      </c>
      <c r="O23" s="4">
        <v>6</v>
      </c>
      <c r="P23" s="4">
        <f t="shared" si="4"/>
        <v>112.51354175622413</v>
      </c>
    </row>
    <row r="24" spans="1:16" ht="15.75" customHeight="1">
      <c r="A24" s="4">
        <v>21</v>
      </c>
      <c r="B24" s="11" t="s">
        <v>87</v>
      </c>
      <c r="C24" s="4">
        <f t="shared" si="1"/>
        <v>4</v>
      </c>
      <c r="D24" s="4">
        <f t="shared" si="2"/>
        <v>1024</v>
      </c>
      <c r="E24" s="4">
        <v>1</v>
      </c>
      <c r="F24" s="4">
        <v>1</v>
      </c>
      <c r="G24" s="4">
        <v>1024</v>
      </c>
      <c r="H24" s="4">
        <f t="shared" si="7"/>
        <v>4</v>
      </c>
      <c r="I24" s="4">
        <f t="shared" si="3"/>
        <v>1</v>
      </c>
      <c r="J24" s="4">
        <f t="shared" si="0"/>
        <v>0</v>
      </c>
      <c r="K24" s="4"/>
      <c r="L24" s="10">
        <f t="shared" si="5"/>
        <v>0</v>
      </c>
      <c r="M24" s="4">
        <v>2</v>
      </c>
      <c r="N24" s="4">
        <v>1</v>
      </c>
      <c r="O24" s="4">
        <v>0</v>
      </c>
      <c r="P24" s="4">
        <f t="shared" si="4"/>
        <v>0</v>
      </c>
    </row>
    <row r="25" spans="1:16" ht="15.75" customHeight="1">
      <c r="A25" s="4">
        <v>22</v>
      </c>
      <c r="B25" s="11" t="s">
        <v>37</v>
      </c>
      <c r="C25" s="4">
        <f t="shared" si="1"/>
        <v>4</v>
      </c>
      <c r="D25" s="4">
        <f t="shared" si="2"/>
        <v>1024</v>
      </c>
      <c r="E25" s="4">
        <v>1</v>
      </c>
      <c r="F25" s="4">
        <v>1</v>
      </c>
      <c r="G25" s="21">
        <v>1000</v>
      </c>
      <c r="H25" s="21">
        <f t="shared" si="7"/>
        <v>4</v>
      </c>
      <c r="I25" s="4">
        <f t="shared" si="3"/>
        <v>1</v>
      </c>
      <c r="J25" s="4">
        <f t="shared" si="0"/>
        <v>32768000</v>
      </c>
      <c r="K25" s="4"/>
      <c r="L25" s="10">
        <f t="shared" si="5"/>
        <v>4.0695002081967635</v>
      </c>
      <c r="M25" s="4">
        <v>2</v>
      </c>
      <c r="N25" s="4">
        <v>1</v>
      </c>
      <c r="O25" s="4">
        <v>6</v>
      </c>
      <c r="P25" s="4">
        <f t="shared" si="4"/>
        <v>24.417001249180579</v>
      </c>
    </row>
    <row r="26" spans="1:16" ht="15.75" customHeight="1">
      <c r="A26" s="4">
        <v>23</v>
      </c>
      <c r="B26" s="11" t="s">
        <v>39</v>
      </c>
      <c r="C26" s="4">
        <f t="shared" si="1"/>
        <v>4</v>
      </c>
      <c r="D26" s="4">
        <f t="shared" si="2"/>
        <v>1000</v>
      </c>
      <c r="E26" s="4">
        <v>1</v>
      </c>
      <c r="F26" s="4">
        <v>1</v>
      </c>
      <c r="G26" s="4">
        <v>1000</v>
      </c>
      <c r="H26" s="4">
        <f t="shared" si="7"/>
        <v>4</v>
      </c>
      <c r="I26" s="4">
        <f t="shared" si="3"/>
        <v>1</v>
      </c>
      <c r="J26" s="4">
        <f t="shared" si="0"/>
        <v>16</v>
      </c>
      <c r="K26" s="4"/>
      <c r="L26" s="10">
        <f t="shared" si="5"/>
        <v>1.9870606485335757E-6</v>
      </c>
      <c r="M26" s="4">
        <v>2</v>
      </c>
      <c r="N26" s="4">
        <v>1</v>
      </c>
      <c r="O26" s="4">
        <v>0</v>
      </c>
      <c r="P26" s="4">
        <f t="shared" si="4"/>
        <v>0</v>
      </c>
    </row>
    <row r="27" spans="1:16" ht="15.75" customHeight="1">
      <c r="A27" s="4"/>
      <c r="B27" s="11"/>
      <c r="C27" s="4"/>
      <c r="D27" s="4"/>
      <c r="E27" s="4"/>
      <c r="F27" s="4"/>
      <c r="G27" s="4"/>
      <c r="H27" s="4"/>
      <c r="I27" s="4"/>
      <c r="J27" s="4"/>
      <c r="K27" s="4"/>
      <c r="L27" s="10"/>
      <c r="M27" s="4"/>
      <c r="N27" s="4"/>
      <c r="O27" s="4"/>
      <c r="P27" s="4"/>
    </row>
    <row r="29" spans="1:16" ht="15.75" customHeight="1">
      <c r="A29" s="12" t="s">
        <v>50</v>
      </c>
      <c r="B29" s="12">
        <v>663360</v>
      </c>
      <c r="N29" s="12"/>
    </row>
    <row r="30" spans="1:16" ht="15.75" customHeight="1">
      <c r="A30" s="12" t="s">
        <v>51</v>
      </c>
      <c r="B30" s="12">
        <v>250</v>
      </c>
      <c r="D30" s="12"/>
    </row>
    <row r="31" spans="1:16" ht="15.75" customHeight="1">
      <c r="A31" s="12" t="s">
        <v>52</v>
      </c>
      <c r="B31" s="13">
        <v>0.7</v>
      </c>
    </row>
    <row r="32" spans="1:16" ht="15.75" customHeight="1">
      <c r="A32" s="12"/>
      <c r="B32" s="12"/>
      <c r="H32" s="12"/>
    </row>
    <row r="33" spans="1:8" ht="15.75" customHeight="1">
      <c r="A33" s="12" t="s">
        <v>53</v>
      </c>
      <c r="B33" s="12" t="s">
        <v>54</v>
      </c>
      <c r="H33" s="12"/>
    </row>
    <row r="34" spans="1:8" ht="15.75" customHeight="1">
      <c r="A34" s="12" t="s">
        <v>55</v>
      </c>
      <c r="B34" s="12">
        <v>178</v>
      </c>
    </row>
    <row r="35" spans="1:8" ht="15.75" customHeight="1">
      <c r="A35" s="12" t="s">
        <v>56</v>
      </c>
      <c r="B35" s="12">
        <v>331</v>
      </c>
    </row>
    <row r="36" spans="1:8" ht="15.75" customHeight="1">
      <c r="A36" s="12" t="s">
        <v>57</v>
      </c>
      <c r="B36" s="12">
        <v>8</v>
      </c>
    </row>
    <row r="37" spans="1:8" ht="15.75" customHeight="1">
      <c r="A37" s="12" t="s">
        <v>58</v>
      </c>
      <c r="B37" s="12">
        <v>40</v>
      </c>
    </row>
    <row r="38" spans="1:8" ht="15.75" customHeight="1">
      <c r="A38" s="12" t="s">
        <v>59</v>
      </c>
      <c r="B38" s="12">
        <v>11</v>
      </c>
    </row>
    <row r="39" spans="1:8" ht="15.75" customHeight="1">
      <c r="A39" s="12" t="s">
        <v>60</v>
      </c>
      <c r="B39" s="12">
        <v>6</v>
      </c>
    </row>
    <row r="40" spans="1:8" ht="15.75" customHeight="1">
      <c r="A40" s="12" t="s">
        <v>61</v>
      </c>
      <c r="B40" s="12">
        <v>2.5</v>
      </c>
    </row>
    <row r="41" spans="1:8" ht="15.75" customHeight="1">
      <c r="A41" s="12" t="s">
        <v>62</v>
      </c>
    </row>
    <row r="42" spans="1:8" ht="15.75" customHeight="1">
      <c r="A42" s="12" t="s">
        <v>63</v>
      </c>
      <c r="B42" s="12">
        <f>(B38+B37)/2</f>
        <v>25.5</v>
      </c>
    </row>
    <row r="43" spans="1:8" ht="12.75">
      <c r="A43" s="12" t="s">
        <v>64</v>
      </c>
      <c r="B43" s="20">
        <f>B39</f>
        <v>6</v>
      </c>
    </row>
    <row r="44" spans="1:8" ht="12.75">
      <c r="A44" s="12" t="s">
        <v>65</v>
      </c>
      <c r="B44" s="20">
        <f>(B38+B39)/2</f>
        <v>8.5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workbookViewId="0">
      <selection activeCell="C12" sqref="C12:F13"/>
    </sheetView>
  </sheetViews>
  <sheetFormatPr defaultColWidth="14.42578125" defaultRowHeight="15.75" customHeight="1"/>
  <cols>
    <col min="1" max="1" width="8.7109375" style="20" customWidth="1"/>
    <col min="2" max="2" width="14.42578125" style="20"/>
    <col min="3" max="3" width="6.85546875" style="20" customWidth="1"/>
    <col min="4" max="4" width="11.42578125" style="20" customWidth="1"/>
    <col min="5" max="8" width="14.42578125" style="20"/>
    <col min="9" max="9" width="17.42578125" style="20" customWidth="1"/>
    <col min="10" max="10" width="24.42578125" style="20" customWidth="1"/>
    <col min="11" max="24" width="14.42578125" style="20"/>
    <col min="25" max="25" width="22.140625" style="20" customWidth="1"/>
    <col min="26" max="26" width="16.85546875" style="20" customWidth="1"/>
    <col min="27" max="27" width="16.28515625" style="20" customWidth="1"/>
    <col min="28" max="28" width="14.42578125" style="20" customWidth="1"/>
    <col min="29" max="29" width="19.85546875" style="20" customWidth="1"/>
    <col min="30" max="30" width="20.85546875" style="20" customWidth="1"/>
    <col min="31" max="33" width="16.42578125" style="20" customWidth="1"/>
    <col min="34" max="16384" width="14.42578125" style="20"/>
  </cols>
  <sheetData>
    <row r="1" spans="1:33" ht="15.75" customHeight="1">
      <c r="A1" s="19" t="s">
        <v>0</v>
      </c>
      <c r="B1" s="34" t="s">
        <v>1</v>
      </c>
      <c r="C1" s="35"/>
      <c r="D1" s="35"/>
      <c r="E1" s="35"/>
      <c r="F1" s="35"/>
      <c r="G1" s="19" t="s">
        <v>2</v>
      </c>
      <c r="H1" s="4">
        <v>300</v>
      </c>
      <c r="I1" s="19"/>
      <c r="J1" s="19" t="s">
        <v>3</v>
      </c>
      <c r="K1" s="4">
        <f>MAX(MAX(R4:R20),MAX(W4:W20))</f>
        <v>55600</v>
      </c>
      <c r="L1" s="19" t="s">
        <v>4</v>
      </c>
      <c r="M1" s="4">
        <f>1000000*H1/K1</f>
        <v>5395.6834532374105</v>
      </c>
      <c r="N1" s="11"/>
      <c r="O1" s="11"/>
      <c r="P1" s="11"/>
      <c r="Q1" s="11"/>
      <c r="R1" s="19" t="s">
        <v>5</v>
      </c>
      <c r="S1" s="4">
        <f>SUM(J3:J23)/(C3*C3*D3+G23*2)</f>
        <v>4348.3191737288134</v>
      </c>
      <c r="T1" s="11"/>
      <c r="U1" s="11"/>
      <c r="V1" s="11"/>
      <c r="W1" s="11"/>
      <c r="X1" s="11"/>
      <c r="Y1" s="6"/>
      <c r="Z1" s="11"/>
      <c r="AA1" s="11"/>
      <c r="AB1" s="11"/>
    </row>
    <row r="2" spans="1:33" ht="15.75" customHeight="1">
      <c r="A2" s="19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19" t="s">
        <v>11</v>
      </c>
      <c r="G2" s="19" t="s">
        <v>12</v>
      </c>
      <c r="H2" s="19" t="s">
        <v>13</v>
      </c>
      <c r="I2" s="19" t="s">
        <v>14</v>
      </c>
      <c r="J2" s="19" t="str">
        <f>"ops, total: " &amp; SUM(J3:J111)/1000000 &amp;"M"</f>
        <v>ops, total: 983.114832M</v>
      </c>
      <c r="K2" s="19" t="s">
        <v>15</v>
      </c>
      <c r="L2" s="19" t="s">
        <v>16</v>
      </c>
      <c r="M2" s="19" t="s">
        <v>17</v>
      </c>
      <c r="N2" s="19" t="s">
        <v>18</v>
      </c>
      <c r="O2" s="19" t="s">
        <v>19</v>
      </c>
      <c r="P2" s="19" t="s">
        <v>20</v>
      </c>
      <c r="Q2" s="19" t="s">
        <v>21</v>
      </c>
      <c r="R2" s="19" t="s">
        <v>22</v>
      </c>
      <c r="S2" s="19" t="s">
        <v>23</v>
      </c>
      <c r="T2" s="19" t="s">
        <v>24</v>
      </c>
      <c r="U2" s="19" t="s">
        <v>25</v>
      </c>
      <c r="V2" s="19" t="s">
        <v>26</v>
      </c>
      <c r="W2" s="19" t="s">
        <v>27</v>
      </c>
      <c r="X2" s="19" t="s">
        <v>28</v>
      </c>
      <c r="Y2" s="19" t="s">
        <v>29</v>
      </c>
      <c r="Z2" s="19" t="s">
        <v>30</v>
      </c>
      <c r="AA2" s="19" t="s">
        <v>31</v>
      </c>
      <c r="AB2" s="19" t="s">
        <v>32</v>
      </c>
      <c r="AC2" s="7" t="s">
        <v>42</v>
      </c>
      <c r="AD2" s="7" t="s">
        <v>43</v>
      </c>
      <c r="AE2" s="7" t="s">
        <v>33</v>
      </c>
      <c r="AF2" s="7" t="s">
        <v>34</v>
      </c>
      <c r="AG2" s="7" t="s">
        <v>35</v>
      </c>
    </row>
    <row r="3" spans="1:33" ht="15.75" customHeight="1">
      <c r="A3" s="4">
        <v>0</v>
      </c>
      <c r="B3" s="11" t="s">
        <v>36</v>
      </c>
      <c r="C3" s="4">
        <v>224</v>
      </c>
      <c r="D3" s="4">
        <v>3</v>
      </c>
      <c r="E3" s="4">
        <v>1</v>
      </c>
      <c r="F3" s="4">
        <v>1</v>
      </c>
      <c r="G3" s="4">
        <v>3</v>
      </c>
      <c r="H3" s="4">
        <f>IF(B3="pad", C3+2*F3, IF(B3="pool", C3/F3, IF(OR(B3="conv",B3="fc"), C3-F3+1,C3)))</f>
        <v>226</v>
      </c>
      <c r="I3" s="4">
        <v>1</v>
      </c>
      <c r="J3" s="4">
        <f t="shared" ref="J3:J26" si="0">IF(B3="pad", 0, IF(B3="pool", H3*H3*F3*F3, IF(OR(B3="conv",B3="fc"), I3*2*H3*H3*F3*F3*D3*G3,0)))</f>
        <v>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4">
        <v>1</v>
      </c>
      <c r="V3" s="11"/>
      <c r="W3" s="11"/>
      <c r="X3" s="11"/>
      <c r="Y3" s="11"/>
      <c r="Z3" s="11"/>
      <c r="AA3" s="11"/>
      <c r="AB3" s="11"/>
    </row>
    <row r="4" spans="1:33" ht="15.75" customHeight="1">
      <c r="A4" s="4">
        <v>1</v>
      </c>
      <c r="B4" s="11" t="s">
        <v>37</v>
      </c>
      <c r="C4" s="4">
        <f t="shared" ref="C4:C26" si="1">H3</f>
        <v>226</v>
      </c>
      <c r="D4" s="4">
        <f t="shared" ref="D4:D26" si="2">G3</f>
        <v>3</v>
      </c>
      <c r="E4" s="4">
        <v>1</v>
      </c>
      <c r="F4" s="4">
        <v>3</v>
      </c>
      <c r="G4" s="21">
        <v>16</v>
      </c>
      <c r="H4" s="21">
        <f>IF(B4="pad", C4+2*F4, IF(B4="pool", C4/F4, IF(OR(B4="conv",B4="fc"), (C4-F4+1)/E4,C4)))</f>
        <v>224</v>
      </c>
      <c r="I4" s="4">
        <f t="shared" ref="I4:I26" si="3">IF(B3="merge", 1, IF(B3="split", 2, I3))</f>
        <v>1</v>
      </c>
      <c r="J4" s="4">
        <f t="shared" si="0"/>
        <v>43352064</v>
      </c>
      <c r="K4" s="10">
        <f>J4/SUM(J$4:J$23)*100</f>
        <v>6.600797166584897</v>
      </c>
      <c r="L4" s="4">
        <v>3</v>
      </c>
      <c r="M4" s="4">
        <v>48</v>
      </c>
      <c r="N4" s="4">
        <v>9</v>
      </c>
      <c r="O4" s="4">
        <f>G4/M4</f>
        <v>0.33333333333333331</v>
      </c>
      <c r="P4" s="4">
        <f>F4*F4*D4*G4/(L4*M4)</f>
        <v>3</v>
      </c>
      <c r="Q4" s="4">
        <f>2*L4*M4*N4</f>
        <v>2592</v>
      </c>
      <c r="R4" s="4">
        <f>J4/(Q4*I4)</f>
        <v>16725.333333333332</v>
      </c>
      <c r="S4" s="4">
        <f>F4*F4*D4</f>
        <v>27</v>
      </c>
      <c r="T4" s="4">
        <f>G4</f>
        <v>16</v>
      </c>
      <c r="U4" s="4">
        <f>S4/L4</f>
        <v>9</v>
      </c>
      <c r="V4" s="4">
        <f>T4/M4</f>
        <v>0.33333333333333331</v>
      </c>
      <c r="W4" s="4">
        <f>C4*24+(F4*F4*H4*H4)/N4</f>
        <v>55600</v>
      </c>
      <c r="X4" s="4">
        <f>F4*F4*H4*H4/N4</f>
        <v>50176</v>
      </c>
      <c r="Y4" s="4">
        <f>D4*F4*F4*G4</f>
        <v>432</v>
      </c>
      <c r="Z4" s="4">
        <f>S4*T4</f>
        <v>432</v>
      </c>
      <c r="AA4" s="4">
        <v>8</v>
      </c>
      <c r="AB4" s="4">
        <v>4</v>
      </c>
      <c r="AC4" s="12">
        <v>25.5</v>
      </c>
      <c r="AD4" s="20">
        <f>AC4*L4*M4*N4</f>
        <v>33048</v>
      </c>
      <c r="AE4" s="20">
        <f>1000000*$H$1/R4</f>
        <v>17936.862244897962</v>
      </c>
      <c r="AF4" s="20">
        <f>CEILING(Z4*AB4/18000,1) *M4</f>
        <v>48</v>
      </c>
    </row>
    <row r="5" spans="1:33" ht="15.75" customHeight="1">
      <c r="A5" s="4">
        <v>2</v>
      </c>
      <c r="B5" s="11" t="s">
        <v>39</v>
      </c>
      <c r="C5" s="4">
        <f t="shared" si="1"/>
        <v>224</v>
      </c>
      <c r="D5" s="4">
        <f t="shared" si="2"/>
        <v>16</v>
      </c>
      <c r="E5" s="4">
        <v>2</v>
      </c>
      <c r="F5" s="4">
        <v>2</v>
      </c>
      <c r="G5" s="21">
        <v>16</v>
      </c>
      <c r="H5" s="21">
        <f>IF(B5="pad", C5+2*F5, IF(B5="pool", C5/F5, IF(OR(B5="conv",B5="fc"), (C5-F5+1)/E5,C5)))</f>
        <v>112</v>
      </c>
      <c r="I5" s="4">
        <f t="shared" si="3"/>
        <v>1</v>
      </c>
      <c r="J5" s="4">
        <f t="shared" si="0"/>
        <v>50176</v>
      </c>
      <c r="K5" s="10"/>
      <c r="L5" s="11"/>
      <c r="M5" s="11"/>
      <c r="N5" s="11"/>
      <c r="O5" s="4"/>
      <c r="P5" s="4"/>
      <c r="Q5" s="4"/>
      <c r="R5" s="4"/>
      <c r="S5" s="11"/>
      <c r="T5" s="11"/>
      <c r="U5" s="4"/>
      <c r="V5" s="11"/>
      <c r="W5" s="4"/>
      <c r="X5" s="11"/>
      <c r="Y5" s="11"/>
      <c r="Z5" s="11"/>
      <c r="AA5" s="11"/>
      <c r="AB5" s="11"/>
    </row>
    <row r="6" spans="1:33" ht="15.75" customHeight="1">
      <c r="A6" s="4">
        <v>3</v>
      </c>
      <c r="B6" s="11" t="s">
        <v>36</v>
      </c>
      <c r="C6" s="4">
        <f t="shared" si="1"/>
        <v>112</v>
      </c>
      <c r="D6" s="4">
        <f t="shared" si="2"/>
        <v>16</v>
      </c>
      <c r="E6" s="4">
        <v>1</v>
      </c>
      <c r="F6" s="4">
        <v>1</v>
      </c>
      <c r="G6" s="4">
        <v>16</v>
      </c>
      <c r="H6" s="4">
        <f>IF(B6="pad", C6+2*F6, IF(B6="pool", C6/F6, IF(OR(B6="conv",B6="fc"), (C6-F6+1)/E6,C6)))</f>
        <v>114</v>
      </c>
      <c r="I6" s="4">
        <f t="shared" si="3"/>
        <v>1</v>
      </c>
      <c r="J6" s="4">
        <f t="shared" si="0"/>
        <v>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3" ht="15.75" customHeight="1">
      <c r="A7" s="4">
        <v>4</v>
      </c>
      <c r="B7" s="11" t="s">
        <v>37</v>
      </c>
      <c r="C7" s="4">
        <f t="shared" si="1"/>
        <v>114</v>
      </c>
      <c r="D7" s="4">
        <f t="shared" si="2"/>
        <v>16</v>
      </c>
      <c r="E7" s="4">
        <v>1</v>
      </c>
      <c r="F7" s="4">
        <v>3</v>
      </c>
      <c r="G7" s="21">
        <v>32</v>
      </c>
      <c r="H7" s="21">
        <f>IF(B7="pad", C7+2*F7, IF(B7="pool", C7/F7, IF(OR(B7="conv",B7="fc"), (C7-F7+1)/E7,C7)))</f>
        <v>112</v>
      </c>
      <c r="I7" s="4">
        <f t="shared" si="3"/>
        <v>1</v>
      </c>
      <c r="J7" s="4">
        <f t="shared" si="0"/>
        <v>115605504</v>
      </c>
      <c r="K7" s="10">
        <f>J7/SUM(J$4:J$23)*100</f>
        <v>17.602125777559724</v>
      </c>
      <c r="L7" s="4">
        <v>48</v>
      </c>
      <c r="M7" s="4">
        <v>32</v>
      </c>
      <c r="N7" s="4">
        <v>3</v>
      </c>
      <c r="O7" s="4">
        <f>G7/M7</f>
        <v>1</v>
      </c>
      <c r="P7" s="4">
        <f>F7*F7*D7*G7/(L7*M7)</f>
        <v>3</v>
      </c>
      <c r="Q7" s="4">
        <f>2*L7*M7*N7</f>
        <v>9216</v>
      </c>
      <c r="R7" s="4">
        <f>J7/(Q7*I7)</f>
        <v>12544</v>
      </c>
      <c r="S7" s="4">
        <f>F7*F7*D7</f>
        <v>144</v>
      </c>
      <c r="T7" s="4">
        <f>G7</f>
        <v>32</v>
      </c>
      <c r="U7" s="4">
        <f>S7/L7</f>
        <v>3</v>
      </c>
      <c r="V7" s="4">
        <f>T7/M7</f>
        <v>1</v>
      </c>
      <c r="W7" s="4">
        <f>C7*C7+(F7*F7*H7*H7)/N7</f>
        <v>50628</v>
      </c>
      <c r="X7" s="4">
        <f>F7*F7*H7*H7</f>
        <v>112896</v>
      </c>
      <c r="Y7" s="4">
        <f>D7*F7*F7*G7</f>
        <v>4608</v>
      </c>
      <c r="Z7" s="4">
        <f>S7*T7*I7</f>
        <v>4608</v>
      </c>
      <c r="AA7" s="4">
        <v>2</v>
      </c>
      <c r="AB7" s="4">
        <v>1</v>
      </c>
      <c r="AC7" s="12">
        <v>6</v>
      </c>
      <c r="AD7" s="20">
        <f>AC7*L7*M7*N7</f>
        <v>27648</v>
      </c>
      <c r="AE7" s="20">
        <f>1000000*$H$1/MAX(R7,W7)</f>
        <v>5925.5747807537327</v>
      </c>
      <c r="AF7" s="20">
        <f>CEILING(Z7*AB7/18000,1) *M7</f>
        <v>32</v>
      </c>
    </row>
    <row r="8" spans="1:33" ht="15.75" customHeight="1">
      <c r="A8" s="4">
        <v>5</v>
      </c>
      <c r="B8" s="11" t="s">
        <v>39</v>
      </c>
      <c r="C8" s="4">
        <f t="shared" si="1"/>
        <v>112</v>
      </c>
      <c r="D8" s="4">
        <f t="shared" si="2"/>
        <v>32</v>
      </c>
      <c r="E8" s="4">
        <v>2</v>
      </c>
      <c r="F8" s="4">
        <v>2</v>
      </c>
      <c r="G8" s="21">
        <v>32</v>
      </c>
      <c r="H8" s="21">
        <f t="shared" ref="H8:H20" si="4">IF(B8="pad", C8+2*F8, IF(B8="pool", C8/E8, IF(OR(B8="conv",B8="fc"), (C8-F8+1)/E8,C8)))</f>
        <v>56</v>
      </c>
      <c r="I8" s="4">
        <f t="shared" si="3"/>
        <v>1</v>
      </c>
      <c r="J8" s="4">
        <f t="shared" si="0"/>
        <v>12544</v>
      </c>
      <c r="K8" s="10"/>
      <c r="L8" s="11"/>
      <c r="M8" s="11"/>
      <c r="N8" s="11"/>
      <c r="O8" s="4"/>
      <c r="P8" s="4"/>
      <c r="Q8" s="4"/>
      <c r="R8" s="4"/>
      <c r="S8" s="11"/>
      <c r="T8" s="11"/>
      <c r="U8" s="4"/>
      <c r="V8" s="11"/>
      <c r="W8" s="4"/>
      <c r="X8" s="11"/>
      <c r="Y8" s="11"/>
      <c r="Z8" s="4"/>
      <c r="AA8" s="11"/>
      <c r="AB8" s="11"/>
    </row>
    <row r="9" spans="1:33" ht="15.75" customHeight="1">
      <c r="A9" s="4">
        <v>6</v>
      </c>
      <c r="B9" s="11" t="s">
        <v>36</v>
      </c>
      <c r="C9" s="4">
        <f t="shared" si="1"/>
        <v>56</v>
      </c>
      <c r="D9" s="4">
        <f t="shared" si="2"/>
        <v>32</v>
      </c>
      <c r="E9" s="4">
        <v>1</v>
      </c>
      <c r="F9" s="4">
        <v>0</v>
      </c>
      <c r="G9" s="4">
        <v>32</v>
      </c>
      <c r="H9" s="4">
        <f t="shared" si="4"/>
        <v>56</v>
      </c>
      <c r="I9" s="4">
        <f t="shared" si="3"/>
        <v>1</v>
      </c>
      <c r="J9" s="4">
        <f t="shared" si="0"/>
        <v>0</v>
      </c>
      <c r="K9" s="10"/>
      <c r="L9" s="11"/>
      <c r="M9" s="11"/>
      <c r="N9" s="11"/>
      <c r="O9" s="4"/>
      <c r="P9" s="4"/>
      <c r="Q9" s="4"/>
      <c r="R9" s="4"/>
      <c r="S9" s="11"/>
      <c r="T9" s="11"/>
      <c r="U9" s="4"/>
      <c r="V9" s="11"/>
      <c r="W9" s="4"/>
      <c r="X9" s="11"/>
      <c r="Y9" s="11"/>
      <c r="Z9" s="4"/>
      <c r="AA9" s="11"/>
      <c r="AB9" s="11"/>
    </row>
    <row r="10" spans="1:33" ht="15.75" customHeight="1">
      <c r="A10" s="4">
        <v>7</v>
      </c>
      <c r="B10" s="11" t="s">
        <v>37</v>
      </c>
      <c r="C10" s="4">
        <f t="shared" si="1"/>
        <v>56</v>
      </c>
      <c r="D10" s="4">
        <f t="shared" si="2"/>
        <v>32</v>
      </c>
      <c r="E10" s="4">
        <v>1</v>
      </c>
      <c r="F10" s="4">
        <v>1</v>
      </c>
      <c r="G10" s="21">
        <v>16</v>
      </c>
      <c r="H10" s="21">
        <f t="shared" si="4"/>
        <v>56</v>
      </c>
      <c r="I10" s="4">
        <f t="shared" si="3"/>
        <v>1</v>
      </c>
      <c r="J10" s="4">
        <f t="shared" si="0"/>
        <v>3211264</v>
      </c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33" ht="15.75" customHeight="1">
      <c r="A11" s="4">
        <v>8</v>
      </c>
      <c r="B11" s="11" t="s">
        <v>36</v>
      </c>
      <c r="C11" s="4">
        <f t="shared" si="1"/>
        <v>56</v>
      </c>
      <c r="D11" s="4">
        <f t="shared" si="2"/>
        <v>16</v>
      </c>
      <c r="E11" s="4">
        <v>1</v>
      </c>
      <c r="F11" s="4">
        <v>1</v>
      </c>
      <c r="G11" s="22">
        <v>16</v>
      </c>
      <c r="H11" s="22">
        <f t="shared" si="4"/>
        <v>58</v>
      </c>
      <c r="I11" s="4">
        <f t="shared" si="3"/>
        <v>1</v>
      </c>
      <c r="J11" s="4">
        <f t="shared" si="0"/>
        <v>0</v>
      </c>
      <c r="K11" s="10">
        <f>J11/SUM(J$4:J$23)*100</f>
        <v>0</v>
      </c>
      <c r="L11" s="4">
        <v>64</v>
      </c>
      <c r="M11" s="4">
        <v>128</v>
      </c>
      <c r="N11" s="4">
        <v>1</v>
      </c>
      <c r="O11" s="4">
        <f>G11/M11</f>
        <v>0.125</v>
      </c>
      <c r="P11" s="4">
        <f>F11*F11*D11*G11/(L11*M11)</f>
        <v>3.125E-2</v>
      </c>
      <c r="Q11" s="4">
        <f>2*L11*M11*N11</f>
        <v>16384</v>
      </c>
      <c r="R11" s="4">
        <f>J11/(Q11*I11)</f>
        <v>0</v>
      </c>
      <c r="S11" s="4">
        <f>F11*F11*D11</f>
        <v>16</v>
      </c>
      <c r="T11" s="4">
        <f>G11</f>
        <v>16</v>
      </c>
      <c r="U11" s="4">
        <f>S11/L11</f>
        <v>0.25</v>
      </c>
      <c r="V11" s="4">
        <f>T11/M11</f>
        <v>0.125</v>
      </c>
      <c r="W11" s="4">
        <f>C11*C11+(F11*F11*H11*H11)/N11</f>
        <v>6500</v>
      </c>
      <c r="X11" s="4">
        <f>F11*F11*H11*H11</f>
        <v>3364</v>
      </c>
      <c r="Y11" s="4">
        <f>D11*F11*F11*G11</f>
        <v>256</v>
      </c>
      <c r="Z11" s="4">
        <f>S11*T11*I11</f>
        <v>256</v>
      </c>
      <c r="AA11" s="4">
        <v>2</v>
      </c>
      <c r="AB11" s="4">
        <v>1</v>
      </c>
      <c r="AC11" s="12">
        <v>6</v>
      </c>
      <c r="AD11" s="20">
        <f>AC11*L11*M11*N11</f>
        <v>49152</v>
      </c>
      <c r="AE11" s="20">
        <f>1000000*$H$1/MAX(R11,W11)</f>
        <v>46153.846153846156</v>
      </c>
      <c r="AF11" s="20">
        <f>CEILING(Z11*AB11/18000,1) *M11</f>
        <v>128</v>
      </c>
    </row>
    <row r="12" spans="1:33" ht="15.75" customHeight="1">
      <c r="A12" s="4">
        <v>9</v>
      </c>
      <c r="B12" s="11" t="s">
        <v>37</v>
      </c>
      <c r="C12" s="4">
        <f t="shared" si="1"/>
        <v>58</v>
      </c>
      <c r="D12" s="4">
        <f t="shared" si="2"/>
        <v>16</v>
      </c>
      <c r="E12" s="4">
        <v>1</v>
      </c>
      <c r="F12" s="4">
        <v>3</v>
      </c>
      <c r="G12" s="21">
        <v>128</v>
      </c>
      <c r="H12" s="21">
        <f t="shared" si="4"/>
        <v>56</v>
      </c>
      <c r="I12" s="4">
        <f t="shared" si="3"/>
        <v>1</v>
      </c>
      <c r="J12" s="4">
        <f t="shared" si="0"/>
        <v>115605504</v>
      </c>
      <c r="K12" s="10"/>
      <c r="L12" s="11"/>
      <c r="M12" s="11"/>
      <c r="N12" s="11"/>
      <c r="O12" s="4"/>
      <c r="P12" s="4"/>
      <c r="Q12" s="4"/>
      <c r="R12" s="4"/>
      <c r="S12" s="11"/>
      <c r="T12" s="11"/>
      <c r="U12" s="4"/>
      <c r="V12" s="11"/>
      <c r="W12" s="4"/>
      <c r="X12" s="11"/>
      <c r="Y12" s="11"/>
      <c r="Z12" s="4"/>
      <c r="AA12" s="11"/>
      <c r="AB12" s="11"/>
    </row>
    <row r="13" spans="1:33" ht="15.75" customHeight="1">
      <c r="A13" s="4">
        <v>10</v>
      </c>
      <c r="B13" s="11" t="s">
        <v>37</v>
      </c>
      <c r="C13" s="4">
        <f t="shared" si="1"/>
        <v>56</v>
      </c>
      <c r="D13" s="4">
        <f t="shared" si="2"/>
        <v>128</v>
      </c>
      <c r="E13" s="4">
        <v>1</v>
      </c>
      <c r="F13" s="4">
        <v>1</v>
      </c>
      <c r="G13" s="21">
        <v>16</v>
      </c>
      <c r="H13" s="21">
        <f t="shared" si="4"/>
        <v>56</v>
      </c>
      <c r="I13" s="4">
        <f t="shared" si="3"/>
        <v>1</v>
      </c>
      <c r="J13" s="4">
        <f t="shared" si="0"/>
        <v>12845056</v>
      </c>
      <c r="K13" s="10"/>
      <c r="L13" s="11"/>
      <c r="M13" s="11"/>
      <c r="N13" s="11"/>
      <c r="O13" s="4"/>
      <c r="P13" s="4"/>
      <c r="Q13" s="4"/>
      <c r="R13" s="4"/>
      <c r="S13" s="11"/>
      <c r="T13" s="11"/>
      <c r="U13" s="4"/>
      <c r="V13" s="11"/>
      <c r="W13" s="4"/>
      <c r="X13" s="11"/>
      <c r="Y13" s="11"/>
      <c r="Z13" s="4"/>
      <c r="AA13" s="11"/>
      <c r="AB13" s="11"/>
    </row>
    <row r="14" spans="1:33" ht="15.75" customHeight="1">
      <c r="A14" s="4">
        <v>11</v>
      </c>
      <c r="B14" s="11" t="s">
        <v>36</v>
      </c>
      <c r="C14" s="4">
        <f t="shared" si="1"/>
        <v>56</v>
      </c>
      <c r="D14" s="4">
        <f t="shared" si="2"/>
        <v>16</v>
      </c>
      <c r="E14" s="4">
        <v>1</v>
      </c>
      <c r="F14" s="4">
        <v>1</v>
      </c>
      <c r="G14" s="22">
        <v>16</v>
      </c>
      <c r="H14" s="22">
        <f t="shared" si="4"/>
        <v>58</v>
      </c>
      <c r="I14" s="4">
        <f t="shared" si="3"/>
        <v>1</v>
      </c>
      <c r="J14" s="4">
        <f t="shared" si="0"/>
        <v>0</v>
      </c>
      <c r="K14" s="10"/>
      <c r="L14" s="11"/>
      <c r="M14" s="11"/>
      <c r="N14" s="11"/>
      <c r="O14" s="4"/>
      <c r="P14" s="4"/>
      <c r="Q14" s="4"/>
      <c r="R14" s="4"/>
      <c r="S14" s="11"/>
      <c r="T14" s="11"/>
      <c r="U14" s="4"/>
      <c r="V14" s="11"/>
      <c r="W14" s="4"/>
      <c r="X14" s="11"/>
      <c r="Y14" s="11"/>
      <c r="Z14" s="4"/>
      <c r="AA14" s="11"/>
      <c r="AB14" s="11"/>
    </row>
    <row r="15" spans="1:33" ht="15.75" customHeight="1">
      <c r="A15" s="4">
        <v>12</v>
      </c>
      <c r="B15" s="11" t="s">
        <v>37</v>
      </c>
      <c r="C15" s="4">
        <f>H14</f>
        <v>58</v>
      </c>
      <c r="D15" s="4">
        <f t="shared" si="2"/>
        <v>16</v>
      </c>
      <c r="E15" s="4">
        <v>1</v>
      </c>
      <c r="F15" s="4">
        <v>3</v>
      </c>
      <c r="G15" s="21">
        <v>128</v>
      </c>
      <c r="H15" s="21">
        <f t="shared" si="4"/>
        <v>56</v>
      </c>
      <c r="I15" s="4">
        <f t="shared" si="3"/>
        <v>1</v>
      </c>
      <c r="J15" s="4">
        <f t="shared" si="0"/>
        <v>115605504</v>
      </c>
      <c r="K15" s="10"/>
      <c r="L15" s="11"/>
      <c r="M15" s="11"/>
      <c r="N15" s="11"/>
      <c r="O15" s="4"/>
      <c r="P15" s="4"/>
      <c r="Q15" s="4"/>
      <c r="R15" s="4"/>
      <c r="S15" s="11"/>
      <c r="T15" s="11"/>
      <c r="U15" s="4"/>
      <c r="V15" s="11"/>
      <c r="W15" s="4"/>
      <c r="X15" s="11"/>
      <c r="Y15" s="11"/>
      <c r="Z15" s="4"/>
      <c r="AA15" s="11"/>
      <c r="AB15" s="11"/>
    </row>
    <row r="16" spans="1:33" ht="15.75" customHeight="1">
      <c r="A16" s="4">
        <v>13</v>
      </c>
      <c r="B16" s="11" t="s">
        <v>39</v>
      </c>
      <c r="C16" s="4">
        <f t="shared" si="1"/>
        <v>56</v>
      </c>
      <c r="D16" s="4">
        <f t="shared" si="2"/>
        <v>128</v>
      </c>
      <c r="E16" s="4">
        <v>2</v>
      </c>
      <c r="F16" s="4">
        <v>2</v>
      </c>
      <c r="G16" s="21">
        <v>128</v>
      </c>
      <c r="H16" s="21">
        <f t="shared" si="4"/>
        <v>28</v>
      </c>
      <c r="I16" s="4">
        <f t="shared" si="3"/>
        <v>1</v>
      </c>
      <c r="J16" s="4">
        <f t="shared" si="0"/>
        <v>3136</v>
      </c>
      <c r="K16" s="10">
        <f>J16/SUM(J$4:J$23)*100</f>
        <v>4.7748822096244911E-4</v>
      </c>
      <c r="L16" s="4">
        <v>32</v>
      </c>
      <c r="M16" s="4">
        <v>16</v>
      </c>
      <c r="N16" s="4">
        <v>2</v>
      </c>
      <c r="O16" s="4">
        <f>G16/M16</f>
        <v>8</v>
      </c>
      <c r="P16" s="4">
        <f>F16*F16*D16*G16/(L16*M16)</f>
        <v>128</v>
      </c>
      <c r="Q16" s="4">
        <f>2*L16*M16*N16</f>
        <v>2048</v>
      </c>
      <c r="R16" s="4">
        <f>J16/(Q16*I16)</f>
        <v>1.53125</v>
      </c>
      <c r="S16" s="4">
        <f>F16*F16*D16</f>
        <v>512</v>
      </c>
      <c r="T16" s="4">
        <f>G16</f>
        <v>128</v>
      </c>
      <c r="U16" s="4">
        <f>S16/L16</f>
        <v>16</v>
      </c>
      <c r="V16" s="4">
        <f>T16/M16</f>
        <v>8</v>
      </c>
      <c r="W16" s="4">
        <f>C16*C16+(F16*F16*H16*H16)/N16</f>
        <v>4704</v>
      </c>
      <c r="X16" s="4">
        <f>F16*F16*H16*H16</f>
        <v>3136</v>
      </c>
      <c r="Y16" s="4">
        <f>D16*F16*F16*G16</f>
        <v>65536</v>
      </c>
      <c r="Z16" s="4">
        <f>S16*T16*I16</f>
        <v>65536</v>
      </c>
      <c r="AA16" s="4">
        <v>2</v>
      </c>
      <c r="AB16" s="4">
        <v>1</v>
      </c>
      <c r="AC16" s="12">
        <v>6</v>
      </c>
      <c r="AD16" s="20">
        <f>AC16*L16*M16*N16</f>
        <v>6144</v>
      </c>
      <c r="AE16" s="20">
        <f>1000000*$H$1/MAX(R16,W16)</f>
        <v>63775.510204081635</v>
      </c>
      <c r="AF16" s="20">
        <f>CEILING(Z16*AB16/18000,1) *M16</f>
        <v>64</v>
      </c>
    </row>
    <row r="17" spans="1:33" ht="15.75" customHeight="1">
      <c r="A17" s="4">
        <v>14</v>
      </c>
      <c r="B17" s="11" t="s">
        <v>37</v>
      </c>
      <c r="C17" s="4">
        <f t="shared" si="1"/>
        <v>28</v>
      </c>
      <c r="D17" s="4">
        <f t="shared" si="2"/>
        <v>128</v>
      </c>
      <c r="E17" s="4">
        <v>1</v>
      </c>
      <c r="F17" s="4">
        <v>1</v>
      </c>
      <c r="G17" s="23">
        <v>32</v>
      </c>
      <c r="H17" s="23">
        <f t="shared" si="4"/>
        <v>28</v>
      </c>
      <c r="I17" s="4">
        <f t="shared" si="3"/>
        <v>1</v>
      </c>
      <c r="J17" s="4">
        <f t="shared" si="0"/>
        <v>6422528</v>
      </c>
      <c r="K17" s="10"/>
      <c r="L17" s="11"/>
      <c r="M17" s="11"/>
      <c r="N17" s="11"/>
      <c r="O17" s="4"/>
      <c r="P17" s="4"/>
      <c r="Q17" s="4"/>
      <c r="R17" s="4"/>
      <c r="S17" s="11"/>
      <c r="T17" s="11"/>
      <c r="U17" s="4"/>
      <c r="V17" s="11"/>
      <c r="W17" s="4"/>
      <c r="X17" s="11"/>
      <c r="Y17" s="11"/>
      <c r="Z17" s="4"/>
      <c r="AA17" s="11"/>
      <c r="AB17" s="11"/>
    </row>
    <row r="18" spans="1:33" ht="15.75" customHeight="1">
      <c r="A18" s="4">
        <v>15</v>
      </c>
      <c r="B18" s="11" t="s">
        <v>36</v>
      </c>
      <c r="C18" s="4">
        <f t="shared" si="1"/>
        <v>28</v>
      </c>
      <c r="D18" s="4">
        <f t="shared" si="2"/>
        <v>32</v>
      </c>
      <c r="E18" s="4">
        <v>1</v>
      </c>
      <c r="F18" s="4">
        <v>1</v>
      </c>
      <c r="G18" s="22">
        <v>32</v>
      </c>
      <c r="H18" s="22">
        <f t="shared" si="4"/>
        <v>30</v>
      </c>
      <c r="I18" s="4">
        <f t="shared" si="3"/>
        <v>1</v>
      </c>
      <c r="J18" s="4">
        <f t="shared" si="0"/>
        <v>0</v>
      </c>
      <c r="K18" s="10">
        <f>J18/SUM(J$4:J$23)*100</f>
        <v>0</v>
      </c>
      <c r="L18" s="4">
        <v>32</v>
      </c>
      <c r="M18" s="4">
        <v>8</v>
      </c>
      <c r="N18" s="4">
        <v>2</v>
      </c>
      <c r="O18" s="4">
        <f>G18/M18</f>
        <v>4</v>
      </c>
      <c r="P18" s="4">
        <f>F18*F18*D18*G18/(L18*M18)</f>
        <v>4</v>
      </c>
      <c r="Q18" s="4">
        <f>2*L18*M18*N18</f>
        <v>1024</v>
      </c>
      <c r="R18" s="4">
        <f>J18/(Q18*I18)</f>
        <v>0</v>
      </c>
      <c r="S18" s="4">
        <f>F18*F18*D18</f>
        <v>32</v>
      </c>
      <c r="T18" s="4">
        <f>G18</f>
        <v>32</v>
      </c>
      <c r="U18" s="4">
        <f>S18/L18</f>
        <v>1</v>
      </c>
      <c r="V18" s="4">
        <f>T18/M18</f>
        <v>4</v>
      </c>
      <c r="W18" s="4">
        <f>C18*C18+(F18*F18*H18*H18)/N18</f>
        <v>1234</v>
      </c>
      <c r="X18" s="4">
        <f>F18*F18*H18*H18</f>
        <v>900</v>
      </c>
      <c r="Y18" s="4">
        <f>D18*F18*F18*G18</f>
        <v>1024</v>
      </c>
      <c r="Z18" s="4">
        <f>S18*T18*I18</f>
        <v>1024</v>
      </c>
      <c r="AA18" s="4">
        <v>2</v>
      </c>
      <c r="AB18" s="4">
        <v>1</v>
      </c>
      <c r="AC18" s="12">
        <v>6</v>
      </c>
      <c r="AD18" s="20">
        <f>AC18*L18*M18*N18</f>
        <v>3072</v>
      </c>
      <c r="AE18" s="20">
        <f>1000000*$H$1/MAX(R18,W18)</f>
        <v>243111.83144246353</v>
      </c>
      <c r="AF18" s="20">
        <f>CEILING(Z18*AB18/18000,1) *M18</f>
        <v>8</v>
      </c>
    </row>
    <row r="19" spans="1:33" ht="15.75" customHeight="1">
      <c r="A19" s="4">
        <v>16</v>
      </c>
      <c r="B19" s="11" t="s">
        <v>37</v>
      </c>
      <c r="C19" s="4">
        <f t="shared" si="1"/>
        <v>30</v>
      </c>
      <c r="D19" s="4">
        <f t="shared" si="2"/>
        <v>32</v>
      </c>
      <c r="E19" s="4">
        <v>1</v>
      </c>
      <c r="F19" s="4">
        <v>3</v>
      </c>
      <c r="G19" s="23">
        <v>256</v>
      </c>
      <c r="H19" s="23">
        <f t="shared" si="4"/>
        <v>28</v>
      </c>
      <c r="I19" s="4">
        <f t="shared" si="3"/>
        <v>1</v>
      </c>
      <c r="J19" s="4">
        <f t="shared" si="0"/>
        <v>115605504</v>
      </c>
      <c r="K19" s="10"/>
      <c r="L19" s="11"/>
      <c r="M19" s="11"/>
      <c r="N19" s="11"/>
      <c r="O19" s="4"/>
      <c r="P19" s="4"/>
      <c r="Q19" s="4"/>
      <c r="R19" s="4"/>
      <c r="S19" s="11"/>
      <c r="T19" s="11"/>
      <c r="U19" s="4"/>
      <c r="V19" s="11"/>
      <c r="W19" s="11"/>
      <c r="X19" s="11"/>
      <c r="Y19" s="11"/>
      <c r="Z19" s="11"/>
      <c r="AA19" s="11"/>
      <c r="AB19" s="11"/>
    </row>
    <row r="20" spans="1:33" ht="15.75" customHeight="1">
      <c r="A20" s="4">
        <v>17</v>
      </c>
      <c r="B20" s="11" t="s">
        <v>37</v>
      </c>
      <c r="C20" s="4">
        <f t="shared" si="1"/>
        <v>28</v>
      </c>
      <c r="D20" s="4">
        <f t="shared" si="2"/>
        <v>256</v>
      </c>
      <c r="E20" s="4">
        <v>1</v>
      </c>
      <c r="F20" s="4">
        <v>1</v>
      </c>
      <c r="G20" s="23">
        <v>32</v>
      </c>
      <c r="H20" s="23">
        <f t="shared" si="4"/>
        <v>28</v>
      </c>
      <c r="I20" s="4">
        <f t="shared" si="3"/>
        <v>1</v>
      </c>
      <c r="J20" s="4">
        <f t="shared" si="0"/>
        <v>12845056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1"/>
      <c r="X20" s="11"/>
      <c r="Y20" s="4"/>
      <c r="Z20" s="4"/>
      <c r="AA20" s="4"/>
      <c r="AB20" s="4"/>
    </row>
    <row r="21" spans="1:33" ht="15.75" customHeight="1">
      <c r="A21" s="4">
        <v>18</v>
      </c>
      <c r="B21" s="11" t="s">
        <v>36</v>
      </c>
      <c r="C21" s="4">
        <f t="shared" si="1"/>
        <v>28</v>
      </c>
      <c r="D21" s="4">
        <f t="shared" si="2"/>
        <v>32</v>
      </c>
      <c r="E21" s="4">
        <v>1</v>
      </c>
      <c r="F21" s="4">
        <v>1</v>
      </c>
      <c r="G21" s="22">
        <v>32</v>
      </c>
      <c r="H21" s="22">
        <f>IF(B21="pad", C21+2*F21, IF(B21="pool",_xlfn.FLOOR.MATH((C21-F21+1)/E21), IF(OR(B21="conv",B21="fc"), _xlfn.FLOOR.MATH((C21-F21+1)/E21),C21)))</f>
        <v>30</v>
      </c>
      <c r="I21" s="4">
        <f t="shared" si="3"/>
        <v>1</v>
      </c>
      <c r="J21" s="4">
        <f t="shared" si="0"/>
        <v>0</v>
      </c>
      <c r="K21" s="10">
        <f>J21/SUM(J$4:J$23)*100</f>
        <v>0</v>
      </c>
      <c r="L21" s="4">
        <v>64</v>
      </c>
      <c r="M21" s="4">
        <v>8</v>
      </c>
      <c r="N21" s="4">
        <v>1</v>
      </c>
      <c r="O21" s="4">
        <f>G21/M21</f>
        <v>4</v>
      </c>
      <c r="P21" s="4">
        <f>F21*F21*D21*G21/(L21*M21)</f>
        <v>2</v>
      </c>
      <c r="Q21" s="4">
        <f>2*L21*M21*N21</f>
        <v>1024</v>
      </c>
      <c r="R21" s="4">
        <f>J21/(Q21*I21)</f>
        <v>0</v>
      </c>
      <c r="S21" s="4">
        <f>F21*F21*D21</f>
        <v>32</v>
      </c>
      <c r="T21" s="4">
        <f>G21</f>
        <v>32</v>
      </c>
      <c r="U21" s="4">
        <f t="shared" ref="U21:V24" si="5">S21/L21</f>
        <v>0.5</v>
      </c>
      <c r="V21" s="4">
        <f t="shared" si="5"/>
        <v>4</v>
      </c>
      <c r="W21" s="11"/>
      <c r="X21" s="11"/>
      <c r="Y21" s="4">
        <f>D21*F21*F21*G21</f>
        <v>1024</v>
      </c>
      <c r="Z21" s="4">
        <f>S21*T21</f>
        <v>1024</v>
      </c>
      <c r="AA21" s="4">
        <v>2</v>
      </c>
      <c r="AB21" s="4">
        <v>1</v>
      </c>
      <c r="AC21" s="12">
        <v>6</v>
      </c>
      <c r="AD21" s="20">
        <f>AC21*L21*M21*N21</f>
        <v>3072</v>
      </c>
      <c r="AE21" s="20" t="e">
        <f>1000000*$H$1/MAX(R21,W21)</f>
        <v>#DIV/0!</v>
      </c>
      <c r="AF21" s="20">
        <f>CEILING(Z21*AB21/18000,1) *M21</f>
        <v>8</v>
      </c>
      <c r="AG21" s="20">
        <f>Z21*M$1*AB21*H21*H21/(1024*1024*1024)</f>
        <v>4.6311522559296323</v>
      </c>
    </row>
    <row r="22" spans="1:33" ht="15.75" customHeight="1">
      <c r="A22" s="4">
        <v>19</v>
      </c>
      <c r="B22" s="11" t="s">
        <v>37</v>
      </c>
      <c r="C22" s="4">
        <f t="shared" si="1"/>
        <v>30</v>
      </c>
      <c r="D22" s="4">
        <f t="shared" si="2"/>
        <v>32</v>
      </c>
      <c r="E22" s="4">
        <v>1</v>
      </c>
      <c r="F22" s="4">
        <v>3</v>
      </c>
      <c r="G22" s="23">
        <v>256</v>
      </c>
      <c r="H22" s="23">
        <f>IF(B22="pad", C22+2*F22, IF(B22="pool",_xlfn.FLOOR.MATH((C22-F22+1)/E22), IF(OR(B22="conv",B22="fc"), _xlfn.FLOOR.MATH((C22-F22+1)/E22),C22)))</f>
        <v>28</v>
      </c>
      <c r="I22" s="4">
        <f t="shared" si="3"/>
        <v>1</v>
      </c>
      <c r="J22" s="4">
        <f t="shared" si="0"/>
        <v>115605504</v>
      </c>
      <c r="K22" s="10">
        <f>J22/SUM(J$4:J$23)*100</f>
        <v>17.602125777559724</v>
      </c>
      <c r="L22" s="4">
        <v>64</v>
      </c>
      <c r="M22" s="4">
        <v>4</v>
      </c>
      <c r="N22" s="4">
        <v>1</v>
      </c>
      <c r="O22" s="4">
        <f>G22/M22</f>
        <v>64</v>
      </c>
      <c r="P22" s="4">
        <f>F22*F22*D22*G22/(L22*M22)</f>
        <v>288</v>
      </c>
      <c r="Q22" s="4">
        <f>2*L22*M22*N22</f>
        <v>512</v>
      </c>
      <c r="R22" s="4">
        <f>J22/(Q22*I22)</f>
        <v>225792</v>
      </c>
      <c r="S22" s="4">
        <f>F22*F22*D22</f>
        <v>288</v>
      </c>
      <c r="T22" s="4">
        <f>G22</f>
        <v>256</v>
      </c>
      <c r="U22" s="4">
        <f t="shared" si="5"/>
        <v>4.5</v>
      </c>
      <c r="V22" s="4">
        <f t="shared" si="5"/>
        <v>64</v>
      </c>
      <c r="W22" s="11"/>
      <c r="X22" s="11"/>
      <c r="Y22" s="4">
        <f>D22*F22*F22*G22</f>
        <v>73728</v>
      </c>
      <c r="Z22" s="4">
        <f>S22*T22</f>
        <v>73728</v>
      </c>
      <c r="AA22" s="4">
        <v>2</v>
      </c>
      <c r="AB22" s="4">
        <v>1</v>
      </c>
      <c r="AC22" s="12">
        <v>6</v>
      </c>
      <c r="AD22" s="20">
        <f>AC22*L22*M22*N22</f>
        <v>1536</v>
      </c>
      <c r="AE22" s="20">
        <f>1000000*$H$1/MAX(R22,W22)</f>
        <v>1328.656462585034</v>
      </c>
      <c r="AF22" s="20">
        <f>CEILING(Z22*AB22/18000,1) *M22</f>
        <v>20</v>
      </c>
      <c r="AG22" s="20">
        <f>Z22*M$1*AB22*H22*H22/(1024*1024*1024)</f>
        <v>290.46586949190652</v>
      </c>
    </row>
    <row r="23" spans="1:33" ht="15.75" customHeight="1">
      <c r="A23" s="4">
        <v>20</v>
      </c>
      <c r="B23" s="11" t="s">
        <v>39</v>
      </c>
      <c r="C23" s="4">
        <f t="shared" si="1"/>
        <v>28</v>
      </c>
      <c r="D23" s="4">
        <f t="shared" si="2"/>
        <v>256</v>
      </c>
      <c r="E23" s="4">
        <v>2</v>
      </c>
      <c r="F23" s="4">
        <v>2</v>
      </c>
      <c r="G23" s="23">
        <v>256</v>
      </c>
      <c r="H23" s="23">
        <v>14</v>
      </c>
      <c r="I23" s="4">
        <f t="shared" si="3"/>
        <v>1</v>
      </c>
      <c r="J23" s="4">
        <f t="shared" si="0"/>
        <v>784</v>
      </c>
      <c r="K23" s="10">
        <f>J23/SUM(J$4:J$23)*100</f>
        <v>1.1937205524061228E-4</v>
      </c>
      <c r="L23" s="4">
        <v>8</v>
      </c>
      <c r="M23" s="4">
        <v>8</v>
      </c>
      <c r="N23" s="4">
        <v>1</v>
      </c>
      <c r="O23" s="4">
        <f>G23/M23</f>
        <v>32</v>
      </c>
      <c r="P23" s="4">
        <f>F23*F23*D23*G23/(L23*M23)</f>
        <v>4096</v>
      </c>
      <c r="Q23" s="4">
        <f>2*L23*M23*N23</f>
        <v>128</v>
      </c>
      <c r="R23" s="4">
        <f>J23/(Q23*I23)</f>
        <v>6.125</v>
      </c>
      <c r="S23" s="4">
        <f>F23*F23*D23</f>
        <v>1024</v>
      </c>
      <c r="T23" s="4">
        <f>G23</f>
        <v>256</v>
      </c>
      <c r="U23" s="4">
        <f t="shared" si="5"/>
        <v>128</v>
      </c>
      <c r="V23" s="4">
        <f t="shared" si="5"/>
        <v>32</v>
      </c>
      <c r="W23" s="11"/>
      <c r="X23" s="11"/>
      <c r="Y23" s="4">
        <f>D23*F23*F23*G23</f>
        <v>262144</v>
      </c>
      <c r="Z23" s="4">
        <f>S23*T23</f>
        <v>262144</v>
      </c>
      <c r="AA23" s="4">
        <v>2</v>
      </c>
      <c r="AB23" s="4">
        <v>4</v>
      </c>
      <c r="AC23" s="12">
        <v>8.5</v>
      </c>
      <c r="AD23" s="20">
        <f>AC23*L23*M23*N23</f>
        <v>544</v>
      </c>
      <c r="AE23" s="20">
        <f>1000000*$H$1/MAX(R23,W23)</f>
        <v>48979591.836734697</v>
      </c>
      <c r="AF23" s="20">
        <f>CEILING(Z23*AB23/18000,1) *M23</f>
        <v>472</v>
      </c>
      <c r="AG23" s="20">
        <f>Z23*M$1*AB23*H23*H23/(1024*1024*1024)</f>
        <v>1032.767535971223</v>
      </c>
    </row>
    <row r="24" spans="1:33" ht="15.75" customHeight="1">
      <c r="A24" s="4">
        <v>21</v>
      </c>
      <c r="B24" s="11" t="s">
        <v>37</v>
      </c>
      <c r="C24" s="4">
        <f t="shared" si="1"/>
        <v>14</v>
      </c>
      <c r="D24" s="4">
        <f t="shared" si="2"/>
        <v>256</v>
      </c>
      <c r="E24" s="4">
        <v>1</v>
      </c>
      <c r="F24" s="4">
        <v>1</v>
      </c>
      <c r="G24" s="23">
        <v>64</v>
      </c>
      <c r="H24" s="23">
        <f>IF(B24="pad", C24+2*F24, IF(B24="pool",_xlfn.FLOOR.MATH((C24-F24+1)/E24), IF(OR(B24="conv",B24="fc"), _xlfn.FLOOR.MATH((C24-F24+1)/E24),C24)))</f>
        <v>14</v>
      </c>
      <c r="I24" s="4">
        <f t="shared" si="3"/>
        <v>1</v>
      </c>
      <c r="J24" s="4">
        <f t="shared" si="0"/>
        <v>6422528</v>
      </c>
      <c r="K24" s="10">
        <f>J24/SUM(J$4:J$23)*100</f>
        <v>0.97789587653109578</v>
      </c>
      <c r="L24" s="4"/>
      <c r="M24" s="4"/>
      <c r="N24" s="4"/>
      <c r="O24" s="4"/>
      <c r="P24" s="4"/>
      <c r="Q24" s="4"/>
      <c r="R24" s="4" t="e">
        <f>J24/(Q24*I24)</f>
        <v>#DIV/0!</v>
      </c>
      <c r="S24" s="4">
        <f>F24*F24*D24</f>
        <v>256</v>
      </c>
      <c r="T24" s="4">
        <f>G24</f>
        <v>64</v>
      </c>
      <c r="U24" s="4" t="e">
        <f t="shared" si="5"/>
        <v>#DIV/0!</v>
      </c>
      <c r="V24" s="4" t="e">
        <f t="shared" si="5"/>
        <v>#DIV/0!</v>
      </c>
      <c r="W24" s="4" t="e">
        <f>C24*C24+(F24*F24*H24*H24)/N24</f>
        <v>#DIV/0!</v>
      </c>
      <c r="X24" s="4">
        <f>F24*F24*H24*H24</f>
        <v>196</v>
      </c>
    </row>
    <row r="25" spans="1:33" ht="15.75" customHeight="1">
      <c r="A25" s="4">
        <v>22</v>
      </c>
      <c r="B25" s="11" t="s">
        <v>36</v>
      </c>
      <c r="C25" s="4">
        <f t="shared" si="1"/>
        <v>14</v>
      </c>
      <c r="D25" s="4">
        <f t="shared" si="2"/>
        <v>64</v>
      </c>
      <c r="E25" s="4">
        <v>1</v>
      </c>
      <c r="F25" s="4">
        <v>1</v>
      </c>
      <c r="G25" s="22">
        <v>64</v>
      </c>
      <c r="H25" s="22">
        <f>IF(B25="pad", C25+2*F25, IF(B25="pool",_xlfn.FLOOR.MATH((C25-F25+1)/E25), IF(OR(B25="conv",B25="fc"), _xlfn.FLOOR.MATH((C25-F25+1)/E25),C25)))</f>
        <v>16</v>
      </c>
      <c r="I25" s="4">
        <f t="shared" si="3"/>
        <v>1</v>
      </c>
      <c r="J25" s="4">
        <f t="shared" si="0"/>
        <v>0</v>
      </c>
      <c r="K25" s="10"/>
      <c r="L25" s="11"/>
      <c r="M25" s="11"/>
      <c r="N25" s="11"/>
      <c r="O25" s="4"/>
      <c r="P25" s="4"/>
      <c r="Q25" s="4"/>
      <c r="R25" s="4"/>
      <c r="S25" s="11"/>
      <c r="T25" s="11"/>
      <c r="U25" s="4"/>
      <c r="V25" s="11"/>
      <c r="W25" s="11"/>
      <c r="X25" s="11"/>
    </row>
    <row r="26" spans="1:33" ht="15.75" customHeight="1">
      <c r="A26" s="4">
        <v>23</v>
      </c>
      <c r="B26" s="11" t="s">
        <v>37</v>
      </c>
      <c r="C26" s="4">
        <f t="shared" si="1"/>
        <v>16</v>
      </c>
      <c r="D26" s="4">
        <f t="shared" si="2"/>
        <v>64</v>
      </c>
      <c r="E26" s="4">
        <v>1</v>
      </c>
      <c r="F26" s="4">
        <v>3</v>
      </c>
      <c r="G26" s="21">
        <v>512</v>
      </c>
      <c r="H26" s="21">
        <f>IF(B26="pad", C26+2*F26, IF(B26="pool",_xlfn.FLOOR.MATH((C26-F26+1)/E26), IF(OR(B26="conv",B26="fc"), _xlfn.FLOOR.MATH((C26-F26+1)/E26),C26)))</f>
        <v>14</v>
      </c>
      <c r="I26" s="4">
        <f t="shared" si="3"/>
        <v>1</v>
      </c>
      <c r="J26" s="4">
        <f t="shared" si="0"/>
        <v>115605504</v>
      </c>
      <c r="K26" s="1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1"/>
      <c r="X26" s="11"/>
      <c r="AD26" s="20">
        <f>SUM(AD4:AD18)</f>
        <v>119064</v>
      </c>
    </row>
    <row r="27" spans="1:33" ht="15.75" customHeight="1">
      <c r="A27" s="4">
        <v>24</v>
      </c>
      <c r="B27" s="11" t="s">
        <v>37</v>
      </c>
      <c r="C27" s="4">
        <f t="shared" ref="C27:C32" si="6">H26</f>
        <v>14</v>
      </c>
      <c r="D27" s="4">
        <f t="shared" ref="D27:D32" si="7">G26</f>
        <v>512</v>
      </c>
      <c r="E27" s="4">
        <v>1</v>
      </c>
      <c r="F27" s="4">
        <v>1</v>
      </c>
      <c r="G27" s="23">
        <v>64</v>
      </c>
      <c r="H27" s="23">
        <f t="shared" ref="H27:H31" si="8">IF(B27="pad", C27+2*F27, IF(B27="pool",_xlfn.FLOOR.MATH((C27-F27+1)/E27), IF(OR(B27="conv",B27="fc"), _xlfn.FLOOR.MATH((C27-F27+1)/E27),C27)))</f>
        <v>14</v>
      </c>
      <c r="I27" s="4">
        <f t="shared" ref="I27:I31" si="9">IF(B26="merge", 1, IF(B26="split", 2, I26))</f>
        <v>1</v>
      </c>
      <c r="J27" s="4">
        <f t="shared" ref="J27:J31" si="10">IF(B27="pad", 0, IF(B27="pool", H27*H27*F27*F27, IF(OR(B27="conv",B27="fc"), I27*2*H27*H27*F27*F27*D27*G27,0)))</f>
        <v>12845056</v>
      </c>
    </row>
    <row r="28" spans="1:33" ht="15.75" customHeight="1">
      <c r="A28" s="4">
        <v>25</v>
      </c>
      <c r="B28" s="11" t="s">
        <v>36</v>
      </c>
      <c r="C28" s="4">
        <f t="shared" si="6"/>
        <v>14</v>
      </c>
      <c r="D28" s="4">
        <f t="shared" si="7"/>
        <v>64</v>
      </c>
      <c r="E28" s="4">
        <v>1</v>
      </c>
      <c r="F28" s="4">
        <v>1</v>
      </c>
      <c r="G28" s="22">
        <v>64</v>
      </c>
      <c r="H28" s="22">
        <f t="shared" si="8"/>
        <v>16</v>
      </c>
      <c r="I28" s="4">
        <f t="shared" si="9"/>
        <v>1</v>
      </c>
      <c r="J28" s="4">
        <f t="shared" si="10"/>
        <v>0</v>
      </c>
    </row>
    <row r="29" spans="1:33" ht="15.75" customHeight="1">
      <c r="A29" s="4">
        <v>26</v>
      </c>
      <c r="B29" s="11" t="s">
        <v>37</v>
      </c>
      <c r="C29" s="4">
        <f t="shared" si="6"/>
        <v>16</v>
      </c>
      <c r="D29" s="4">
        <f t="shared" si="7"/>
        <v>64</v>
      </c>
      <c r="E29" s="4">
        <v>1</v>
      </c>
      <c r="F29" s="4">
        <v>3</v>
      </c>
      <c r="G29" s="23">
        <v>512</v>
      </c>
      <c r="H29" s="23">
        <f t="shared" si="8"/>
        <v>14</v>
      </c>
      <c r="I29" s="4">
        <f t="shared" si="9"/>
        <v>1</v>
      </c>
      <c r="J29" s="4">
        <f t="shared" si="10"/>
        <v>115605504</v>
      </c>
    </row>
    <row r="30" spans="1:33" ht="15.75" customHeight="1">
      <c r="A30" s="4">
        <v>27</v>
      </c>
      <c r="B30" s="11" t="s">
        <v>37</v>
      </c>
      <c r="C30" s="4">
        <f t="shared" si="6"/>
        <v>14</v>
      </c>
      <c r="D30" s="4">
        <f t="shared" si="7"/>
        <v>512</v>
      </c>
      <c r="E30" s="4">
        <v>1</v>
      </c>
      <c r="F30" s="4">
        <v>1</v>
      </c>
      <c r="G30" s="22">
        <v>128</v>
      </c>
      <c r="H30" s="22">
        <f t="shared" si="8"/>
        <v>14</v>
      </c>
      <c r="I30" s="4">
        <f t="shared" si="9"/>
        <v>1</v>
      </c>
      <c r="J30" s="4">
        <f t="shared" si="10"/>
        <v>25690112</v>
      </c>
    </row>
    <row r="31" spans="1:33" ht="15.75" customHeight="1">
      <c r="A31" s="4">
        <v>28</v>
      </c>
      <c r="B31" s="11" t="s">
        <v>37</v>
      </c>
      <c r="C31" s="4">
        <f t="shared" si="6"/>
        <v>14</v>
      </c>
      <c r="D31" s="4">
        <f t="shared" si="7"/>
        <v>128</v>
      </c>
      <c r="E31" s="4">
        <v>1</v>
      </c>
      <c r="F31" s="4">
        <v>1</v>
      </c>
      <c r="G31" s="22">
        <v>1000</v>
      </c>
      <c r="H31" s="22">
        <f t="shared" si="8"/>
        <v>14</v>
      </c>
      <c r="I31" s="4">
        <f t="shared" si="9"/>
        <v>1</v>
      </c>
      <c r="J31" s="4">
        <f t="shared" si="10"/>
        <v>50176000</v>
      </c>
    </row>
    <row r="32" spans="1:33" ht="15.75" customHeight="1">
      <c r="A32" s="4">
        <v>29</v>
      </c>
      <c r="B32" s="11" t="s">
        <v>88</v>
      </c>
      <c r="C32" s="4">
        <f t="shared" si="6"/>
        <v>14</v>
      </c>
      <c r="D32" s="4">
        <f t="shared" si="7"/>
        <v>1000</v>
      </c>
      <c r="E32" s="4"/>
      <c r="F32" s="4"/>
      <c r="G32" s="22"/>
      <c r="H32" s="22"/>
      <c r="I32" s="4"/>
      <c r="J32" s="4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/>
  </sheetViews>
  <sheetFormatPr defaultColWidth="14.42578125" defaultRowHeight="15.75" customHeight="1"/>
  <cols>
    <col min="1" max="1" width="8.7109375" customWidth="1"/>
    <col min="3" max="3" width="6.85546875" customWidth="1"/>
    <col min="4" max="4" width="11.42578125" customWidth="1"/>
    <col min="9" max="9" width="17.42578125" customWidth="1"/>
    <col min="10" max="10" width="24.42578125" customWidth="1"/>
    <col min="25" max="25" width="22.140625" customWidth="1"/>
    <col min="26" max="26" width="16.85546875" customWidth="1"/>
    <col min="27" max="27" width="16.28515625" customWidth="1"/>
    <col min="28" max="28" width="14.42578125" customWidth="1"/>
    <col min="29" max="29" width="19.85546875" customWidth="1"/>
    <col min="30" max="30" width="20.85546875" customWidth="1"/>
    <col min="31" max="33" width="16.42578125" customWidth="1"/>
  </cols>
  <sheetData>
    <row r="1" spans="1:33" ht="15.75" customHeight="1">
      <c r="A1" s="1" t="s">
        <v>0</v>
      </c>
      <c r="B1" s="34" t="s">
        <v>1</v>
      </c>
      <c r="C1" s="35"/>
      <c r="D1" s="35"/>
      <c r="E1" s="35"/>
      <c r="F1" s="35"/>
      <c r="G1" s="1" t="s">
        <v>2</v>
      </c>
      <c r="H1" s="3">
        <v>125</v>
      </c>
      <c r="I1" s="1"/>
      <c r="J1" s="2" t="s">
        <v>3</v>
      </c>
      <c r="K1" s="4">
        <f>MAX(MAX(R4:R20),MAX(W4:W20))</f>
        <v>104976</v>
      </c>
      <c r="L1" s="1" t="s">
        <v>4</v>
      </c>
      <c r="M1" s="4">
        <f>1000000*H1/K1</f>
        <v>1190.7483615302544</v>
      </c>
      <c r="N1" s="5"/>
      <c r="O1" s="5"/>
      <c r="P1" s="5"/>
      <c r="Q1" s="5"/>
      <c r="R1" s="1" t="s">
        <v>5</v>
      </c>
      <c r="S1" s="4">
        <f>SUM(J3:J23)/(C3*C3*D3+G23*2)</f>
        <v>25399.752078306934</v>
      </c>
      <c r="T1" s="5"/>
      <c r="U1" s="5"/>
      <c r="V1" s="5"/>
      <c r="W1" s="5"/>
      <c r="X1" s="5"/>
      <c r="Y1" s="6"/>
      <c r="Z1" s="5"/>
      <c r="AA1" s="5"/>
      <c r="AB1" s="5"/>
    </row>
    <row r="2" spans="1:33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SUM(J3:J113)/1000000 &amp;"M"</f>
        <v>ops, total: 3874.173385M</v>
      </c>
      <c r="K2" s="1" t="s">
        <v>15</v>
      </c>
      <c r="L2" s="1" t="s">
        <v>16</v>
      </c>
      <c r="M2" s="1" t="s">
        <v>17</v>
      </c>
      <c r="N2" s="1" t="s">
        <v>18</v>
      </c>
      <c r="O2" s="2" t="s">
        <v>19</v>
      </c>
      <c r="P2" s="2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7" t="s">
        <v>42</v>
      </c>
      <c r="AD2" s="7" t="s">
        <v>43</v>
      </c>
      <c r="AE2" s="7" t="s">
        <v>33</v>
      </c>
      <c r="AF2" s="7" t="s">
        <v>34</v>
      </c>
      <c r="AG2" s="7" t="s">
        <v>35</v>
      </c>
    </row>
    <row r="3" spans="1:33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4">
        <v>1</v>
      </c>
      <c r="V3" s="5"/>
      <c r="W3" s="5"/>
      <c r="X3" s="5"/>
      <c r="Y3" s="5"/>
      <c r="Z3" s="5"/>
      <c r="AA3" s="5"/>
      <c r="AB3" s="5"/>
    </row>
    <row r="4" spans="1:33" ht="15.75" customHeight="1">
      <c r="A4" s="4">
        <v>1</v>
      </c>
      <c r="B4" s="9" t="s">
        <v>37</v>
      </c>
      <c r="C4" s="4">
        <f t="shared" ref="C4:C20" si="1">H3</f>
        <v>227</v>
      </c>
      <c r="D4" s="4">
        <f>G3</f>
        <v>3</v>
      </c>
      <c r="E4" s="3">
        <v>4</v>
      </c>
      <c r="F4" s="3">
        <v>12</v>
      </c>
      <c r="G4" s="3">
        <v>96</v>
      </c>
      <c r="H4" s="4">
        <f>IF(B4="pad", C4+2*F4, IF(B4="pool", C4/F4, IF(OR(B4="conv",B4="fc"), (C4-F4+1)/E4,C4)))</f>
        <v>54</v>
      </c>
      <c r="I4" s="4">
        <f t="shared" ref="I4:I23" si="2">IF(B3="merge", 1, IF(B3="split", 2, I3))</f>
        <v>1</v>
      </c>
      <c r="J4" s="4">
        <f t="shared" si="0"/>
        <v>241864704</v>
      </c>
      <c r="K4" s="10">
        <f>J4/SUM(J$4:J$23)*100</f>
        <v>6.2430015377331909</v>
      </c>
      <c r="L4" s="3">
        <v>3</v>
      </c>
      <c r="M4" s="3">
        <v>48</v>
      </c>
      <c r="N4" s="3">
        <v>9</v>
      </c>
      <c r="O4" s="4">
        <f>G4/M4</f>
        <v>2</v>
      </c>
      <c r="P4" s="4">
        <f>F4*F4*D4*G4/(L4*M4)</f>
        <v>288</v>
      </c>
      <c r="Q4" s="4">
        <f>2*L4*M4*N4</f>
        <v>2592</v>
      </c>
      <c r="R4" s="4">
        <f>J4/(Q4*I4)</f>
        <v>93312</v>
      </c>
      <c r="S4" s="4">
        <f>F4*F4*D4</f>
        <v>432</v>
      </c>
      <c r="T4" s="4">
        <f>G4</f>
        <v>96</v>
      </c>
      <c r="U4" s="4">
        <f>S4/L4</f>
        <v>144</v>
      </c>
      <c r="V4" s="4">
        <f>T4/M4</f>
        <v>2</v>
      </c>
      <c r="W4" s="4">
        <f>C4*24+(F4*F4*H4*H4)/N4</f>
        <v>52104</v>
      </c>
      <c r="X4" s="4">
        <f>F4*F4*H4*H4/N4</f>
        <v>46656</v>
      </c>
      <c r="Y4" s="4">
        <f>D4*F4*F4*G4</f>
        <v>41472</v>
      </c>
      <c r="Z4" s="4">
        <f>S4*T4</f>
        <v>41472</v>
      </c>
      <c r="AA4" s="3">
        <v>8</v>
      </c>
      <c r="AB4" s="3">
        <v>4</v>
      </c>
      <c r="AC4" s="12">
        <v>25.5</v>
      </c>
      <c r="AD4">
        <f>AC4*L4*M4*N4</f>
        <v>33048</v>
      </c>
      <c r="AE4">
        <f>1000000*$H$1/R4</f>
        <v>1339.5919067215364</v>
      </c>
      <c r="AF4">
        <f>CEILING(Z4*AB4/18000,1) *M4</f>
        <v>480</v>
      </c>
    </row>
    <row r="5" spans="1:33" ht="15.75" customHeight="1">
      <c r="A5" s="4">
        <v>2</v>
      </c>
      <c r="B5" s="8" t="s">
        <v>38</v>
      </c>
      <c r="C5" s="4">
        <f t="shared" si="1"/>
        <v>54</v>
      </c>
      <c r="D5" s="4">
        <f>G4</f>
        <v>96</v>
      </c>
      <c r="E5" s="3">
        <v>1</v>
      </c>
      <c r="F5" s="4">
        <v>1</v>
      </c>
      <c r="G5" s="3">
        <v>48</v>
      </c>
      <c r="H5" s="4">
        <f>IF(B5="pad", C5+2*F5, IF(B5="pool", C5/F5, IF(OR(B5="conv",B5="fc"), (C5-F5+1)/E5,C5)))</f>
        <v>54</v>
      </c>
      <c r="I5" s="4">
        <f t="shared" si="2"/>
        <v>1</v>
      </c>
      <c r="J5" s="4">
        <f t="shared" si="0"/>
        <v>0</v>
      </c>
      <c r="K5" s="10"/>
      <c r="L5" s="5"/>
      <c r="M5" s="5"/>
      <c r="N5" s="5"/>
      <c r="O5" s="4"/>
      <c r="P5" s="4"/>
      <c r="Q5" s="4"/>
      <c r="R5" s="4"/>
      <c r="S5" s="5"/>
      <c r="T5" s="5"/>
      <c r="U5" s="4"/>
      <c r="V5" s="5"/>
      <c r="W5" s="4"/>
      <c r="X5" s="5"/>
      <c r="Y5" s="5"/>
      <c r="Z5" s="5"/>
      <c r="AA5" s="5"/>
      <c r="AB5" s="5"/>
    </row>
    <row r="6" spans="1:33" ht="15.75" customHeight="1">
      <c r="A6" s="4">
        <v>3</v>
      </c>
      <c r="B6" s="8" t="s">
        <v>36</v>
      </c>
      <c r="C6" s="4">
        <f t="shared" si="1"/>
        <v>54</v>
      </c>
      <c r="D6" s="4">
        <f>G5</f>
        <v>48</v>
      </c>
      <c r="E6" s="3">
        <v>1</v>
      </c>
      <c r="F6" s="3">
        <v>2</v>
      </c>
      <c r="G6" s="3">
        <v>48</v>
      </c>
      <c r="H6" s="4">
        <f>IF(B6="pad", C6+2*F6, IF(B6="pool", C6/F6, IF(OR(B6="conv",B6="fc"), (C6-F6+1)/E6,C6)))</f>
        <v>58</v>
      </c>
      <c r="I6" s="4">
        <f t="shared" si="2"/>
        <v>2</v>
      </c>
      <c r="J6" s="4">
        <f t="shared" si="0"/>
        <v>0</v>
      </c>
      <c r="K6" s="10"/>
      <c r="L6" s="4"/>
      <c r="M6" s="4"/>
      <c r="N6" s="3"/>
      <c r="O6" s="4"/>
      <c r="P6" s="4"/>
      <c r="Q6" s="4"/>
      <c r="R6" s="4"/>
      <c r="S6" s="4"/>
      <c r="T6" s="4"/>
      <c r="U6" s="3"/>
      <c r="V6" s="4"/>
      <c r="W6" s="4"/>
      <c r="X6" s="4"/>
      <c r="Y6" s="4"/>
      <c r="Z6" s="4"/>
      <c r="AA6" s="4"/>
      <c r="AB6" s="4"/>
    </row>
    <row r="7" spans="1:33" ht="15.75" customHeight="1">
      <c r="A7" s="4">
        <v>4</v>
      </c>
      <c r="B7" s="9" t="s">
        <v>37</v>
      </c>
      <c r="C7" s="4">
        <f t="shared" si="1"/>
        <v>58</v>
      </c>
      <c r="D7" s="4">
        <f>G5</f>
        <v>48</v>
      </c>
      <c r="E7" s="3">
        <v>1</v>
      </c>
      <c r="F7" s="3">
        <v>5</v>
      </c>
      <c r="G7" s="4">
        <v>128</v>
      </c>
      <c r="H7" s="4">
        <f>IF(B7="pad", C7+2*F7, IF(B7="pool", C7/F7, IF(OR(B7="conv",B7="fc"), (C7-F7+1)/E7,C7)))</f>
        <v>54</v>
      </c>
      <c r="I7" s="4">
        <f t="shared" si="2"/>
        <v>2</v>
      </c>
      <c r="J7" s="4">
        <f t="shared" si="0"/>
        <v>1791590400</v>
      </c>
      <c r="K7" s="10">
        <f>J7/SUM(J$4:J$23)*100</f>
        <v>46.24445583506067</v>
      </c>
      <c r="L7" s="3">
        <v>48</v>
      </c>
      <c r="M7" s="3">
        <v>16</v>
      </c>
      <c r="N7" s="3">
        <v>6</v>
      </c>
      <c r="O7" s="4">
        <f>G7/M7</f>
        <v>8</v>
      </c>
      <c r="P7" s="4">
        <f>F7*F7*D7*G7/(L7*M7)</f>
        <v>200</v>
      </c>
      <c r="Q7" s="4">
        <f>2*L7*M7*N7</f>
        <v>9216</v>
      </c>
      <c r="R7" s="4">
        <f>J7/(Q7*I7)</f>
        <v>97200</v>
      </c>
      <c r="S7" s="4">
        <f>F7*F7*D7</f>
        <v>1200</v>
      </c>
      <c r="T7" s="4">
        <f>G7</f>
        <v>128</v>
      </c>
      <c r="U7" s="4">
        <f>S7/L7</f>
        <v>25</v>
      </c>
      <c r="V7" s="4">
        <f>T7/M7</f>
        <v>8</v>
      </c>
      <c r="W7" s="4">
        <f>C7*C7+(F7*F7*H7*H7)/N7</f>
        <v>15514</v>
      </c>
      <c r="X7" s="4">
        <f>F7*F7*H7*H7</f>
        <v>72900</v>
      </c>
      <c r="Y7" s="4">
        <f>D7*F7*F7*G7</f>
        <v>153600</v>
      </c>
      <c r="Z7" s="4">
        <f>S7*T7*I7</f>
        <v>307200</v>
      </c>
      <c r="AA7" s="3">
        <v>2</v>
      </c>
      <c r="AB7" s="3">
        <v>1</v>
      </c>
      <c r="AC7" s="12">
        <v>6</v>
      </c>
      <c r="AD7">
        <f>AC7*L7*M7*N7</f>
        <v>27648</v>
      </c>
      <c r="AE7">
        <f>1000000*$H$1/MAX(R7,W7)</f>
        <v>1286.008230452675</v>
      </c>
      <c r="AF7">
        <f>CEILING(Z7*AB7/18000,1) *M7</f>
        <v>288</v>
      </c>
    </row>
    <row r="8" spans="1:33" ht="15.75" customHeight="1">
      <c r="A8" s="4">
        <v>5</v>
      </c>
      <c r="B8" s="9" t="s">
        <v>39</v>
      </c>
      <c r="C8" s="4">
        <f t="shared" si="1"/>
        <v>54</v>
      </c>
      <c r="D8" s="4">
        <f t="shared" ref="D8:D20" si="3">G7</f>
        <v>128</v>
      </c>
      <c r="E8" s="3">
        <v>2</v>
      </c>
      <c r="F8" s="3">
        <v>3</v>
      </c>
      <c r="G8" s="4">
        <v>128</v>
      </c>
      <c r="H8" s="4">
        <f t="shared" ref="H8:H18" si="4">IF(B8="pad", C8+2*F8, IF(B8="pool", C8/E8, IF(OR(B8="conv",B8="fc"), (C8-F8+1)/E8,C8)))</f>
        <v>27</v>
      </c>
      <c r="I8" s="4">
        <f t="shared" si="2"/>
        <v>2</v>
      </c>
      <c r="J8" s="4">
        <f t="shared" si="0"/>
        <v>6561</v>
      </c>
      <c r="K8" s="10"/>
      <c r="L8" s="5"/>
      <c r="M8" s="5"/>
      <c r="N8" s="5"/>
      <c r="O8" s="4"/>
      <c r="P8" s="4"/>
      <c r="Q8" s="4"/>
      <c r="R8" s="4"/>
      <c r="S8" s="5"/>
      <c r="T8" s="5"/>
      <c r="U8" s="4"/>
      <c r="V8" s="5"/>
      <c r="W8" s="4"/>
      <c r="X8" s="5"/>
      <c r="Y8" s="5"/>
      <c r="Z8" s="4"/>
      <c r="AA8" s="5"/>
      <c r="AB8" s="5"/>
    </row>
    <row r="9" spans="1:33" ht="15.75" customHeight="1">
      <c r="A9" s="4">
        <v>6</v>
      </c>
      <c r="B9" s="8" t="s">
        <v>40</v>
      </c>
      <c r="C9" s="4">
        <f t="shared" si="1"/>
        <v>27</v>
      </c>
      <c r="D9" s="4">
        <f t="shared" si="3"/>
        <v>128</v>
      </c>
      <c r="E9" s="3">
        <v>1</v>
      </c>
      <c r="F9" s="4">
        <v>1</v>
      </c>
      <c r="G9" s="3">
        <v>256</v>
      </c>
      <c r="H9" s="4">
        <f t="shared" si="4"/>
        <v>27</v>
      </c>
      <c r="I9" s="4">
        <f t="shared" si="2"/>
        <v>2</v>
      </c>
      <c r="J9" s="4">
        <f t="shared" si="0"/>
        <v>0</v>
      </c>
      <c r="K9" s="10"/>
      <c r="L9" s="5"/>
      <c r="M9" s="5"/>
      <c r="N9" s="5"/>
      <c r="O9" s="4"/>
      <c r="P9" s="4"/>
      <c r="Q9" s="4"/>
      <c r="R9" s="4"/>
      <c r="S9" s="5"/>
      <c r="T9" s="5"/>
      <c r="U9" s="4"/>
      <c r="V9" s="5"/>
      <c r="W9" s="4"/>
      <c r="X9" s="5"/>
      <c r="Y9" s="5"/>
      <c r="Z9" s="4"/>
      <c r="AA9" s="5"/>
      <c r="AB9" s="5"/>
    </row>
    <row r="10" spans="1:33" ht="15.75" customHeight="1">
      <c r="A10" s="4">
        <v>7</v>
      </c>
      <c r="B10" s="8" t="s">
        <v>36</v>
      </c>
      <c r="C10" s="4">
        <f t="shared" si="1"/>
        <v>27</v>
      </c>
      <c r="D10" s="4">
        <f t="shared" si="3"/>
        <v>256</v>
      </c>
      <c r="E10" s="3">
        <v>1</v>
      </c>
      <c r="F10" s="3">
        <v>1</v>
      </c>
      <c r="G10" s="3">
        <v>256</v>
      </c>
      <c r="H10" s="4">
        <f t="shared" si="4"/>
        <v>29</v>
      </c>
      <c r="I10" s="4">
        <f t="shared" si="2"/>
        <v>1</v>
      </c>
      <c r="J10" s="4"/>
      <c r="K10" s="10"/>
      <c r="L10" s="4"/>
      <c r="M10" s="4"/>
      <c r="N10" s="3"/>
      <c r="O10" s="4"/>
      <c r="P10" s="4"/>
      <c r="Q10" s="4"/>
      <c r="R10" s="4"/>
      <c r="S10" s="4"/>
      <c r="T10" s="4"/>
      <c r="U10" s="3"/>
      <c r="V10" s="4"/>
      <c r="W10" s="4"/>
      <c r="X10" s="4"/>
      <c r="Y10" s="4"/>
      <c r="Z10" s="4"/>
      <c r="AA10" s="4"/>
      <c r="AB10" s="4"/>
    </row>
    <row r="11" spans="1:33" ht="15.75" customHeight="1">
      <c r="A11" s="4">
        <v>8</v>
      </c>
      <c r="B11" s="9" t="s">
        <v>37</v>
      </c>
      <c r="C11" s="4">
        <f t="shared" si="1"/>
        <v>29</v>
      </c>
      <c r="D11" s="4">
        <f t="shared" si="3"/>
        <v>256</v>
      </c>
      <c r="E11" s="3">
        <v>1</v>
      </c>
      <c r="F11" s="4">
        <v>3</v>
      </c>
      <c r="G11" s="3">
        <v>384</v>
      </c>
      <c r="H11" s="4">
        <f t="shared" si="4"/>
        <v>27</v>
      </c>
      <c r="I11" s="4">
        <f t="shared" si="2"/>
        <v>1</v>
      </c>
      <c r="J11" s="4">
        <f t="shared" ref="J11:J23" si="5">IF(B11="pad", 0, IF(B11="pool", H11*H11*F11*F11, IF(OR(B11="conv",B11="fc"), I11*2*H11*H11*F11*F11*D11*G11,0)))</f>
        <v>1289945088</v>
      </c>
      <c r="K11" s="10">
        <f>J11/SUM(J$4:J$23)*100</f>
        <v>33.29600820124368</v>
      </c>
      <c r="L11" s="3">
        <v>64</v>
      </c>
      <c r="M11" s="3">
        <v>32</v>
      </c>
      <c r="N11" s="3">
        <v>3</v>
      </c>
      <c r="O11" s="4">
        <f>G11/M11</f>
        <v>12</v>
      </c>
      <c r="P11" s="4">
        <f>F11*F11*D11*G11/(L11*M11)</f>
        <v>432</v>
      </c>
      <c r="Q11" s="4">
        <f>2*L11*M11*N11</f>
        <v>12288</v>
      </c>
      <c r="R11" s="4">
        <f>J11/(Q11*I11)</f>
        <v>104976</v>
      </c>
      <c r="S11" s="4">
        <f>F11*F11*D11</f>
        <v>2304</v>
      </c>
      <c r="T11" s="4">
        <f>G11</f>
        <v>384</v>
      </c>
      <c r="U11" s="4">
        <f>S11/L11</f>
        <v>36</v>
      </c>
      <c r="V11" s="4">
        <f>T11/M11</f>
        <v>12</v>
      </c>
      <c r="W11" s="4">
        <f>C11*C11+(F11*F11*H11*H11)/N11</f>
        <v>3028</v>
      </c>
      <c r="X11" s="4">
        <f>F11*F11*H11*H11</f>
        <v>6561</v>
      </c>
      <c r="Y11" s="4">
        <f>D11*F11*F11*G11</f>
        <v>884736</v>
      </c>
      <c r="Z11" s="4">
        <f>S11*T11*I11</f>
        <v>884736</v>
      </c>
      <c r="AA11" s="3">
        <v>2</v>
      </c>
      <c r="AB11" s="3">
        <v>1</v>
      </c>
      <c r="AC11" s="12">
        <v>6</v>
      </c>
      <c r="AD11">
        <f>AC11*L11*M11*N11</f>
        <v>36864</v>
      </c>
      <c r="AE11">
        <f>1000000*$H$1/MAX(R11,W11)</f>
        <v>1190.7483615302544</v>
      </c>
      <c r="AF11">
        <f>CEILING(Z11*AB11/18000,1) *M11</f>
        <v>1600</v>
      </c>
    </row>
    <row r="12" spans="1:33" ht="15.75" customHeight="1">
      <c r="A12" s="4">
        <v>9</v>
      </c>
      <c r="B12" s="9" t="s">
        <v>36</v>
      </c>
      <c r="C12" s="4">
        <f t="shared" si="1"/>
        <v>27</v>
      </c>
      <c r="D12" s="4">
        <f t="shared" si="3"/>
        <v>384</v>
      </c>
      <c r="E12" s="3">
        <v>1</v>
      </c>
      <c r="F12" s="3">
        <v>0.5</v>
      </c>
      <c r="G12" s="3">
        <v>384</v>
      </c>
      <c r="H12" s="4">
        <f t="shared" si="4"/>
        <v>28</v>
      </c>
      <c r="I12" s="4">
        <f t="shared" si="2"/>
        <v>1</v>
      </c>
      <c r="J12" s="4">
        <f t="shared" si="5"/>
        <v>0</v>
      </c>
      <c r="K12" s="10"/>
      <c r="L12" s="5"/>
      <c r="M12" s="5"/>
      <c r="N12" s="5"/>
      <c r="O12" s="4"/>
      <c r="P12" s="4"/>
      <c r="Q12" s="4"/>
      <c r="R12" s="4"/>
      <c r="S12" s="5"/>
      <c r="T12" s="5"/>
      <c r="U12" s="4"/>
      <c r="V12" s="5"/>
      <c r="W12" s="4"/>
      <c r="X12" s="5"/>
      <c r="Y12" s="5"/>
      <c r="Z12" s="4"/>
      <c r="AA12" s="5"/>
      <c r="AB12" s="5"/>
    </row>
    <row r="13" spans="1:33" ht="15.75" customHeight="1">
      <c r="A13" s="4">
        <v>10</v>
      </c>
      <c r="B13" s="9" t="s">
        <v>39</v>
      </c>
      <c r="C13" s="4">
        <f t="shared" si="1"/>
        <v>28</v>
      </c>
      <c r="D13" s="4">
        <f t="shared" si="3"/>
        <v>384</v>
      </c>
      <c r="E13" s="3">
        <v>2</v>
      </c>
      <c r="F13" s="3">
        <v>3</v>
      </c>
      <c r="G13" s="3">
        <v>384</v>
      </c>
      <c r="H13" s="4">
        <f t="shared" si="4"/>
        <v>14</v>
      </c>
      <c r="I13" s="4">
        <f t="shared" si="2"/>
        <v>1</v>
      </c>
      <c r="J13" s="4">
        <f t="shared" si="5"/>
        <v>1764</v>
      </c>
      <c r="K13" s="10"/>
      <c r="L13" s="5"/>
      <c r="M13" s="5"/>
      <c r="N13" s="5"/>
      <c r="O13" s="4"/>
      <c r="P13" s="4"/>
      <c r="Q13" s="4"/>
      <c r="R13" s="4"/>
      <c r="S13" s="5"/>
      <c r="T13" s="5"/>
      <c r="U13" s="4"/>
      <c r="V13" s="5"/>
      <c r="W13" s="4"/>
      <c r="X13" s="5"/>
      <c r="Y13" s="5"/>
      <c r="Z13" s="4"/>
      <c r="AA13" s="5"/>
      <c r="AB13" s="5"/>
    </row>
    <row r="14" spans="1:33" ht="15.75" customHeight="1">
      <c r="A14" s="4">
        <v>11</v>
      </c>
      <c r="B14" s="8" t="s">
        <v>38</v>
      </c>
      <c r="C14" s="4">
        <f t="shared" si="1"/>
        <v>14</v>
      </c>
      <c r="D14" s="4">
        <f t="shared" si="3"/>
        <v>384</v>
      </c>
      <c r="E14" s="3">
        <v>1</v>
      </c>
      <c r="F14" s="3">
        <v>1</v>
      </c>
      <c r="G14" s="3">
        <v>192</v>
      </c>
      <c r="H14" s="4">
        <f t="shared" si="4"/>
        <v>14</v>
      </c>
      <c r="I14" s="4">
        <f t="shared" si="2"/>
        <v>1</v>
      </c>
      <c r="J14" s="4">
        <f t="shared" si="5"/>
        <v>0</v>
      </c>
      <c r="K14" s="10"/>
      <c r="L14" s="5"/>
      <c r="M14" s="5"/>
      <c r="N14" s="5"/>
      <c r="O14" s="4"/>
      <c r="P14" s="4"/>
      <c r="Q14" s="4"/>
      <c r="R14" s="4"/>
      <c r="S14" s="5"/>
      <c r="T14" s="5"/>
      <c r="U14" s="4"/>
      <c r="V14" s="5"/>
      <c r="W14" s="4"/>
      <c r="X14" s="5"/>
      <c r="Y14" s="5"/>
      <c r="Z14" s="4"/>
      <c r="AA14" s="5"/>
      <c r="AB14" s="5"/>
    </row>
    <row r="15" spans="1:33" ht="15.75" customHeight="1">
      <c r="A15" s="4">
        <v>12</v>
      </c>
      <c r="B15" s="8" t="s">
        <v>36</v>
      </c>
      <c r="C15" s="4">
        <f t="shared" si="1"/>
        <v>14</v>
      </c>
      <c r="D15" s="4">
        <f t="shared" si="3"/>
        <v>192</v>
      </c>
      <c r="E15" s="3">
        <v>1</v>
      </c>
      <c r="F15" s="4">
        <v>1</v>
      </c>
      <c r="G15" s="3">
        <v>192</v>
      </c>
      <c r="H15" s="4">
        <f t="shared" si="4"/>
        <v>16</v>
      </c>
      <c r="I15" s="4">
        <f t="shared" si="2"/>
        <v>2</v>
      </c>
      <c r="J15" s="4">
        <f t="shared" si="5"/>
        <v>0</v>
      </c>
      <c r="K15" s="10"/>
      <c r="L15" s="5"/>
      <c r="M15" s="5"/>
      <c r="N15" s="5"/>
      <c r="O15" s="4"/>
      <c r="P15" s="4"/>
      <c r="Q15" s="4"/>
      <c r="R15" s="4"/>
      <c r="S15" s="5"/>
      <c r="T15" s="5"/>
      <c r="U15" s="4"/>
      <c r="V15" s="5"/>
      <c r="W15" s="4"/>
      <c r="X15" s="5"/>
      <c r="Y15" s="5"/>
      <c r="Z15" s="4"/>
      <c r="AA15" s="5"/>
      <c r="AB15" s="5"/>
    </row>
    <row r="16" spans="1:33" ht="15.75" customHeight="1">
      <c r="A16" s="4">
        <v>13</v>
      </c>
      <c r="B16" s="9" t="s">
        <v>37</v>
      </c>
      <c r="C16" s="4">
        <f t="shared" si="1"/>
        <v>16</v>
      </c>
      <c r="D16" s="4">
        <f t="shared" si="3"/>
        <v>192</v>
      </c>
      <c r="E16" s="3">
        <v>1</v>
      </c>
      <c r="F16" s="4">
        <v>3</v>
      </c>
      <c r="G16" s="3">
        <v>192</v>
      </c>
      <c r="H16" s="4">
        <f t="shared" si="4"/>
        <v>14</v>
      </c>
      <c r="I16" s="4">
        <f t="shared" si="2"/>
        <v>2</v>
      </c>
      <c r="J16" s="4">
        <f t="shared" si="5"/>
        <v>260112384</v>
      </c>
      <c r="K16" s="10">
        <f>J16/SUM(J$4:J$23)*100</f>
        <v>6.7140098842014009</v>
      </c>
      <c r="L16" s="3">
        <v>32</v>
      </c>
      <c r="M16" s="3">
        <v>16</v>
      </c>
      <c r="N16" s="3">
        <v>2</v>
      </c>
      <c r="O16" s="4">
        <f>G16/M16</f>
        <v>12</v>
      </c>
      <c r="P16" s="4">
        <f>F16*F16*D16*G16/(L16*M16)</f>
        <v>648</v>
      </c>
      <c r="Q16" s="4">
        <f>2*L16*M16*N16</f>
        <v>2048</v>
      </c>
      <c r="R16" s="4">
        <f>J16/(Q16*I16)</f>
        <v>63504</v>
      </c>
      <c r="S16" s="4">
        <f>F16*F16*D16</f>
        <v>1728</v>
      </c>
      <c r="T16" s="4">
        <f>G16</f>
        <v>192</v>
      </c>
      <c r="U16" s="4">
        <f>S16/L16</f>
        <v>54</v>
      </c>
      <c r="V16" s="4">
        <f>T16/M16</f>
        <v>12</v>
      </c>
      <c r="W16" s="4">
        <f>C16*C16+(F16*F16*H16*H16)/N16</f>
        <v>1138</v>
      </c>
      <c r="X16" s="4">
        <f>F16*F16*H16*H16</f>
        <v>1764</v>
      </c>
      <c r="Y16" s="4">
        <f>D16*F16*F16*G16</f>
        <v>331776</v>
      </c>
      <c r="Z16" s="4">
        <f>S16*T16*I16</f>
        <v>663552</v>
      </c>
      <c r="AA16" s="3">
        <v>2</v>
      </c>
      <c r="AB16" s="3">
        <v>1</v>
      </c>
      <c r="AC16" s="12">
        <v>6</v>
      </c>
      <c r="AD16">
        <f>AC16*L16*M16*N16</f>
        <v>6144</v>
      </c>
      <c r="AE16">
        <f>1000000*$H$1/MAX(R16,W16)</f>
        <v>1968.3799445704208</v>
      </c>
      <c r="AF16">
        <f>CEILING(Z16*AB16/18000,1) *M16</f>
        <v>592</v>
      </c>
    </row>
    <row r="17" spans="1:33" ht="15.75" customHeight="1">
      <c r="A17" s="4">
        <v>14</v>
      </c>
      <c r="B17" s="9" t="s">
        <v>36</v>
      </c>
      <c r="C17" s="4">
        <f t="shared" si="1"/>
        <v>14</v>
      </c>
      <c r="D17" s="4">
        <f t="shared" si="3"/>
        <v>192</v>
      </c>
      <c r="E17" s="3">
        <v>1</v>
      </c>
      <c r="F17" s="4">
        <v>1</v>
      </c>
      <c r="G17" s="3">
        <v>192</v>
      </c>
      <c r="H17" s="4">
        <f t="shared" si="4"/>
        <v>16</v>
      </c>
      <c r="I17" s="4">
        <f t="shared" si="2"/>
        <v>2</v>
      </c>
      <c r="J17" s="4">
        <f t="shared" si="5"/>
        <v>0</v>
      </c>
      <c r="K17" s="10"/>
      <c r="L17" s="5"/>
      <c r="M17" s="5"/>
      <c r="N17" s="5"/>
      <c r="O17" s="4"/>
      <c r="P17" s="4"/>
      <c r="Q17" s="4"/>
      <c r="R17" s="4"/>
      <c r="S17" s="5"/>
      <c r="T17" s="5"/>
      <c r="U17" s="4"/>
      <c r="V17" s="5"/>
      <c r="W17" s="4"/>
      <c r="X17" s="5"/>
      <c r="Y17" s="5"/>
      <c r="Z17" s="4"/>
      <c r="AA17" s="5"/>
      <c r="AB17" s="5"/>
    </row>
    <row r="18" spans="1:33" ht="15.75" customHeight="1">
      <c r="A18" s="4">
        <v>15</v>
      </c>
      <c r="B18" s="9" t="s">
        <v>37</v>
      </c>
      <c r="C18" s="4">
        <f t="shared" si="1"/>
        <v>16</v>
      </c>
      <c r="D18" s="4">
        <f t="shared" si="3"/>
        <v>192</v>
      </c>
      <c r="E18" s="3">
        <v>1</v>
      </c>
      <c r="F18" s="4">
        <v>3</v>
      </c>
      <c r="G18" s="3">
        <v>128</v>
      </c>
      <c r="H18" s="4">
        <f t="shared" si="4"/>
        <v>14</v>
      </c>
      <c r="I18" s="4">
        <f t="shared" si="2"/>
        <v>2</v>
      </c>
      <c r="J18" s="4">
        <f t="shared" si="5"/>
        <v>173408256</v>
      </c>
      <c r="K18" s="10">
        <f>J18/SUM(J$4:J$23)*100</f>
        <v>4.4760065894676009</v>
      </c>
      <c r="L18" s="3">
        <v>32</v>
      </c>
      <c r="M18" s="3">
        <v>8</v>
      </c>
      <c r="N18" s="3">
        <v>2</v>
      </c>
      <c r="O18" s="4">
        <f>G18/M18</f>
        <v>16</v>
      </c>
      <c r="P18" s="4">
        <f>F18*F18*D18*G18/(L18*M18)</f>
        <v>864</v>
      </c>
      <c r="Q18" s="4">
        <f>2*L18*M18*N18</f>
        <v>1024</v>
      </c>
      <c r="R18" s="4">
        <f>J18/(Q18*I18)</f>
        <v>84672</v>
      </c>
      <c r="S18" s="4">
        <f>F18*F18*D18</f>
        <v>1728</v>
      </c>
      <c r="T18" s="4">
        <f>G18</f>
        <v>128</v>
      </c>
      <c r="U18" s="4">
        <f>S18/L18</f>
        <v>54</v>
      </c>
      <c r="V18" s="4">
        <f>T18/M18</f>
        <v>16</v>
      </c>
      <c r="W18" s="4">
        <f>C18*C18+(F18*F18*H18*H18)/N18</f>
        <v>1138</v>
      </c>
      <c r="X18" s="4">
        <f>F18*F18*H18*H18</f>
        <v>1764</v>
      </c>
      <c r="Y18" s="4">
        <f>D18*F18*F18*G18</f>
        <v>221184</v>
      </c>
      <c r="Z18" s="4">
        <f>S18*T18*I18</f>
        <v>442368</v>
      </c>
      <c r="AA18" s="3">
        <v>2</v>
      </c>
      <c r="AB18" s="3">
        <v>1</v>
      </c>
      <c r="AC18" s="12">
        <v>6</v>
      </c>
      <c r="AD18">
        <f>AC18*L18*M18*N18</f>
        <v>3072</v>
      </c>
      <c r="AE18">
        <f>1000000*$H$1/MAX(R18,W18)</f>
        <v>1476.2849584278156</v>
      </c>
      <c r="AF18">
        <f>CEILING(Z18*AB18/18000,1) *M18</f>
        <v>200</v>
      </c>
    </row>
    <row r="19" spans="1:33" ht="15.75" customHeight="1">
      <c r="A19" s="4">
        <v>16</v>
      </c>
      <c r="B19" s="9" t="s">
        <v>39</v>
      </c>
      <c r="C19" s="4">
        <f t="shared" si="1"/>
        <v>14</v>
      </c>
      <c r="D19" s="4">
        <f t="shared" si="3"/>
        <v>128</v>
      </c>
      <c r="E19" s="3">
        <v>2</v>
      </c>
      <c r="F19" s="3">
        <v>3</v>
      </c>
      <c r="G19" s="3">
        <v>128</v>
      </c>
      <c r="H19" s="3">
        <v>6</v>
      </c>
      <c r="I19" s="4">
        <f t="shared" si="2"/>
        <v>2</v>
      </c>
      <c r="J19" s="4">
        <f t="shared" si="5"/>
        <v>324</v>
      </c>
      <c r="K19" s="10"/>
      <c r="L19" s="5"/>
      <c r="M19" s="5"/>
      <c r="N19" s="5"/>
      <c r="O19" s="4"/>
      <c r="P19" s="4"/>
      <c r="Q19" s="4"/>
      <c r="R19" s="4"/>
      <c r="S19" s="5"/>
      <c r="T19" s="5"/>
      <c r="U19" s="4"/>
      <c r="V19" s="5"/>
      <c r="W19" s="5"/>
      <c r="X19" s="5"/>
      <c r="Y19" s="5"/>
      <c r="Z19" s="5"/>
      <c r="AA19" s="11"/>
      <c r="AB19" s="5"/>
    </row>
    <row r="20" spans="1:33" ht="15.75" customHeight="1">
      <c r="A20" s="4">
        <v>17</v>
      </c>
      <c r="B20" s="8" t="s">
        <v>40</v>
      </c>
      <c r="C20" s="4">
        <f t="shared" si="1"/>
        <v>6</v>
      </c>
      <c r="D20" s="4">
        <f t="shared" si="3"/>
        <v>128</v>
      </c>
      <c r="E20" s="3">
        <v>1</v>
      </c>
      <c r="F20" s="3">
        <v>1</v>
      </c>
      <c r="G20" s="3">
        <v>256</v>
      </c>
      <c r="H20" s="4">
        <f>IF(B20="pad", C20+2*F20, IF(B20="pool", C20/E20, IF(OR(B20="conv",B20="fc"), (C20-F20+1)/E20,C20)))</f>
        <v>6</v>
      </c>
      <c r="I20" s="4">
        <f t="shared" si="2"/>
        <v>2</v>
      </c>
      <c r="J20" s="4">
        <f t="shared" si="5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4"/>
      <c r="Z20" s="4"/>
      <c r="AA20" s="4"/>
      <c r="AB20" s="4"/>
    </row>
    <row r="21" spans="1:33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>
        <v>4096</v>
      </c>
      <c r="H21" s="3">
        <v>1</v>
      </c>
      <c r="I21" s="4">
        <f t="shared" si="2"/>
        <v>1</v>
      </c>
      <c r="J21" s="4">
        <f t="shared" si="5"/>
        <v>75497472</v>
      </c>
      <c r="K21" s="10">
        <f>J21/SUM(J$4:J$23)*100</f>
        <v>1.9487375627614045</v>
      </c>
      <c r="L21" s="3">
        <v>64</v>
      </c>
      <c r="M21" s="3">
        <v>8</v>
      </c>
      <c r="N21" s="4">
        <v>1</v>
      </c>
      <c r="O21" s="4">
        <f>G21/M21</f>
        <v>512</v>
      </c>
      <c r="P21" s="4">
        <f>F21*F21*D21*G21/(L21*M21)</f>
        <v>73728</v>
      </c>
      <c r="Q21" s="4">
        <f>2*L21*M21*N21</f>
        <v>1024</v>
      </c>
      <c r="R21" s="4">
        <f>J21/(Q21*I21)</f>
        <v>73728</v>
      </c>
      <c r="S21" s="4">
        <f>F21*F21*D21</f>
        <v>9216</v>
      </c>
      <c r="T21" s="4">
        <f>G21</f>
        <v>4096</v>
      </c>
      <c r="U21" s="4">
        <f t="shared" ref="U21:V23" si="6">S21/L21</f>
        <v>144</v>
      </c>
      <c r="V21" s="4">
        <f t="shared" si="6"/>
        <v>512</v>
      </c>
      <c r="W21" s="5"/>
      <c r="X21" s="5"/>
      <c r="Y21" s="4">
        <f>D21*F21*F21*G21</f>
        <v>37748736</v>
      </c>
      <c r="Z21" s="4">
        <f>S21*T21</f>
        <v>37748736</v>
      </c>
      <c r="AA21" s="3">
        <v>2</v>
      </c>
      <c r="AB21" s="3">
        <v>1</v>
      </c>
      <c r="AC21" s="12">
        <v>6</v>
      </c>
      <c r="AD21">
        <f>AC21*L21*M21*N21</f>
        <v>3072</v>
      </c>
      <c r="AE21">
        <f>1000000*$H$1/MAX(R21,W21)</f>
        <v>1695.4210069444443</v>
      </c>
      <c r="AF21">
        <f>CEILING(Z21*AB21/18000,1) *M21</f>
        <v>16784</v>
      </c>
      <c r="AG21">
        <f>Z21*M$1*AB21*H21*H21/(1024*1024*1024)</f>
        <v>41.862247085048011</v>
      </c>
    </row>
    <row r="22" spans="1:33" ht="15.75" customHeight="1">
      <c r="A22" s="4">
        <v>19</v>
      </c>
      <c r="B22" s="9" t="s">
        <v>41</v>
      </c>
      <c r="C22" s="4">
        <f>H21</f>
        <v>1</v>
      </c>
      <c r="D22" s="4">
        <f>G21</f>
        <v>4096</v>
      </c>
      <c r="E22" s="3">
        <v>1</v>
      </c>
      <c r="F22" s="4">
        <v>1</v>
      </c>
      <c r="G22" s="3">
        <v>4096</v>
      </c>
      <c r="H22" s="4">
        <f>IF(B22="pad", C22+2*F22, IF(B22="pool", C22/E22, IF(OR(B22="conv",B22="fc"), (C22-F22+1)/E22,C22)))</f>
        <v>1</v>
      </c>
      <c r="I22" s="4">
        <f t="shared" si="2"/>
        <v>1</v>
      </c>
      <c r="J22" s="4">
        <f t="shared" si="5"/>
        <v>33554432</v>
      </c>
      <c r="K22" s="10">
        <f>J22/SUM(J$4:J$23)*100</f>
        <v>0.86610558344951305</v>
      </c>
      <c r="L22" s="3">
        <v>64</v>
      </c>
      <c r="M22" s="3">
        <v>4</v>
      </c>
      <c r="N22" s="4">
        <v>1</v>
      </c>
      <c r="O22" s="4">
        <f>G22/M22</f>
        <v>1024</v>
      </c>
      <c r="P22" s="4">
        <f>F22*F22*D22*G22/(L22*M22)</f>
        <v>65536</v>
      </c>
      <c r="Q22" s="4">
        <f>2*L22*M22*N22</f>
        <v>512</v>
      </c>
      <c r="R22" s="4">
        <f>J22/(Q22*I22)</f>
        <v>65536</v>
      </c>
      <c r="S22" s="4">
        <f>F22*F22*D22</f>
        <v>4096</v>
      </c>
      <c r="T22" s="4">
        <f>G22</f>
        <v>4096</v>
      </c>
      <c r="U22" s="4">
        <f t="shared" si="6"/>
        <v>64</v>
      </c>
      <c r="V22" s="4">
        <f t="shared" si="6"/>
        <v>1024</v>
      </c>
      <c r="W22" s="5"/>
      <c r="X22" s="5"/>
      <c r="Y22" s="4">
        <f>D22*F22*F22*G22</f>
        <v>16777216</v>
      </c>
      <c r="Z22" s="4">
        <f>S22*T22</f>
        <v>16777216</v>
      </c>
      <c r="AA22" s="3">
        <v>2</v>
      </c>
      <c r="AB22" s="3">
        <v>1</v>
      </c>
      <c r="AC22" s="12">
        <v>6</v>
      </c>
      <c r="AD22">
        <f>AC22*L22*M22*N22</f>
        <v>1536</v>
      </c>
      <c r="AE22">
        <f>1000000*$H$1/MAX(R22,W22)</f>
        <v>1907.3486328125</v>
      </c>
      <c r="AF22">
        <f>CEILING(Z22*AB22/18000,1) *M22</f>
        <v>3732</v>
      </c>
      <c r="AG22">
        <f>Z22*M$1*AB22*H22*H22/(1024*1024*1024)</f>
        <v>18.605443148910226</v>
      </c>
    </row>
    <row r="23" spans="1:33" ht="15.75" customHeight="1">
      <c r="A23" s="4">
        <v>20</v>
      </c>
      <c r="B23" s="9" t="s">
        <v>41</v>
      </c>
      <c r="C23" s="4">
        <f>H22</f>
        <v>1</v>
      </c>
      <c r="D23" s="4">
        <f>G22</f>
        <v>4096</v>
      </c>
      <c r="E23" s="3">
        <v>1</v>
      </c>
      <c r="F23" s="4">
        <v>1</v>
      </c>
      <c r="G23" s="3">
        <v>1000</v>
      </c>
      <c r="H23" s="4">
        <f>IF(B23="pad", C23+2*F23, IF(B23="pool", C23/E23, IF(OR(B23="conv",B23="fc"), (C23-F23+1)/E23,C23)))</f>
        <v>1</v>
      </c>
      <c r="I23" s="4">
        <f t="shared" si="2"/>
        <v>1</v>
      </c>
      <c r="J23" s="4">
        <f t="shared" si="5"/>
        <v>8192000</v>
      </c>
      <c r="K23" s="10">
        <f>J23/SUM(J$4:J$23)*100</f>
        <v>0.21145155845935376</v>
      </c>
      <c r="L23" s="3">
        <v>8</v>
      </c>
      <c r="M23" s="3">
        <v>8</v>
      </c>
      <c r="N23" s="4">
        <v>1</v>
      </c>
      <c r="O23" s="4">
        <f>G23/M23</f>
        <v>125</v>
      </c>
      <c r="P23" s="4">
        <f>F23*F23*D23*G23/(L23*M23)</f>
        <v>64000</v>
      </c>
      <c r="Q23" s="4">
        <f>2*L23*M23*N23</f>
        <v>128</v>
      </c>
      <c r="R23" s="4">
        <f>J23/(Q23*I23)</f>
        <v>64000</v>
      </c>
      <c r="S23" s="4">
        <f>F23*F23*D23</f>
        <v>4096</v>
      </c>
      <c r="T23" s="4">
        <f>G23</f>
        <v>1000</v>
      </c>
      <c r="U23" s="4">
        <f t="shared" si="6"/>
        <v>512</v>
      </c>
      <c r="V23" s="4">
        <f t="shared" si="6"/>
        <v>125</v>
      </c>
      <c r="W23" s="5"/>
      <c r="X23" s="5"/>
      <c r="Y23" s="4">
        <f>D23*F23*F23*G23</f>
        <v>4096000</v>
      </c>
      <c r="Z23" s="4">
        <f>S23*T23</f>
        <v>4096000</v>
      </c>
      <c r="AA23" s="3">
        <v>2</v>
      </c>
      <c r="AB23" s="3">
        <v>4</v>
      </c>
      <c r="AC23" s="12">
        <v>8.5</v>
      </c>
      <c r="AD23">
        <f>AC23*L23*M23*N23</f>
        <v>544</v>
      </c>
      <c r="AE23">
        <f>1000000*$H$1/MAX(R23,W23)</f>
        <v>1953.125</v>
      </c>
      <c r="AF23">
        <f>CEILING(Z23*AB23/18000,1) *M23</f>
        <v>7288</v>
      </c>
      <c r="AG23">
        <f>Z23*M$1*AB23*H23*H23/(1024*1024*1024)</f>
        <v>18.169378075107641</v>
      </c>
    </row>
    <row r="26" spans="1:33" ht="15.75" customHeight="1">
      <c r="AD26">
        <f>SUM(AD4:AD18)</f>
        <v>106776</v>
      </c>
    </row>
    <row r="28" spans="1:33" ht="15.75" customHeight="1">
      <c r="H28" s="12"/>
    </row>
    <row r="30" spans="1:33" ht="15.75" customHeight="1">
      <c r="E30" s="12"/>
    </row>
    <row r="31" spans="1:33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A4" sqref="A4"/>
    </sheetView>
  </sheetViews>
  <sheetFormatPr defaultColWidth="14.42578125" defaultRowHeight="15.75" customHeight="1"/>
  <cols>
    <col min="1" max="1" width="15.140625" customWidth="1"/>
    <col min="3" max="3" width="6.85546875" customWidth="1"/>
    <col min="4" max="4" width="11.42578125" customWidth="1"/>
    <col min="9" max="9" width="17.42578125" customWidth="1"/>
    <col min="10" max="11" width="24.42578125" customWidth="1"/>
    <col min="13" max="13" width="16.28515625" customWidth="1"/>
    <col min="14" max="14" width="14.42578125" customWidth="1"/>
    <col min="15" max="15" width="19.28515625" customWidth="1"/>
    <col min="16" max="16" width="14.42578125" customWidth="1"/>
  </cols>
  <sheetData>
    <row r="1" spans="1:16" ht="15.75" customHeight="1">
      <c r="A1" s="34" t="s">
        <v>44</v>
      </c>
      <c r="B1" s="35"/>
      <c r="C1" s="34">
        <f>SUM(P4:P25)/100</f>
        <v>2.9559580699410195</v>
      </c>
      <c r="D1" s="35"/>
      <c r="E1" s="34" t="s">
        <v>45</v>
      </c>
      <c r="F1" s="35"/>
      <c r="G1" s="1">
        <f>B25*B26*B27/(C1*1000)</f>
        <v>39272.546244986595</v>
      </c>
      <c r="H1" s="3"/>
      <c r="I1" s="2" t="s">
        <v>46</v>
      </c>
      <c r="J1" s="2">
        <f>G1/(SUM(J3:J114)/1000000000)</f>
        <v>10423.209874795175</v>
      </c>
      <c r="K1" s="2"/>
      <c r="L1" s="4"/>
      <c r="M1" s="5"/>
      <c r="N1" s="5"/>
      <c r="O1" s="5"/>
      <c r="P1" s="5"/>
    </row>
    <row r="2" spans="1:16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SUM(J3:J114)/1000000 &amp;"M"</f>
        <v>ops, total: 3767.797705M</v>
      </c>
      <c r="K2" s="2" t="s">
        <v>47</v>
      </c>
      <c r="L2" s="1" t="s">
        <v>15</v>
      </c>
      <c r="M2" s="2" t="s">
        <v>31</v>
      </c>
      <c r="N2" s="2" t="s">
        <v>32</v>
      </c>
      <c r="O2" s="2" t="s">
        <v>48</v>
      </c>
      <c r="P2" s="2"/>
    </row>
    <row r="3" spans="1:16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</v>
      </c>
      <c r="G3" s="4">
        <v>3</v>
      </c>
      <c r="H3" s="4">
        <f>IF(B3="pad", C3+2*F3, IF(B3="pool", C3/F3, IF(OR(B3="conv",B3="fc"), C3-F3+1,C3)))</f>
        <v>226</v>
      </c>
      <c r="I3" s="3">
        <v>1</v>
      </c>
      <c r="J3" s="4">
        <f t="shared" ref="J3:J9" si="0">IF(B3="pad", 0, IF(B3="pool", H3*H3*F3*F3, IF(OR(B3="conv",B3="fc"), I3*2*H3*H3*F3*F3*D3*G3,0)))</f>
        <v>0</v>
      </c>
      <c r="K3" s="4"/>
      <c r="L3" s="5"/>
      <c r="M3" s="5"/>
      <c r="N3" s="5"/>
      <c r="O3" s="5"/>
      <c r="P3" s="5"/>
    </row>
    <row r="4" spans="1:16" ht="15.75" customHeight="1">
      <c r="A4" s="4">
        <v>1</v>
      </c>
      <c r="B4" s="9" t="s">
        <v>37</v>
      </c>
      <c r="C4" s="4">
        <f t="shared" ref="C4:C20" si="1">H3</f>
        <v>226</v>
      </c>
      <c r="D4" s="4">
        <f>G3</f>
        <v>3</v>
      </c>
      <c r="E4" s="3">
        <v>4</v>
      </c>
      <c r="F4" s="3">
        <v>11</v>
      </c>
      <c r="G4" s="3">
        <v>64</v>
      </c>
      <c r="H4" s="4">
        <f>IF(B4="pad", C4+2*F4, IF(B4="pool", C4/F4, IF(OR(B4="conv",B4="fc"), (C4-F4+1)/E4,C4)))</f>
        <v>54</v>
      </c>
      <c r="I4" s="4">
        <f>IF(B3="merge", 1, IF(B3="split", 2, I3))</f>
        <v>1</v>
      </c>
      <c r="J4" s="4">
        <f t="shared" si="0"/>
        <v>135489024</v>
      </c>
      <c r="K4" s="4">
        <f>J4*B38</f>
        <v>3454970112</v>
      </c>
      <c r="L4" s="10">
        <f>J4/SUM(J$4:J$23)*100</f>
        <v>3.5959739510484154</v>
      </c>
      <c r="M4" s="3">
        <v>8</v>
      </c>
      <c r="N4" s="3">
        <v>4</v>
      </c>
      <c r="O4" s="3">
        <v>12</v>
      </c>
      <c r="P4" s="3">
        <f t="shared" ref="P4:P23" si="2">O4*L4</f>
        <v>43.151687412580984</v>
      </c>
    </row>
    <row r="5" spans="1:16" ht="15.75" customHeight="1">
      <c r="A5" s="4">
        <v>2</v>
      </c>
      <c r="B5" s="8" t="s">
        <v>38</v>
      </c>
      <c r="C5" s="4">
        <f t="shared" si="1"/>
        <v>54</v>
      </c>
      <c r="D5" s="4">
        <f>G4</f>
        <v>64</v>
      </c>
      <c r="E5" s="3">
        <v>1</v>
      </c>
      <c r="F5" s="4">
        <v>1</v>
      </c>
      <c r="G5" s="3">
        <v>48</v>
      </c>
      <c r="H5" s="4">
        <f>IF(B5="pad", C5+2*F5, IF(B5="pool", C5/F5, IF(OR(B5="conv",B5="fc"), (C5-F5+1)/E5,C5)))</f>
        <v>54</v>
      </c>
      <c r="I5" s="4">
        <f>IF(B4="merge", 1, IF(B4="split", 2, I4))</f>
        <v>1</v>
      </c>
      <c r="J5" s="4">
        <f t="shared" si="0"/>
        <v>0</v>
      </c>
      <c r="K5" s="4"/>
      <c r="L5" s="10"/>
      <c r="M5" s="5"/>
      <c r="N5" s="5"/>
      <c r="O5" s="5"/>
      <c r="P5" s="3">
        <f t="shared" si="2"/>
        <v>0</v>
      </c>
    </row>
    <row r="6" spans="1:16" ht="15.75" customHeight="1">
      <c r="A6" s="4">
        <v>3</v>
      </c>
      <c r="B6" s="8" t="s">
        <v>36</v>
      </c>
      <c r="C6" s="4">
        <f t="shared" si="1"/>
        <v>54</v>
      </c>
      <c r="D6" s="4">
        <f>G5</f>
        <v>48</v>
      </c>
      <c r="E6" s="3">
        <v>1</v>
      </c>
      <c r="F6" s="3">
        <v>2</v>
      </c>
      <c r="G6" s="3">
        <v>48</v>
      </c>
      <c r="H6" s="4">
        <f>IF(B6="pad", C6+2*F6, IF(B6="pool", C6/F6, IF(OR(B6="conv",B6="fc"), (C6-F6+1)/E6,C6)))</f>
        <v>58</v>
      </c>
      <c r="I6" s="4">
        <f>IF(B5="merge", 1, IF(B5="split", 2, I5))</f>
        <v>2</v>
      </c>
      <c r="J6" s="4">
        <f t="shared" si="0"/>
        <v>0</v>
      </c>
      <c r="K6" s="4"/>
      <c r="L6" s="10"/>
      <c r="M6" s="4"/>
      <c r="N6" s="4"/>
      <c r="O6" s="4"/>
      <c r="P6" s="3">
        <f t="shared" si="2"/>
        <v>0</v>
      </c>
    </row>
    <row r="7" spans="1:16" ht="15.75" customHeight="1">
      <c r="A7" s="4">
        <v>4</v>
      </c>
      <c r="B7" s="9" t="s">
        <v>37</v>
      </c>
      <c r="C7" s="4">
        <f t="shared" si="1"/>
        <v>58</v>
      </c>
      <c r="D7" s="4">
        <f>G5</f>
        <v>48</v>
      </c>
      <c r="E7" s="3">
        <v>1</v>
      </c>
      <c r="F7" s="3">
        <v>5</v>
      </c>
      <c r="G7" s="4">
        <v>128</v>
      </c>
      <c r="H7" s="4">
        <f>IF(B7="pad", C7+2*F7, IF(B7="pool", C7/F7, IF(OR(B7="conv",B7="fc"), (C7-F7+1)/E7,C7)))</f>
        <v>54</v>
      </c>
      <c r="I7" s="3">
        <v>2</v>
      </c>
      <c r="J7" s="4">
        <f t="shared" si="0"/>
        <v>1791590400</v>
      </c>
      <c r="K7" s="4">
        <f t="shared" ref="K7:K22" si="3">J7*B$39</f>
        <v>10749542400</v>
      </c>
      <c r="L7" s="10">
        <f>J7/SUM(J$4:J$23)*100</f>
        <v>47.550068774193917</v>
      </c>
      <c r="M7" s="3">
        <v>2</v>
      </c>
      <c r="N7" s="3">
        <v>1</v>
      </c>
      <c r="O7" s="3">
        <v>2.5</v>
      </c>
      <c r="P7" s="3">
        <f t="shared" si="2"/>
        <v>118.87517193548479</v>
      </c>
    </row>
    <row r="8" spans="1:16" ht="15.75" customHeight="1">
      <c r="A8" s="4">
        <v>5</v>
      </c>
      <c r="B8" s="9" t="s">
        <v>39</v>
      </c>
      <c r="C8" s="4">
        <f t="shared" si="1"/>
        <v>54</v>
      </c>
      <c r="D8" s="4">
        <f t="shared" ref="D8:D20" si="4">G7</f>
        <v>128</v>
      </c>
      <c r="E8" s="3">
        <v>2</v>
      </c>
      <c r="F8" s="3">
        <v>3</v>
      </c>
      <c r="G8" s="4">
        <v>128</v>
      </c>
      <c r="H8" s="4">
        <f t="shared" ref="H8:H18" si="5">IF(B8="pad", C8+2*F8, IF(B8="pool", C8/E8, IF(OR(B8="conv",B8="fc"), (C8-F8+1)/E8,C8)))</f>
        <v>27</v>
      </c>
      <c r="I8" s="4">
        <f t="shared" ref="I8:I23" si="6">IF(B7="merge", 1, IF(B7="split", 2, I7))</f>
        <v>2</v>
      </c>
      <c r="J8" s="4">
        <f t="shared" si="0"/>
        <v>6561</v>
      </c>
      <c r="K8" s="4">
        <f t="shared" si="3"/>
        <v>39366</v>
      </c>
      <c r="L8" s="10"/>
      <c r="M8" s="5"/>
      <c r="N8" s="5"/>
      <c r="O8" s="3"/>
      <c r="P8" s="3">
        <f t="shared" si="2"/>
        <v>0</v>
      </c>
    </row>
    <row r="9" spans="1:16" ht="15.75" customHeight="1">
      <c r="A9" s="4">
        <v>6</v>
      </c>
      <c r="B9" s="8" t="s">
        <v>40</v>
      </c>
      <c r="C9" s="4">
        <f t="shared" si="1"/>
        <v>27</v>
      </c>
      <c r="D9" s="4">
        <f t="shared" si="4"/>
        <v>128</v>
      </c>
      <c r="E9" s="3">
        <v>1</v>
      </c>
      <c r="F9" s="4">
        <v>1</v>
      </c>
      <c r="G9" s="3">
        <v>256</v>
      </c>
      <c r="H9" s="4">
        <f t="shared" si="5"/>
        <v>27</v>
      </c>
      <c r="I9" s="4">
        <f t="shared" si="6"/>
        <v>2</v>
      </c>
      <c r="J9" s="4">
        <f t="shared" si="0"/>
        <v>0</v>
      </c>
      <c r="K9" s="4">
        <f t="shared" si="3"/>
        <v>0</v>
      </c>
      <c r="L9" s="10"/>
      <c r="M9" s="5"/>
      <c r="N9" s="5"/>
      <c r="O9" s="3"/>
      <c r="P9" s="3">
        <f t="shared" si="2"/>
        <v>0</v>
      </c>
    </row>
    <row r="10" spans="1:16" ht="15.75" customHeight="1">
      <c r="A10" s="4">
        <v>7</v>
      </c>
      <c r="B10" s="8" t="s">
        <v>36</v>
      </c>
      <c r="C10" s="4">
        <f t="shared" si="1"/>
        <v>27</v>
      </c>
      <c r="D10" s="4">
        <f t="shared" si="4"/>
        <v>256</v>
      </c>
      <c r="E10" s="3">
        <v>1</v>
      </c>
      <c r="F10" s="3">
        <v>1</v>
      </c>
      <c r="G10" s="3">
        <v>256</v>
      </c>
      <c r="H10" s="4">
        <f t="shared" si="5"/>
        <v>29</v>
      </c>
      <c r="I10" s="4">
        <f t="shared" si="6"/>
        <v>1</v>
      </c>
      <c r="J10" s="4"/>
      <c r="K10" s="4">
        <f t="shared" si="3"/>
        <v>0</v>
      </c>
      <c r="L10" s="10"/>
      <c r="M10" s="4"/>
      <c r="N10" s="4"/>
      <c r="O10" s="3"/>
      <c r="P10" s="3">
        <f t="shared" si="2"/>
        <v>0</v>
      </c>
    </row>
    <row r="11" spans="1:16" ht="15.75" customHeight="1">
      <c r="A11" s="4">
        <v>8</v>
      </c>
      <c r="B11" s="9" t="s">
        <v>37</v>
      </c>
      <c r="C11" s="4">
        <f t="shared" si="1"/>
        <v>29</v>
      </c>
      <c r="D11" s="4">
        <f t="shared" si="4"/>
        <v>256</v>
      </c>
      <c r="E11" s="3">
        <v>1</v>
      </c>
      <c r="F11" s="4">
        <v>3</v>
      </c>
      <c r="G11" s="3">
        <v>384</v>
      </c>
      <c r="H11" s="4">
        <f t="shared" si="5"/>
        <v>27</v>
      </c>
      <c r="I11" s="4">
        <f t="shared" si="6"/>
        <v>1</v>
      </c>
      <c r="J11" s="4">
        <f t="shared" ref="J11:J23" si="7">IF(B11="pad", 0, IF(B11="pool", H11*H11*F11*F11, IF(OR(B11="conv",B11="fc"), I11*2*H11*H11*F11*F11*D11*G11,0)))</f>
        <v>1289945088</v>
      </c>
      <c r="K11" s="4">
        <f t="shared" si="3"/>
        <v>7739670528</v>
      </c>
      <c r="L11" s="10">
        <f>J11/SUM(J$4:J$23)*100</f>
        <v>34.236049517419623</v>
      </c>
      <c r="M11" s="3">
        <v>2</v>
      </c>
      <c r="N11" s="3">
        <v>1</v>
      </c>
      <c r="O11" s="3">
        <v>2.5</v>
      </c>
      <c r="P11" s="3">
        <f t="shared" si="2"/>
        <v>85.590123793549054</v>
      </c>
    </row>
    <row r="12" spans="1:16" ht="15.75" customHeight="1">
      <c r="A12" s="4">
        <v>9</v>
      </c>
      <c r="B12" s="9" t="s">
        <v>36</v>
      </c>
      <c r="C12" s="4">
        <f t="shared" si="1"/>
        <v>27</v>
      </c>
      <c r="D12" s="4">
        <f t="shared" si="4"/>
        <v>384</v>
      </c>
      <c r="E12" s="3">
        <v>1</v>
      </c>
      <c r="F12" s="3">
        <v>0.5</v>
      </c>
      <c r="G12" s="3">
        <v>384</v>
      </c>
      <c r="H12" s="4">
        <f t="shared" si="5"/>
        <v>28</v>
      </c>
      <c r="I12" s="4">
        <f t="shared" si="6"/>
        <v>1</v>
      </c>
      <c r="J12" s="4">
        <f t="shared" si="7"/>
        <v>0</v>
      </c>
      <c r="K12" s="4">
        <f t="shared" si="3"/>
        <v>0</v>
      </c>
      <c r="L12" s="10"/>
      <c r="M12" s="5"/>
      <c r="N12" s="5"/>
      <c r="O12" s="3"/>
      <c r="P12" s="3">
        <f t="shared" si="2"/>
        <v>0</v>
      </c>
    </row>
    <row r="13" spans="1:16" ht="15.75" customHeight="1">
      <c r="A13" s="4">
        <v>10</v>
      </c>
      <c r="B13" s="9" t="s">
        <v>39</v>
      </c>
      <c r="C13" s="4">
        <f t="shared" si="1"/>
        <v>28</v>
      </c>
      <c r="D13" s="4">
        <f t="shared" si="4"/>
        <v>384</v>
      </c>
      <c r="E13" s="3">
        <v>2</v>
      </c>
      <c r="F13" s="3">
        <v>3</v>
      </c>
      <c r="G13" s="3">
        <v>384</v>
      </c>
      <c r="H13" s="4">
        <f t="shared" si="5"/>
        <v>14</v>
      </c>
      <c r="I13" s="4">
        <f t="shared" si="6"/>
        <v>1</v>
      </c>
      <c r="J13" s="4">
        <f t="shared" si="7"/>
        <v>1764</v>
      </c>
      <c r="K13" s="4">
        <f t="shared" si="3"/>
        <v>10584</v>
      </c>
      <c r="L13" s="10"/>
      <c r="M13" s="5"/>
      <c r="N13" s="5"/>
      <c r="O13" s="3"/>
      <c r="P13" s="3">
        <f t="shared" si="2"/>
        <v>0</v>
      </c>
    </row>
    <row r="14" spans="1:16" ht="15.75" customHeight="1">
      <c r="A14" s="4">
        <v>11</v>
      </c>
      <c r="B14" s="8" t="s">
        <v>38</v>
      </c>
      <c r="C14" s="4">
        <f t="shared" si="1"/>
        <v>14</v>
      </c>
      <c r="D14" s="4">
        <f t="shared" si="4"/>
        <v>384</v>
      </c>
      <c r="E14" s="3">
        <v>1</v>
      </c>
      <c r="F14" s="3">
        <v>1</v>
      </c>
      <c r="G14" s="3">
        <v>192</v>
      </c>
      <c r="H14" s="4">
        <f t="shared" si="5"/>
        <v>14</v>
      </c>
      <c r="I14" s="4">
        <f t="shared" si="6"/>
        <v>1</v>
      </c>
      <c r="J14" s="4">
        <f t="shared" si="7"/>
        <v>0</v>
      </c>
      <c r="K14" s="4">
        <f t="shared" si="3"/>
        <v>0</v>
      </c>
      <c r="L14" s="10"/>
      <c r="M14" s="5"/>
      <c r="N14" s="5"/>
      <c r="O14" s="3"/>
      <c r="P14" s="3">
        <f t="shared" si="2"/>
        <v>0</v>
      </c>
    </row>
    <row r="15" spans="1:16" ht="15.75" customHeight="1">
      <c r="A15" s="4">
        <v>12</v>
      </c>
      <c r="B15" s="8" t="s">
        <v>36</v>
      </c>
      <c r="C15" s="4">
        <f t="shared" si="1"/>
        <v>14</v>
      </c>
      <c r="D15" s="4">
        <f t="shared" si="4"/>
        <v>192</v>
      </c>
      <c r="E15" s="3">
        <v>1</v>
      </c>
      <c r="F15" s="4">
        <v>1</v>
      </c>
      <c r="G15" s="3">
        <v>192</v>
      </c>
      <c r="H15" s="4">
        <f t="shared" si="5"/>
        <v>16</v>
      </c>
      <c r="I15" s="4">
        <f t="shared" si="6"/>
        <v>2</v>
      </c>
      <c r="J15" s="4">
        <f t="shared" si="7"/>
        <v>0</v>
      </c>
      <c r="K15" s="4">
        <f t="shared" si="3"/>
        <v>0</v>
      </c>
      <c r="L15" s="10"/>
      <c r="M15" s="5"/>
      <c r="N15" s="5"/>
      <c r="O15" s="3"/>
      <c r="P15" s="3">
        <f t="shared" si="2"/>
        <v>0</v>
      </c>
    </row>
    <row r="16" spans="1:16" ht="15.75" customHeight="1">
      <c r="A16" s="4">
        <v>13</v>
      </c>
      <c r="B16" s="9" t="s">
        <v>37</v>
      </c>
      <c r="C16" s="4">
        <f t="shared" si="1"/>
        <v>16</v>
      </c>
      <c r="D16" s="4">
        <f t="shared" si="4"/>
        <v>192</v>
      </c>
      <c r="E16" s="3">
        <v>1</v>
      </c>
      <c r="F16" s="4">
        <v>3</v>
      </c>
      <c r="G16" s="3">
        <v>192</v>
      </c>
      <c r="H16" s="4">
        <f t="shared" si="5"/>
        <v>14</v>
      </c>
      <c r="I16" s="4">
        <f t="shared" si="6"/>
        <v>2</v>
      </c>
      <c r="J16" s="4">
        <f t="shared" si="7"/>
        <v>260112384</v>
      </c>
      <c r="K16" s="4">
        <f t="shared" si="3"/>
        <v>1560674304</v>
      </c>
      <c r="L16" s="10">
        <f>J16/SUM(J$4:J$23)*100</f>
        <v>6.9035655405496348</v>
      </c>
      <c r="M16" s="3">
        <v>2</v>
      </c>
      <c r="N16" s="3">
        <v>1</v>
      </c>
      <c r="O16" s="3">
        <v>2.5</v>
      </c>
      <c r="P16" s="3">
        <f t="shared" si="2"/>
        <v>17.258913851374086</v>
      </c>
    </row>
    <row r="17" spans="1:16" ht="15.75" customHeight="1">
      <c r="A17" s="4">
        <v>14</v>
      </c>
      <c r="B17" s="9" t="s">
        <v>36</v>
      </c>
      <c r="C17" s="4">
        <f t="shared" si="1"/>
        <v>14</v>
      </c>
      <c r="D17" s="4">
        <f t="shared" si="4"/>
        <v>192</v>
      </c>
      <c r="E17" s="3">
        <v>1</v>
      </c>
      <c r="F17" s="4">
        <v>1</v>
      </c>
      <c r="G17" s="3">
        <v>192</v>
      </c>
      <c r="H17" s="4">
        <f t="shared" si="5"/>
        <v>16</v>
      </c>
      <c r="I17" s="4">
        <f t="shared" si="6"/>
        <v>2</v>
      </c>
      <c r="J17" s="4">
        <f t="shared" si="7"/>
        <v>0</v>
      </c>
      <c r="K17" s="4">
        <f t="shared" si="3"/>
        <v>0</v>
      </c>
      <c r="L17" s="10"/>
      <c r="M17" s="5"/>
      <c r="N17" s="5"/>
      <c r="O17" s="3"/>
      <c r="P17" s="3">
        <f t="shared" si="2"/>
        <v>0</v>
      </c>
    </row>
    <row r="18" spans="1:16" ht="15.75" customHeight="1">
      <c r="A18" s="4">
        <v>15</v>
      </c>
      <c r="B18" s="9" t="s">
        <v>37</v>
      </c>
      <c r="C18" s="4">
        <f t="shared" si="1"/>
        <v>16</v>
      </c>
      <c r="D18" s="4">
        <f t="shared" si="4"/>
        <v>192</v>
      </c>
      <c r="E18" s="3">
        <v>1</v>
      </c>
      <c r="F18" s="4">
        <v>3</v>
      </c>
      <c r="G18" s="3">
        <v>128</v>
      </c>
      <c r="H18" s="4">
        <f t="shared" si="5"/>
        <v>14</v>
      </c>
      <c r="I18" s="4">
        <f t="shared" si="6"/>
        <v>2</v>
      </c>
      <c r="J18" s="4">
        <f t="shared" si="7"/>
        <v>173408256</v>
      </c>
      <c r="K18" s="4">
        <f t="shared" si="3"/>
        <v>1040449536</v>
      </c>
      <c r="L18" s="10">
        <f>J18/SUM(J$4:J$23)*100</f>
        <v>4.6023770270330902</v>
      </c>
      <c r="M18" s="3">
        <v>2</v>
      </c>
      <c r="N18" s="3">
        <v>1</v>
      </c>
      <c r="O18" s="3">
        <v>2.5</v>
      </c>
      <c r="P18" s="3">
        <f t="shared" si="2"/>
        <v>11.505942567582725</v>
      </c>
    </row>
    <row r="19" spans="1:16" ht="15.75" customHeight="1">
      <c r="A19" s="4">
        <v>16</v>
      </c>
      <c r="B19" s="9" t="s">
        <v>39</v>
      </c>
      <c r="C19" s="4">
        <f t="shared" si="1"/>
        <v>14</v>
      </c>
      <c r="D19" s="4">
        <f t="shared" si="4"/>
        <v>128</v>
      </c>
      <c r="E19" s="3">
        <v>2</v>
      </c>
      <c r="F19" s="3">
        <v>3</v>
      </c>
      <c r="G19" s="3">
        <v>128</v>
      </c>
      <c r="H19" s="3">
        <v>6</v>
      </c>
      <c r="I19" s="4">
        <f t="shared" si="6"/>
        <v>2</v>
      </c>
      <c r="J19" s="4">
        <f t="shared" si="7"/>
        <v>324</v>
      </c>
      <c r="K19" s="4">
        <f t="shared" si="3"/>
        <v>1944</v>
      </c>
      <c r="L19" s="10"/>
      <c r="M19" s="11"/>
      <c r="N19" s="5"/>
      <c r="O19" s="3"/>
      <c r="P19" s="3">
        <f t="shared" si="2"/>
        <v>0</v>
      </c>
    </row>
    <row r="20" spans="1:16" ht="15.75" customHeight="1">
      <c r="A20" s="4">
        <v>17</v>
      </c>
      <c r="B20" s="8" t="s">
        <v>40</v>
      </c>
      <c r="C20" s="4">
        <f t="shared" si="1"/>
        <v>6</v>
      </c>
      <c r="D20" s="4">
        <f t="shared" si="4"/>
        <v>128</v>
      </c>
      <c r="E20" s="3">
        <v>1</v>
      </c>
      <c r="F20" s="3">
        <v>1</v>
      </c>
      <c r="G20" s="3">
        <v>256</v>
      </c>
      <c r="H20" s="4">
        <f>IF(B20="pad", C20+2*F20, IF(B20="pool", C20/E20, IF(OR(B20="conv",B20="fc"), (C20-F20+1)/E20,C20)))</f>
        <v>6</v>
      </c>
      <c r="I20" s="4">
        <f t="shared" si="6"/>
        <v>2</v>
      </c>
      <c r="J20" s="4">
        <f t="shared" si="7"/>
        <v>0</v>
      </c>
      <c r="K20" s="4">
        <f t="shared" si="3"/>
        <v>0</v>
      </c>
      <c r="L20" s="10"/>
      <c r="M20" s="4"/>
      <c r="N20" s="4"/>
      <c r="O20" s="3"/>
      <c r="P20" s="3">
        <f t="shared" si="2"/>
        <v>0</v>
      </c>
    </row>
    <row r="21" spans="1:16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>
        <v>4096</v>
      </c>
      <c r="H21" s="3">
        <v>1</v>
      </c>
      <c r="I21" s="4">
        <f t="shared" si="6"/>
        <v>1</v>
      </c>
      <c r="J21" s="4">
        <f t="shared" si="7"/>
        <v>75497472</v>
      </c>
      <c r="K21" s="4">
        <f t="shared" si="3"/>
        <v>452984832</v>
      </c>
      <c r="L21" s="10">
        <f>J21/SUM(J$4:J$23)*100</f>
        <v>2.0037559845586244</v>
      </c>
      <c r="M21" s="3">
        <v>2</v>
      </c>
      <c r="N21" s="3">
        <v>1</v>
      </c>
      <c r="O21" s="3">
        <v>6</v>
      </c>
      <c r="P21" s="3">
        <f t="shared" si="2"/>
        <v>12.022535907351745</v>
      </c>
    </row>
    <row r="22" spans="1:16" ht="15.75" customHeight="1">
      <c r="A22" s="4">
        <v>19</v>
      </c>
      <c r="B22" s="9" t="s">
        <v>41</v>
      </c>
      <c r="C22" s="4">
        <f>H21</f>
        <v>1</v>
      </c>
      <c r="D22" s="4">
        <f>G21</f>
        <v>4096</v>
      </c>
      <c r="E22" s="3">
        <v>1</v>
      </c>
      <c r="F22" s="4">
        <v>1</v>
      </c>
      <c r="G22" s="3">
        <v>4096</v>
      </c>
      <c r="H22" s="4">
        <f>IF(B22="pad", C22+2*F22, IF(B22="pool", C22/E22, IF(OR(B22="conv",B22="fc"), (C22-F22+1)/E22,C22)))</f>
        <v>1</v>
      </c>
      <c r="I22" s="4">
        <f t="shared" si="6"/>
        <v>1</v>
      </c>
      <c r="J22" s="4">
        <f t="shared" si="7"/>
        <v>33554432</v>
      </c>
      <c r="K22" s="4">
        <f t="shared" si="3"/>
        <v>201326592</v>
      </c>
      <c r="L22" s="10">
        <f>J22/SUM(J$4:J$23)*100</f>
        <v>0.89055821535938862</v>
      </c>
      <c r="M22" s="3">
        <v>2</v>
      </c>
      <c r="N22" s="3">
        <v>1</v>
      </c>
      <c r="O22" s="3">
        <v>6</v>
      </c>
      <c r="P22" s="3">
        <f t="shared" si="2"/>
        <v>5.3433492921563319</v>
      </c>
    </row>
    <row r="23" spans="1:16" ht="15.75" customHeight="1">
      <c r="A23" s="4">
        <v>20</v>
      </c>
      <c r="B23" s="9" t="s">
        <v>41</v>
      </c>
      <c r="C23" s="4">
        <f>H22</f>
        <v>1</v>
      </c>
      <c r="D23" s="4">
        <f>G22</f>
        <v>4096</v>
      </c>
      <c r="E23" s="3">
        <v>1</v>
      </c>
      <c r="F23" s="4">
        <v>1</v>
      </c>
      <c r="G23" s="3">
        <v>1000</v>
      </c>
      <c r="H23" s="4">
        <f>IF(B23="pad", C23+2*F23, IF(B23="pool", C23/E23, IF(OR(B23="conv",B23="fc"), (C23-F23+1)/E23,C23)))</f>
        <v>1</v>
      </c>
      <c r="I23" s="4">
        <f t="shared" si="6"/>
        <v>1</v>
      </c>
      <c r="J23" s="4">
        <f t="shared" si="7"/>
        <v>8192000</v>
      </c>
      <c r="K23" s="4">
        <f>J23*B40</f>
        <v>69632000</v>
      </c>
      <c r="L23" s="10">
        <f>J23/SUM(J$4:J$23)*100</f>
        <v>0.21742143929672572</v>
      </c>
      <c r="M23" s="3">
        <v>2</v>
      </c>
      <c r="N23" s="3">
        <v>4</v>
      </c>
      <c r="O23" s="3">
        <v>8.5</v>
      </c>
      <c r="P23" s="3">
        <f t="shared" si="2"/>
        <v>1.8480822340221685</v>
      </c>
    </row>
    <row r="25" spans="1:16" ht="15.75" customHeight="1">
      <c r="A25" s="12" t="s">
        <v>50</v>
      </c>
      <c r="B25" s="12">
        <v>663360</v>
      </c>
      <c r="N25" s="12"/>
    </row>
    <row r="26" spans="1:16" ht="15.75" customHeight="1">
      <c r="A26" s="12" t="s">
        <v>51</v>
      </c>
      <c r="B26" s="12">
        <v>250</v>
      </c>
      <c r="D26" s="12"/>
    </row>
    <row r="27" spans="1:16" ht="15.75" customHeight="1">
      <c r="A27" s="12" t="s">
        <v>52</v>
      </c>
      <c r="B27" s="13">
        <v>0.7</v>
      </c>
    </row>
    <row r="28" spans="1:16" ht="15.75" customHeight="1">
      <c r="A28" s="12"/>
      <c r="B28" s="12"/>
      <c r="H28" s="12"/>
    </row>
    <row r="29" spans="1:16" ht="15.75" customHeight="1">
      <c r="A29" s="12" t="s">
        <v>53</v>
      </c>
      <c r="B29" s="12" t="s">
        <v>54</v>
      </c>
      <c r="H29" s="12"/>
    </row>
    <row r="30" spans="1:16" ht="15.75" customHeight="1">
      <c r="A30" s="12" t="s">
        <v>55</v>
      </c>
      <c r="B30" s="12">
        <v>178</v>
      </c>
    </row>
    <row r="31" spans="1:16" ht="15.75" customHeight="1">
      <c r="A31" s="12" t="s">
        <v>56</v>
      </c>
      <c r="B31" s="12">
        <v>331</v>
      </c>
    </row>
    <row r="32" spans="1:16" ht="15.75" customHeight="1">
      <c r="A32" s="12" t="s">
        <v>57</v>
      </c>
      <c r="B32" s="12">
        <v>8</v>
      </c>
    </row>
    <row r="33" spans="1:2" ht="15.75" customHeight="1">
      <c r="A33" s="12" t="s">
        <v>58</v>
      </c>
      <c r="B33" s="12">
        <v>40</v>
      </c>
    </row>
    <row r="34" spans="1:2" ht="15.75" customHeight="1">
      <c r="A34" s="12" t="s">
        <v>59</v>
      </c>
      <c r="B34" s="12">
        <v>11</v>
      </c>
    </row>
    <row r="35" spans="1:2" ht="15.75" customHeight="1">
      <c r="A35" s="12" t="s">
        <v>60</v>
      </c>
      <c r="B35" s="12">
        <v>6</v>
      </c>
    </row>
    <row r="36" spans="1:2" ht="15.75" customHeight="1">
      <c r="A36" s="12" t="s">
        <v>61</v>
      </c>
      <c r="B36" s="12">
        <v>2.5</v>
      </c>
    </row>
    <row r="37" spans="1:2" ht="15.75" customHeight="1">
      <c r="A37" s="12" t="s">
        <v>62</v>
      </c>
    </row>
    <row r="38" spans="1:2" ht="15.75" customHeight="1">
      <c r="A38" s="12" t="s">
        <v>63</v>
      </c>
      <c r="B38" s="12">
        <f>(B34+B33)/2</f>
        <v>25.5</v>
      </c>
    </row>
    <row r="39" spans="1:2" ht="12.75">
      <c r="A39" s="12" t="s">
        <v>64</v>
      </c>
      <c r="B39">
        <f>B35</f>
        <v>6</v>
      </c>
    </row>
    <row r="40" spans="1:2" ht="12.75">
      <c r="A40" s="12" t="s">
        <v>65</v>
      </c>
      <c r="B40">
        <f>(B34+B35)/2</f>
        <v>8.5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workbookViewId="0"/>
  </sheetViews>
  <sheetFormatPr defaultColWidth="14.42578125" defaultRowHeight="15.75" customHeight="1"/>
  <cols>
    <col min="1" max="1" width="8.7109375" customWidth="1"/>
    <col min="3" max="3" width="6.85546875" customWidth="1"/>
    <col min="4" max="4" width="11.42578125" customWidth="1"/>
    <col min="9" max="9" width="17.42578125" customWidth="1"/>
    <col min="10" max="10" width="24.42578125" customWidth="1"/>
    <col min="27" max="27" width="22.140625" customWidth="1"/>
    <col min="28" max="28" width="16.85546875" customWidth="1"/>
    <col min="29" max="29" width="12.28515625" customWidth="1"/>
    <col min="30" max="30" width="22.5703125" customWidth="1"/>
    <col min="31" max="33" width="16.42578125" customWidth="1"/>
  </cols>
  <sheetData>
    <row r="1" spans="1:33" ht="15.75" customHeight="1">
      <c r="A1" s="1" t="s">
        <v>0</v>
      </c>
      <c r="B1" s="34" t="s">
        <v>1</v>
      </c>
      <c r="C1" s="35"/>
      <c r="D1" s="35"/>
      <c r="E1" s="35"/>
      <c r="F1" s="35"/>
      <c r="G1" s="1" t="s">
        <v>2</v>
      </c>
      <c r="H1" s="3">
        <v>265</v>
      </c>
      <c r="I1" s="1"/>
      <c r="J1" s="2" t="s">
        <v>3</v>
      </c>
      <c r="K1" s="4">
        <f>MAX(MAX(R4:R20),MAX(W5:W20))</f>
        <v>26244</v>
      </c>
      <c r="L1" s="1" t="s">
        <v>4</v>
      </c>
      <c r="M1" s="4">
        <f>1000000*H1/K1</f>
        <v>10097.546105776559</v>
      </c>
      <c r="N1" s="5"/>
      <c r="O1" s="5"/>
      <c r="P1" s="5"/>
      <c r="Q1" s="5"/>
      <c r="R1" s="1" t="s">
        <v>5</v>
      </c>
      <c r="S1" s="4">
        <f>SUM(J3:J23)/(C3*C3*D3+G23*2)</f>
        <v>25399.752078306934</v>
      </c>
      <c r="T1" s="5"/>
      <c r="U1" s="5"/>
      <c r="V1" s="5"/>
      <c r="W1" s="5"/>
      <c r="X1" s="5"/>
      <c r="Y1" s="5"/>
      <c r="Z1" s="5"/>
      <c r="AA1" s="6">
        <f>SUM(AA3:AA23)</f>
        <v>60254720</v>
      </c>
      <c r="AB1" s="5"/>
      <c r="AC1" s="5"/>
      <c r="AD1" s="5"/>
    </row>
    <row r="2" spans="1:33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SUM(J3:J113)/1000000 &amp;"M"</f>
        <v>ops, total: 3874.173385M</v>
      </c>
      <c r="K2" s="1" t="s">
        <v>15</v>
      </c>
      <c r="L2" s="1" t="s">
        <v>16</v>
      </c>
      <c r="M2" s="1" t="s">
        <v>17</v>
      </c>
      <c r="N2" s="1" t="s">
        <v>18</v>
      </c>
      <c r="O2" s="2" t="s">
        <v>19</v>
      </c>
      <c r="P2" s="2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66</v>
      </c>
      <c r="Z2" s="1" t="s">
        <v>67</v>
      </c>
      <c r="AA2" s="2" t="s">
        <v>29</v>
      </c>
      <c r="AB2" s="2" t="s">
        <v>30</v>
      </c>
      <c r="AC2" s="2" t="s">
        <v>31</v>
      </c>
      <c r="AD2" s="2" t="s">
        <v>32</v>
      </c>
      <c r="AE2" s="7" t="s">
        <v>33</v>
      </c>
      <c r="AF2" s="7" t="s">
        <v>34</v>
      </c>
      <c r="AG2" s="7" t="s">
        <v>35</v>
      </c>
    </row>
    <row r="3" spans="1:33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4">
        <v>1</v>
      </c>
      <c r="V3" s="5"/>
      <c r="W3" s="5"/>
      <c r="X3" s="5"/>
      <c r="Y3" s="5"/>
      <c r="Z3" s="4"/>
      <c r="AA3" s="5"/>
      <c r="AB3" s="5"/>
      <c r="AC3" s="5"/>
      <c r="AD3" s="5"/>
    </row>
    <row r="4" spans="1:33" ht="15.75" customHeight="1">
      <c r="A4" s="4">
        <v>1</v>
      </c>
      <c r="B4" s="9" t="s">
        <v>37</v>
      </c>
      <c r="C4" s="4">
        <f t="shared" ref="C4:C20" si="1">H3</f>
        <v>227</v>
      </c>
      <c r="D4" s="4">
        <f>G3</f>
        <v>3</v>
      </c>
      <c r="E4" s="3">
        <v>4</v>
      </c>
      <c r="F4" s="3">
        <v>12</v>
      </c>
      <c r="G4" s="3">
        <v>96</v>
      </c>
      <c r="H4" s="4">
        <f>IF(B4="pad", C4+2*F4, IF(B4="pool", C4/F4, IF(OR(B4="conv",B4="fc"), (C4-F4+1)/E4,C4)))</f>
        <v>54</v>
      </c>
      <c r="I4" s="4">
        <f t="shared" ref="I4:I23" si="2">IF(B3="merge", 1, IF(B3="split", 2, I3))</f>
        <v>1</v>
      </c>
      <c r="J4" s="4">
        <f t="shared" si="0"/>
        <v>241864704</v>
      </c>
      <c r="K4" s="5"/>
      <c r="L4" s="3">
        <v>3</v>
      </c>
      <c r="M4" s="3">
        <v>96</v>
      </c>
      <c r="N4" s="3">
        <v>16</v>
      </c>
      <c r="O4" s="4">
        <f>G4/M4</f>
        <v>1</v>
      </c>
      <c r="P4" s="4">
        <f>F4*F4*D4*G4/(L4*M4)</f>
        <v>144</v>
      </c>
      <c r="Q4" s="4">
        <f>2*L4*M4*N4</f>
        <v>9216</v>
      </c>
      <c r="R4" s="4">
        <f>J4/(Q4*I4)</f>
        <v>26244</v>
      </c>
      <c r="S4" s="4">
        <f>F4*F4*D4</f>
        <v>432</v>
      </c>
      <c r="T4" s="4">
        <f>G4</f>
        <v>96</v>
      </c>
      <c r="U4" s="4">
        <f>S4/L4</f>
        <v>144</v>
      </c>
      <c r="V4" s="4">
        <f>T4/M4</f>
        <v>1</v>
      </c>
      <c r="W4" s="4">
        <f>C4*C4+F4*F4*H4*H4</f>
        <v>471433</v>
      </c>
      <c r="X4" s="4">
        <f>F4*F4*H4*H4</f>
        <v>419904</v>
      </c>
      <c r="Y4" s="14">
        <f>(V4-1)*U4</f>
        <v>0</v>
      </c>
      <c r="Z4" s="15">
        <f>MAX(Y4,X4)/U3</f>
        <v>419904</v>
      </c>
      <c r="AA4" s="4">
        <f>D4*F4*F4*G4</f>
        <v>41472</v>
      </c>
      <c r="AB4" s="4">
        <f>S4*T4</f>
        <v>41472</v>
      </c>
      <c r="AC4" s="3">
        <v>8</v>
      </c>
      <c r="AD4" s="3">
        <v>4</v>
      </c>
      <c r="AE4">
        <f>1000000*$H$1/R4</f>
        <v>10097.546105776559</v>
      </c>
      <c r="AF4">
        <f>CEILING(AB4*AD4/18000,1) *M4</f>
        <v>960</v>
      </c>
    </row>
    <row r="5" spans="1:33" ht="15.75" customHeight="1">
      <c r="A5" s="4">
        <v>2</v>
      </c>
      <c r="B5" s="8" t="s">
        <v>38</v>
      </c>
      <c r="C5" s="4">
        <f t="shared" si="1"/>
        <v>54</v>
      </c>
      <c r="D5" s="4">
        <f>G4</f>
        <v>96</v>
      </c>
      <c r="E5" s="3">
        <v>1</v>
      </c>
      <c r="F5" s="4">
        <v>1</v>
      </c>
      <c r="G5" s="3">
        <v>48</v>
      </c>
      <c r="H5" s="4">
        <f>IF(B5="pad", C5+2*F5, IF(B5="pool", C5/F5, IF(OR(B5="conv",B5="fc"), (C5-F5+1)/E5,C5)))</f>
        <v>54</v>
      </c>
      <c r="I5" s="4">
        <f t="shared" si="2"/>
        <v>1</v>
      </c>
      <c r="J5" s="4">
        <f t="shared" si="0"/>
        <v>0</v>
      </c>
      <c r="K5" s="5"/>
      <c r="L5" s="5"/>
      <c r="M5" s="5"/>
      <c r="N5" s="5"/>
      <c r="O5" s="4"/>
      <c r="P5" s="4"/>
      <c r="Q5" s="4"/>
      <c r="R5" s="4"/>
      <c r="S5" s="5"/>
      <c r="T5" s="5"/>
      <c r="U5" s="4"/>
      <c r="V5" s="5"/>
      <c r="W5" s="5"/>
      <c r="X5" s="5"/>
      <c r="Y5" s="5"/>
      <c r="Z5" s="15"/>
      <c r="AA5" s="5"/>
      <c r="AB5" s="5"/>
      <c r="AC5" s="5"/>
      <c r="AD5" s="5"/>
    </row>
    <row r="6" spans="1:33" ht="15.75" customHeight="1">
      <c r="A6" s="4">
        <v>3</v>
      </c>
      <c r="B6" s="8" t="s">
        <v>36</v>
      </c>
      <c r="C6" s="4">
        <f t="shared" si="1"/>
        <v>54</v>
      </c>
      <c r="D6" s="4">
        <f>G5</f>
        <v>48</v>
      </c>
      <c r="E6" s="3">
        <v>1</v>
      </c>
      <c r="F6" s="3">
        <v>2</v>
      </c>
      <c r="G6" s="3">
        <v>48</v>
      </c>
      <c r="H6" s="4">
        <f>IF(B6="pad", C6+2*F6, IF(B6="pool", C6/F6, IF(OR(B6="conv",B6="fc"), (C6-F6+1)/E6,C6)))</f>
        <v>58</v>
      </c>
      <c r="I6" s="4">
        <f t="shared" si="2"/>
        <v>2</v>
      </c>
      <c r="J6" s="4">
        <f t="shared" si="0"/>
        <v>0</v>
      </c>
      <c r="K6" s="5"/>
      <c r="L6" s="4"/>
      <c r="M6" s="4"/>
      <c r="N6" s="3"/>
      <c r="O6" s="4"/>
      <c r="P6" s="4"/>
      <c r="Q6" s="4"/>
      <c r="R6" s="4"/>
      <c r="S6" s="4"/>
      <c r="T6" s="4"/>
      <c r="U6" s="3"/>
      <c r="V6" s="4"/>
      <c r="W6" s="4"/>
      <c r="X6" s="4"/>
      <c r="Y6" s="14"/>
      <c r="Z6" s="15"/>
      <c r="AA6" s="4"/>
      <c r="AB6" s="4"/>
      <c r="AC6" s="4"/>
      <c r="AD6" s="4"/>
    </row>
    <row r="7" spans="1:33" ht="15.75" customHeight="1">
      <c r="A7" s="4">
        <v>4</v>
      </c>
      <c r="B7" s="9" t="s">
        <v>37</v>
      </c>
      <c r="C7" s="4">
        <f t="shared" si="1"/>
        <v>58</v>
      </c>
      <c r="D7" s="4">
        <f>G5</f>
        <v>48</v>
      </c>
      <c r="E7" s="3">
        <v>1</v>
      </c>
      <c r="F7" s="3">
        <v>5</v>
      </c>
      <c r="G7" s="4">
        <v>128</v>
      </c>
      <c r="H7" s="4">
        <f>IF(B7="pad", C7+2*F7, IF(B7="pool", C7/F7, IF(OR(B7="conv",B7="fc"), (C7-F7+1)/E7,C7)))</f>
        <v>54</v>
      </c>
      <c r="I7" s="4">
        <f t="shared" si="2"/>
        <v>2</v>
      </c>
      <c r="J7" s="4">
        <f t="shared" si="0"/>
        <v>1791590400</v>
      </c>
      <c r="K7" s="5"/>
      <c r="L7" s="3">
        <v>48</v>
      </c>
      <c r="M7" s="3">
        <v>128</v>
      </c>
      <c r="N7" s="3">
        <v>4</v>
      </c>
      <c r="O7" s="4">
        <f>G7/M7</f>
        <v>1</v>
      </c>
      <c r="P7" s="4">
        <f>F7*F7*D7*G7/(L7*M7)</f>
        <v>25</v>
      </c>
      <c r="Q7" s="4">
        <f>2*L7*M7*N7</f>
        <v>49152</v>
      </c>
      <c r="R7" s="4">
        <f>J7/(Q7*I7)</f>
        <v>18225</v>
      </c>
      <c r="S7" s="4">
        <f>F7*F7*D7</f>
        <v>1200</v>
      </c>
      <c r="T7" s="4">
        <f>G7</f>
        <v>128</v>
      </c>
      <c r="U7" s="4">
        <f>S7/L7</f>
        <v>25</v>
      </c>
      <c r="V7" s="4">
        <f>T7/M7</f>
        <v>1</v>
      </c>
      <c r="W7" s="4">
        <f>C7*C7+F7*F7*H7*H7/4</f>
        <v>21589</v>
      </c>
      <c r="X7" s="4">
        <f>F7*F7*H7*H7</f>
        <v>72900</v>
      </c>
      <c r="Y7" s="14">
        <f>(V7-1)*U7</f>
        <v>0</v>
      </c>
      <c r="Z7" s="15">
        <f>MAX(Y7,X7)/U7</f>
        <v>2916</v>
      </c>
      <c r="AA7" s="4">
        <f>D7*F7*F7*G7</f>
        <v>153600</v>
      </c>
      <c r="AB7" s="4">
        <f>S7*T7*I7</f>
        <v>307200</v>
      </c>
      <c r="AC7" s="3">
        <v>2</v>
      </c>
      <c r="AD7" s="3">
        <v>1</v>
      </c>
      <c r="AE7">
        <f>1000000*$H$1/MAX(R7,W7)</f>
        <v>12274.769558571496</v>
      </c>
      <c r="AF7">
        <f>CEILING(AB7*AD7/18000,1) *M7</f>
        <v>2304</v>
      </c>
    </row>
    <row r="8" spans="1:33" ht="15.75" customHeight="1">
      <c r="A8" s="4">
        <v>5</v>
      </c>
      <c r="B8" s="9" t="s">
        <v>39</v>
      </c>
      <c r="C8" s="4">
        <f t="shared" si="1"/>
        <v>54</v>
      </c>
      <c r="D8" s="4">
        <f t="shared" ref="D8:D20" si="3">G7</f>
        <v>128</v>
      </c>
      <c r="E8" s="3">
        <v>2</v>
      </c>
      <c r="F8" s="3">
        <v>3</v>
      </c>
      <c r="G8" s="4">
        <v>128</v>
      </c>
      <c r="H8" s="4">
        <f t="shared" ref="H8:H18" si="4">IF(B8="pad", C8+2*F8, IF(B8="pool", C8/E8, IF(OR(B8="conv",B8="fc"), (C8-F8+1)/E8,C8)))</f>
        <v>27</v>
      </c>
      <c r="I8" s="4">
        <f t="shared" si="2"/>
        <v>2</v>
      </c>
      <c r="J8" s="4">
        <f t="shared" si="0"/>
        <v>6561</v>
      </c>
      <c r="K8" s="5"/>
      <c r="L8" s="5"/>
      <c r="M8" s="5"/>
      <c r="N8" s="5"/>
      <c r="O8" s="4"/>
      <c r="P8" s="4"/>
      <c r="Q8" s="4"/>
      <c r="R8" s="4"/>
      <c r="S8" s="5"/>
      <c r="T8" s="5"/>
      <c r="U8" s="4"/>
      <c r="V8" s="5"/>
      <c r="W8" s="5"/>
      <c r="X8" s="5"/>
      <c r="Y8" s="5"/>
      <c r="Z8" s="15"/>
      <c r="AA8" s="5"/>
      <c r="AB8" s="4"/>
      <c r="AC8" s="5"/>
      <c r="AD8" s="5"/>
    </row>
    <row r="9" spans="1:33" ht="15.75" customHeight="1">
      <c r="A9" s="4">
        <v>6</v>
      </c>
      <c r="B9" s="8" t="s">
        <v>40</v>
      </c>
      <c r="C9" s="4">
        <f t="shared" si="1"/>
        <v>27</v>
      </c>
      <c r="D9" s="4">
        <f t="shared" si="3"/>
        <v>128</v>
      </c>
      <c r="E9" s="3">
        <v>1</v>
      </c>
      <c r="F9" s="4">
        <v>1</v>
      </c>
      <c r="G9" s="3">
        <v>256</v>
      </c>
      <c r="H9" s="4">
        <f t="shared" si="4"/>
        <v>27</v>
      </c>
      <c r="I9" s="4">
        <f t="shared" si="2"/>
        <v>2</v>
      </c>
      <c r="J9" s="4">
        <f t="shared" si="0"/>
        <v>0</v>
      </c>
      <c r="K9" s="5"/>
      <c r="L9" s="5"/>
      <c r="M9" s="5"/>
      <c r="N9" s="5"/>
      <c r="O9" s="4"/>
      <c r="P9" s="4"/>
      <c r="Q9" s="4"/>
      <c r="R9" s="4"/>
      <c r="S9" s="5"/>
      <c r="T9" s="5"/>
      <c r="U9" s="4"/>
      <c r="V9" s="5"/>
      <c r="W9" s="5"/>
      <c r="X9" s="5"/>
      <c r="Y9" s="5"/>
      <c r="Z9" s="15"/>
      <c r="AA9" s="5"/>
      <c r="AB9" s="4"/>
      <c r="AC9" s="5"/>
      <c r="AD9" s="5"/>
    </row>
    <row r="10" spans="1:33" ht="15.75" customHeight="1">
      <c r="A10" s="4">
        <v>7</v>
      </c>
      <c r="B10" s="8" t="s">
        <v>36</v>
      </c>
      <c r="C10" s="4">
        <f t="shared" si="1"/>
        <v>27</v>
      </c>
      <c r="D10" s="4">
        <f t="shared" si="3"/>
        <v>256</v>
      </c>
      <c r="E10" s="3">
        <v>1</v>
      </c>
      <c r="F10" s="3">
        <v>1</v>
      </c>
      <c r="G10" s="3">
        <v>256</v>
      </c>
      <c r="H10" s="4">
        <f t="shared" si="4"/>
        <v>29</v>
      </c>
      <c r="I10" s="4">
        <f t="shared" si="2"/>
        <v>1</v>
      </c>
      <c r="J10" s="4"/>
      <c r="K10" s="5"/>
      <c r="L10" s="4"/>
      <c r="M10" s="4"/>
      <c r="N10" s="3"/>
      <c r="O10" s="4"/>
      <c r="P10" s="4"/>
      <c r="Q10" s="4"/>
      <c r="R10" s="4"/>
      <c r="S10" s="4"/>
      <c r="T10" s="4"/>
      <c r="U10" s="3"/>
      <c r="V10" s="4"/>
      <c r="W10" s="4"/>
      <c r="X10" s="4"/>
      <c r="Y10" s="14"/>
      <c r="Z10" s="15"/>
      <c r="AA10" s="4"/>
      <c r="AB10" s="4"/>
      <c r="AC10" s="4"/>
      <c r="AD10" s="4"/>
    </row>
    <row r="11" spans="1:33" ht="15.75" customHeight="1">
      <c r="A11" s="4">
        <v>8</v>
      </c>
      <c r="B11" s="9" t="s">
        <v>37</v>
      </c>
      <c r="C11" s="4">
        <f t="shared" si="1"/>
        <v>29</v>
      </c>
      <c r="D11" s="4">
        <f t="shared" si="3"/>
        <v>256</v>
      </c>
      <c r="E11" s="3">
        <v>1</v>
      </c>
      <c r="F11" s="4">
        <v>3</v>
      </c>
      <c r="G11" s="3">
        <v>384</v>
      </c>
      <c r="H11" s="4">
        <f t="shared" si="4"/>
        <v>27</v>
      </c>
      <c r="I11" s="4">
        <f t="shared" si="2"/>
        <v>1</v>
      </c>
      <c r="J11" s="4">
        <f t="shared" ref="J11:J23" si="5">IF(B11="pad", 0, IF(B11="pool", H11*H11*F11*F11, IF(OR(B11="conv",B11="fc"), I11*2*H11*H11*F11*F11*D11*G11,0)))</f>
        <v>1289945088</v>
      </c>
      <c r="K11" s="5"/>
      <c r="L11" s="3">
        <v>64</v>
      </c>
      <c r="M11" s="3">
        <v>128</v>
      </c>
      <c r="N11" s="3">
        <v>4</v>
      </c>
      <c r="O11" s="4">
        <f>G11/M11</f>
        <v>3</v>
      </c>
      <c r="P11" s="4">
        <f>F11*F11*D11*G11/(L11*M11)</f>
        <v>108</v>
      </c>
      <c r="Q11" s="4">
        <f>2*L11*M11*N11</f>
        <v>65536</v>
      </c>
      <c r="R11" s="4">
        <f>J11/(Q11*I11)</f>
        <v>19683</v>
      </c>
      <c r="S11" s="4">
        <f>F11*F11*D11</f>
        <v>2304</v>
      </c>
      <c r="T11" s="4">
        <f>G11</f>
        <v>384</v>
      </c>
      <c r="U11" s="4">
        <f>S11/L11</f>
        <v>36</v>
      </c>
      <c r="V11" s="4">
        <f>T11/M11</f>
        <v>3</v>
      </c>
      <c r="W11" s="4">
        <f>C11*C11+F11*F11*H11*H11</f>
        <v>7402</v>
      </c>
      <c r="X11" s="4">
        <f>F11*F11*H11*H11</f>
        <v>6561</v>
      </c>
      <c r="Y11" s="14">
        <f>(V11-1)*U11</f>
        <v>72</v>
      </c>
      <c r="Z11" s="15">
        <f>MAX(Y11,X11)/U11</f>
        <v>182.25</v>
      </c>
      <c r="AA11" s="4">
        <f>D11*F11*F11*G11</f>
        <v>884736</v>
      </c>
      <c r="AB11" s="4">
        <f>S11*T11*I11</f>
        <v>884736</v>
      </c>
      <c r="AC11" s="3">
        <v>2</v>
      </c>
      <c r="AD11" s="3">
        <v>1</v>
      </c>
      <c r="AE11">
        <f>1000000*$H$1/MAX(R11,W11)</f>
        <v>13463.394807702078</v>
      </c>
      <c r="AF11">
        <f>CEILING(AB11*AD11/18000,1) *M11</f>
        <v>6400</v>
      </c>
    </row>
    <row r="12" spans="1:33" ht="15.75" customHeight="1">
      <c r="A12" s="4">
        <v>9</v>
      </c>
      <c r="B12" s="9" t="s">
        <v>36</v>
      </c>
      <c r="C12" s="4">
        <f t="shared" si="1"/>
        <v>27</v>
      </c>
      <c r="D12" s="4">
        <f t="shared" si="3"/>
        <v>384</v>
      </c>
      <c r="E12" s="3">
        <v>1</v>
      </c>
      <c r="F12" s="3">
        <v>0.5</v>
      </c>
      <c r="G12" s="3">
        <v>384</v>
      </c>
      <c r="H12" s="4">
        <f t="shared" si="4"/>
        <v>28</v>
      </c>
      <c r="I12" s="4">
        <f t="shared" si="2"/>
        <v>1</v>
      </c>
      <c r="J12" s="4">
        <f t="shared" si="5"/>
        <v>0</v>
      </c>
      <c r="K12" s="5"/>
      <c r="L12" s="5"/>
      <c r="M12" s="5"/>
      <c r="N12" s="5"/>
      <c r="O12" s="4"/>
      <c r="P12" s="4"/>
      <c r="Q12" s="4"/>
      <c r="R12" s="4"/>
      <c r="S12" s="5"/>
      <c r="T12" s="5"/>
      <c r="U12" s="4"/>
      <c r="V12" s="5"/>
      <c r="W12" s="5"/>
      <c r="X12" s="5"/>
      <c r="Y12" s="5"/>
      <c r="Z12" s="15"/>
      <c r="AA12" s="5"/>
      <c r="AB12" s="4"/>
      <c r="AC12" s="5"/>
      <c r="AD12" s="5"/>
    </row>
    <row r="13" spans="1:33" ht="15.75" customHeight="1">
      <c r="A13" s="4">
        <v>10</v>
      </c>
      <c r="B13" s="9" t="s">
        <v>39</v>
      </c>
      <c r="C13" s="4">
        <f t="shared" si="1"/>
        <v>28</v>
      </c>
      <c r="D13" s="4">
        <f t="shared" si="3"/>
        <v>384</v>
      </c>
      <c r="E13" s="3">
        <v>2</v>
      </c>
      <c r="F13" s="3">
        <v>3</v>
      </c>
      <c r="G13" s="3">
        <v>384</v>
      </c>
      <c r="H13" s="4">
        <f t="shared" si="4"/>
        <v>14</v>
      </c>
      <c r="I13" s="4">
        <f t="shared" si="2"/>
        <v>1</v>
      </c>
      <c r="J13" s="4">
        <f t="shared" si="5"/>
        <v>1764</v>
      </c>
      <c r="K13" s="5"/>
      <c r="L13" s="5"/>
      <c r="M13" s="5"/>
      <c r="N13" s="5"/>
      <c r="O13" s="4"/>
      <c r="P13" s="4"/>
      <c r="Q13" s="4"/>
      <c r="R13" s="4"/>
      <c r="S13" s="5"/>
      <c r="T13" s="5"/>
      <c r="U13" s="4"/>
      <c r="V13" s="5"/>
      <c r="W13" s="5"/>
      <c r="X13" s="5"/>
      <c r="Y13" s="5"/>
      <c r="Z13" s="15"/>
      <c r="AA13" s="5"/>
      <c r="AB13" s="4"/>
      <c r="AC13" s="5"/>
      <c r="AD13" s="5"/>
    </row>
    <row r="14" spans="1:33" ht="15.75" customHeight="1">
      <c r="A14" s="4">
        <v>11</v>
      </c>
      <c r="B14" s="8" t="s">
        <v>38</v>
      </c>
      <c r="C14" s="4">
        <f t="shared" si="1"/>
        <v>14</v>
      </c>
      <c r="D14" s="4">
        <f t="shared" si="3"/>
        <v>384</v>
      </c>
      <c r="E14" s="3">
        <v>1</v>
      </c>
      <c r="F14" s="3">
        <v>1</v>
      </c>
      <c r="G14" s="3">
        <v>192</v>
      </c>
      <c r="H14" s="4">
        <f t="shared" si="4"/>
        <v>14</v>
      </c>
      <c r="I14" s="4">
        <f t="shared" si="2"/>
        <v>1</v>
      </c>
      <c r="J14" s="4">
        <f t="shared" si="5"/>
        <v>0</v>
      </c>
      <c r="K14" s="5"/>
      <c r="L14" s="5"/>
      <c r="M14" s="5"/>
      <c r="N14" s="5"/>
      <c r="O14" s="4"/>
      <c r="P14" s="4"/>
      <c r="Q14" s="4"/>
      <c r="R14" s="4"/>
      <c r="S14" s="5"/>
      <c r="T14" s="5"/>
      <c r="U14" s="4"/>
      <c r="V14" s="5"/>
      <c r="W14" s="5"/>
      <c r="X14" s="5"/>
      <c r="Y14" s="5"/>
      <c r="Z14" s="15"/>
      <c r="AA14" s="5"/>
      <c r="AB14" s="4"/>
      <c r="AC14" s="5"/>
      <c r="AD14" s="5"/>
    </row>
    <row r="15" spans="1:33" ht="15.75" customHeight="1">
      <c r="A15" s="4">
        <v>12</v>
      </c>
      <c r="B15" s="8" t="s">
        <v>36</v>
      </c>
      <c r="C15" s="4">
        <f t="shared" si="1"/>
        <v>14</v>
      </c>
      <c r="D15" s="4">
        <f t="shared" si="3"/>
        <v>192</v>
      </c>
      <c r="E15" s="3">
        <v>1</v>
      </c>
      <c r="F15" s="4">
        <v>1</v>
      </c>
      <c r="G15" s="3">
        <v>192</v>
      </c>
      <c r="H15" s="4">
        <f t="shared" si="4"/>
        <v>16</v>
      </c>
      <c r="I15" s="4">
        <f t="shared" si="2"/>
        <v>2</v>
      </c>
      <c r="J15" s="4">
        <f t="shared" si="5"/>
        <v>0</v>
      </c>
      <c r="K15" s="5"/>
      <c r="L15" s="5"/>
      <c r="M15" s="5"/>
      <c r="N15" s="5"/>
      <c r="O15" s="4"/>
      <c r="P15" s="4"/>
      <c r="Q15" s="4"/>
      <c r="R15" s="4"/>
      <c r="S15" s="5"/>
      <c r="T15" s="5"/>
      <c r="U15" s="4"/>
      <c r="V15" s="5"/>
      <c r="W15" s="5"/>
      <c r="X15" s="5"/>
      <c r="Y15" s="5"/>
      <c r="Z15" s="15"/>
      <c r="AA15" s="5"/>
      <c r="AB15" s="4"/>
      <c r="AC15" s="5"/>
      <c r="AD15" s="5"/>
    </row>
    <row r="16" spans="1:33" ht="15.75" customHeight="1">
      <c r="A16" s="4">
        <v>13</v>
      </c>
      <c r="B16" s="9" t="s">
        <v>37</v>
      </c>
      <c r="C16" s="4">
        <f t="shared" si="1"/>
        <v>16</v>
      </c>
      <c r="D16" s="4">
        <f t="shared" si="3"/>
        <v>192</v>
      </c>
      <c r="E16" s="3">
        <v>1</v>
      </c>
      <c r="F16" s="4">
        <v>3</v>
      </c>
      <c r="G16" s="3">
        <v>192</v>
      </c>
      <c r="H16" s="4">
        <f t="shared" si="4"/>
        <v>14</v>
      </c>
      <c r="I16" s="4">
        <f t="shared" si="2"/>
        <v>2</v>
      </c>
      <c r="J16" s="4">
        <f t="shared" si="5"/>
        <v>260112384</v>
      </c>
      <c r="K16" s="5"/>
      <c r="L16" s="3">
        <v>64</v>
      </c>
      <c r="M16" s="3">
        <v>64</v>
      </c>
      <c r="N16" s="3">
        <v>1</v>
      </c>
      <c r="O16" s="4">
        <f>G16/M16</f>
        <v>3</v>
      </c>
      <c r="P16" s="4">
        <f>F16*F16*D16*G16/(L16*M16)</f>
        <v>81</v>
      </c>
      <c r="Q16" s="4">
        <f>2*L16*M16*N16</f>
        <v>8192</v>
      </c>
      <c r="R16" s="4">
        <f>J16/(Q16*I16)</f>
        <v>15876</v>
      </c>
      <c r="S16" s="4">
        <f>F16*F16*D16</f>
        <v>1728</v>
      </c>
      <c r="T16" s="4">
        <f>G16</f>
        <v>192</v>
      </c>
      <c r="U16" s="4">
        <f>S16/L16</f>
        <v>27</v>
      </c>
      <c r="V16" s="4">
        <f>T16/M16</f>
        <v>3</v>
      </c>
      <c r="W16" s="4">
        <f>C16*C16+F16*F16*H16*H16</f>
        <v>2020</v>
      </c>
      <c r="X16" s="4">
        <f>F16*F16*H16*H16</f>
        <v>1764</v>
      </c>
      <c r="Y16" s="14">
        <f>(V16-1)*U16</f>
        <v>54</v>
      </c>
      <c r="Z16" s="15">
        <f>MAX(Y16,X16)/U16</f>
        <v>65.333333333333329</v>
      </c>
      <c r="AA16" s="4">
        <f>D16*F16*F16*G16</f>
        <v>331776</v>
      </c>
      <c r="AB16" s="4">
        <f>S16*T16*I16</f>
        <v>663552</v>
      </c>
      <c r="AC16" s="3">
        <v>2</v>
      </c>
      <c r="AD16" s="3">
        <v>1</v>
      </c>
      <c r="AE16">
        <f>1000000*$H$1/MAX(R16,W16)</f>
        <v>16691.861929957169</v>
      </c>
      <c r="AF16">
        <f>CEILING(AB16*AD16/18000,1) *M16</f>
        <v>2368</v>
      </c>
    </row>
    <row r="17" spans="1:33" ht="15.75" customHeight="1">
      <c r="A17" s="4">
        <v>14</v>
      </c>
      <c r="B17" s="9" t="s">
        <v>36</v>
      </c>
      <c r="C17" s="4">
        <f t="shared" si="1"/>
        <v>14</v>
      </c>
      <c r="D17" s="4">
        <f t="shared" si="3"/>
        <v>192</v>
      </c>
      <c r="E17" s="3">
        <v>1</v>
      </c>
      <c r="F17" s="4">
        <v>1</v>
      </c>
      <c r="G17" s="3">
        <v>192</v>
      </c>
      <c r="H17" s="4">
        <f t="shared" si="4"/>
        <v>16</v>
      </c>
      <c r="I17" s="4">
        <f t="shared" si="2"/>
        <v>2</v>
      </c>
      <c r="J17" s="4">
        <f t="shared" si="5"/>
        <v>0</v>
      </c>
      <c r="K17" s="5"/>
      <c r="L17" s="5"/>
      <c r="M17" s="5"/>
      <c r="N17" s="5"/>
      <c r="O17" s="4"/>
      <c r="P17" s="4"/>
      <c r="Q17" s="4"/>
      <c r="R17" s="4"/>
      <c r="S17" s="5"/>
      <c r="T17" s="5"/>
      <c r="U17" s="4"/>
      <c r="V17" s="5"/>
      <c r="W17" s="5"/>
      <c r="X17" s="5"/>
      <c r="Y17" s="5"/>
      <c r="Z17" s="15"/>
      <c r="AA17" s="5"/>
      <c r="AB17" s="4"/>
      <c r="AC17" s="5"/>
      <c r="AD17" s="5"/>
    </row>
    <row r="18" spans="1:33" ht="15.75" customHeight="1">
      <c r="A18" s="4">
        <v>15</v>
      </c>
      <c r="B18" s="9" t="s">
        <v>37</v>
      </c>
      <c r="C18" s="4">
        <f t="shared" si="1"/>
        <v>16</v>
      </c>
      <c r="D18" s="4">
        <f t="shared" si="3"/>
        <v>192</v>
      </c>
      <c r="E18" s="3">
        <v>1</v>
      </c>
      <c r="F18" s="4">
        <v>3</v>
      </c>
      <c r="G18" s="3">
        <v>128</v>
      </c>
      <c r="H18" s="4">
        <f t="shared" si="4"/>
        <v>14</v>
      </c>
      <c r="I18" s="4">
        <f t="shared" si="2"/>
        <v>2</v>
      </c>
      <c r="J18" s="4">
        <f t="shared" si="5"/>
        <v>173408256</v>
      </c>
      <c r="K18" s="5"/>
      <c r="L18" s="3">
        <v>32</v>
      </c>
      <c r="M18" s="3">
        <v>64</v>
      </c>
      <c r="N18" s="3">
        <v>1</v>
      </c>
      <c r="O18" s="4">
        <f>G18/M18</f>
        <v>2</v>
      </c>
      <c r="P18" s="4">
        <f>F18*F18*D18*G18/(L18*M18)</f>
        <v>108</v>
      </c>
      <c r="Q18" s="4">
        <f>2*L18*M18*N18</f>
        <v>4096</v>
      </c>
      <c r="R18" s="4">
        <f>J18/(Q18*I18)</f>
        <v>21168</v>
      </c>
      <c r="S18" s="4">
        <f>F18*F18*D18</f>
        <v>1728</v>
      </c>
      <c r="T18" s="4">
        <f>G18</f>
        <v>128</v>
      </c>
      <c r="U18" s="4">
        <f>S18/L18</f>
        <v>54</v>
      </c>
      <c r="V18" s="4">
        <f>T18/M18</f>
        <v>2</v>
      </c>
      <c r="W18" s="4">
        <f>C18*C18+F18*F18*H18*H18</f>
        <v>2020</v>
      </c>
      <c r="X18" s="4">
        <f>F18*F18*H18*H18</f>
        <v>1764</v>
      </c>
      <c r="Y18" s="14">
        <f>(V18-1)*U18</f>
        <v>54</v>
      </c>
      <c r="Z18" s="4">
        <f>Y21/U18</f>
        <v>1362.6666666666667</v>
      </c>
      <c r="AA18" s="4">
        <f>D18*F18*F18*G18</f>
        <v>221184</v>
      </c>
      <c r="AB18" s="4">
        <f>S18*T18*I18</f>
        <v>442368</v>
      </c>
      <c r="AC18" s="3">
        <v>2</v>
      </c>
      <c r="AD18" s="3">
        <v>1</v>
      </c>
      <c r="AE18">
        <f>1000000*$H$1/MAX(R18,W18)</f>
        <v>12518.896447467876</v>
      </c>
      <c r="AF18">
        <f>CEILING(AB18*AD18/18000,1) *M18</f>
        <v>1600</v>
      </c>
    </row>
    <row r="19" spans="1:33" ht="15.75" customHeight="1">
      <c r="A19" s="4">
        <v>16</v>
      </c>
      <c r="B19" s="9" t="s">
        <v>39</v>
      </c>
      <c r="C19" s="4">
        <f t="shared" si="1"/>
        <v>14</v>
      </c>
      <c r="D19" s="4">
        <f t="shared" si="3"/>
        <v>128</v>
      </c>
      <c r="E19" s="3">
        <v>2</v>
      </c>
      <c r="F19" s="3">
        <v>3</v>
      </c>
      <c r="G19" s="3">
        <v>128</v>
      </c>
      <c r="H19" s="3">
        <v>6</v>
      </c>
      <c r="I19" s="4">
        <f t="shared" si="2"/>
        <v>2</v>
      </c>
      <c r="J19" s="4">
        <f t="shared" si="5"/>
        <v>324</v>
      </c>
      <c r="K19" s="5"/>
      <c r="L19" s="5"/>
      <c r="M19" s="5"/>
      <c r="N19" s="5"/>
      <c r="O19" s="4"/>
      <c r="P19" s="4"/>
      <c r="Q19" s="4"/>
      <c r="R19" s="4"/>
      <c r="S19" s="5"/>
      <c r="T19" s="5"/>
      <c r="U19" s="4"/>
      <c r="V19" s="5"/>
      <c r="W19" s="5"/>
      <c r="X19" s="5"/>
      <c r="Y19" s="16"/>
      <c r="Z19" s="5"/>
      <c r="AA19" s="5"/>
      <c r="AB19" s="5"/>
      <c r="AC19" s="11"/>
      <c r="AD19" s="5"/>
    </row>
    <row r="20" spans="1:33" ht="15.75" customHeight="1">
      <c r="A20" s="4">
        <v>17</v>
      </c>
      <c r="B20" s="8" t="s">
        <v>40</v>
      </c>
      <c r="C20" s="4">
        <f t="shared" si="1"/>
        <v>6</v>
      </c>
      <c r="D20" s="4">
        <f t="shared" si="3"/>
        <v>128</v>
      </c>
      <c r="E20" s="3">
        <v>1</v>
      </c>
      <c r="F20" s="3">
        <v>1</v>
      </c>
      <c r="G20" s="3">
        <v>256</v>
      </c>
      <c r="H20" s="4">
        <f>IF(B20="pad", C20+2*F20, IF(B20="pool", C20/E20, IF(OR(B20="conv",B20="fc"), (C20-F20+1)/E20,C20)))</f>
        <v>6</v>
      </c>
      <c r="I20" s="4">
        <f t="shared" si="2"/>
        <v>2</v>
      </c>
      <c r="J20" s="4">
        <f t="shared" si="5"/>
        <v>0</v>
      </c>
      <c r="K20" s="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14"/>
      <c r="Z20" s="4"/>
      <c r="AA20" s="4"/>
      <c r="AB20" s="4"/>
      <c r="AC20" s="4"/>
      <c r="AD20" s="4"/>
    </row>
    <row r="21" spans="1:33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>
        <v>4096</v>
      </c>
      <c r="H21" s="3">
        <v>1</v>
      </c>
      <c r="I21" s="4">
        <f t="shared" si="2"/>
        <v>1</v>
      </c>
      <c r="J21" s="4">
        <f t="shared" si="5"/>
        <v>75497472</v>
      </c>
      <c r="K21" s="5"/>
      <c r="L21" s="3">
        <v>64</v>
      </c>
      <c r="M21" s="3">
        <v>8</v>
      </c>
      <c r="N21" s="4">
        <v>1</v>
      </c>
      <c r="O21" s="4">
        <f>G21/M21</f>
        <v>512</v>
      </c>
      <c r="P21" s="4">
        <f>F21*F21*D21*G21/(L21*M21)</f>
        <v>73728</v>
      </c>
      <c r="Q21" s="4">
        <f>2*L21*M21*N21</f>
        <v>1024</v>
      </c>
      <c r="R21" s="4">
        <f>J21/(Q21*I21)</f>
        <v>73728</v>
      </c>
      <c r="S21" s="4">
        <f>F21*F21*D21</f>
        <v>9216</v>
      </c>
      <c r="T21" s="4">
        <f>G21</f>
        <v>4096</v>
      </c>
      <c r="U21" s="4">
        <f t="shared" ref="U21:V23" si="6">S21/L21</f>
        <v>144</v>
      </c>
      <c r="V21" s="4">
        <f t="shared" si="6"/>
        <v>512</v>
      </c>
      <c r="W21" s="5"/>
      <c r="X21" s="5"/>
      <c r="Y21" s="14">
        <f>(V21-1)*U21</f>
        <v>73584</v>
      </c>
      <c r="Z21" s="4">
        <f>Y22/U21</f>
        <v>454.66666666666669</v>
      </c>
      <c r="AA21" s="4">
        <f>D21*F21*F21*G21</f>
        <v>37748736</v>
      </c>
      <c r="AB21" s="4">
        <f>S21*T21</f>
        <v>37748736</v>
      </c>
      <c r="AC21" s="3">
        <v>2</v>
      </c>
      <c r="AD21" s="3">
        <v>1</v>
      </c>
      <c r="AE21">
        <f>1000000*$H$1/MAX(R21,W21)</f>
        <v>3594.2925347222222</v>
      </c>
      <c r="AF21">
        <f>CEILING(AB21*AD21/18000,1) *M21</f>
        <v>16784</v>
      </c>
      <c r="AG21">
        <f>AB21*M$1*AD21*H21*H21/(1024*1024*1024)</f>
        <v>354.99185528120717</v>
      </c>
    </row>
    <row r="22" spans="1:33" ht="15.75" customHeight="1">
      <c r="A22" s="4">
        <v>19</v>
      </c>
      <c r="B22" s="9" t="s">
        <v>41</v>
      </c>
      <c r="C22" s="4">
        <f>H21</f>
        <v>1</v>
      </c>
      <c r="D22" s="4">
        <f>G21</f>
        <v>4096</v>
      </c>
      <c r="E22" s="3">
        <v>1</v>
      </c>
      <c r="F22" s="4">
        <v>1</v>
      </c>
      <c r="G22" s="3">
        <v>4096</v>
      </c>
      <c r="H22" s="4">
        <f>IF(B22="pad", C22+2*F22, IF(B22="pool", C22/E22, IF(OR(B22="conv",B22="fc"), (C22-F22+1)/E22,C22)))</f>
        <v>1</v>
      </c>
      <c r="I22" s="4">
        <f t="shared" si="2"/>
        <v>1</v>
      </c>
      <c r="J22" s="4">
        <f t="shared" si="5"/>
        <v>33554432</v>
      </c>
      <c r="K22" s="5"/>
      <c r="L22" s="3">
        <v>64</v>
      </c>
      <c r="M22" s="3">
        <v>4</v>
      </c>
      <c r="N22" s="4">
        <v>1</v>
      </c>
      <c r="O22" s="4">
        <f>G22/M22</f>
        <v>1024</v>
      </c>
      <c r="P22" s="4">
        <f>F22*F22*D22*G22/(L22*M22)</f>
        <v>65536</v>
      </c>
      <c r="Q22" s="4">
        <f>2*L22*M22*N22</f>
        <v>512</v>
      </c>
      <c r="R22" s="4">
        <f>J22/(Q22*I22)</f>
        <v>65536</v>
      </c>
      <c r="S22" s="4">
        <f>F22*F22*D22</f>
        <v>4096</v>
      </c>
      <c r="T22" s="4">
        <f>G22</f>
        <v>4096</v>
      </c>
      <c r="U22" s="4">
        <f t="shared" si="6"/>
        <v>64</v>
      </c>
      <c r="V22" s="4">
        <f t="shared" si="6"/>
        <v>1024</v>
      </c>
      <c r="W22" s="5"/>
      <c r="X22" s="5"/>
      <c r="Y22" s="14">
        <f>(V22-1)*U22</f>
        <v>65472</v>
      </c>
      <c r="Z22" s="4">
        <f>Y23/U22</f>
        <v>992</v>
      </c>
      <c r="AA22" s="4">
        <f>D22*F22*F22*G22</f>
        <v>16777216</v>
      </c>
      <c r="AB22" s="4">
        <f>S22*T22</f>
        <v>16777216</v>
      </c>
      <c r="AC22" s="3">
        <v>2</v>
      </c>
      <c r="AD22" s="3">
        <v>1</v>
      </c>
      <c r="AE22">
        <f>1000000*$H$1/MAX(R22,W22)</f>
        <v>4043.5791015625</v>
      </c>
      <c r="AF22">
        <f>CEILING(AB22*AD22/18000,1) *M22</f>
        <v>3732</v>
      </c>
      <c r="AG22">
        <f>AB22*M$1*AD22*H22*H22/(1024*1024*1024)</f>
        <v>157.77415790275873</v>
      </c>
    </row>
    <row r="23" spans="1:33" ht="15.75" customHeight="1">
      <c r="A23" s="4">
        <v>20</v>
      </c>
      <c r="B23" s="9" t="s">
        <v>41</v>
      </c>
      <c r="C23" s="4">
        <f>H22</f>
        <v>1</v>
      </c>
      <c r="D23" s="4">
        <f>G22</f>
        <v>4096</v>
      </c>
      <c r="E23" s="3">
        <v>1</v>
      </c>
      <c r="F23" s="4">
        <v>1</v>
      </c>
      <c r="G23" s="3">
        <v>1000</v>
      </c>
      <c r="H23" s="4">
        <f>IF(B23="pad", C23+2*F23, IF(B23="pool", C23/E23, IF(OR(B23="conv",B23="fc"), (C23-F23+1)/E23,C23)))</f>
        <v>1</v>
      </c>
      <c r="I23" s="4">
        <f t="shared" si="2"/>
        <v>1</v>
      </c>
      <c r="J23" s="4">
        <f t="shared" si="5"/>
        <v>8192000</v>
      </c>
      <c r="K23" s="5"/>
      <c r="L23" s="3">
        <v>8</v>
      </c>
      <c r="M23" s="3">
        <v>8</v>
      </c>
      <c r="N23" s="4">
        <v>1</v>
      </c>
      <c r="O23" s="4">
        <f>G23/M23</f>
        <v>125</v>
      </c>
      <c r="P23" s="4">
        <f>F23*F23*D23*G23/(L23*M23)</f>
        <v>64000</v>
      </c>
      <c r="Q23" s="4">
        <f>2*L23*M23*N23</f>
        <v>128</v>
      </c>
      <c r="R23" s="4">
        <f>J23/(Q23*I23)</f>
        <v>64000</v>
      </c>
      <c r="S23" s="4">
        <f>F23*F23*D23</f>
        <v>4096</v>
      </c>
      <c r="T23" s="4">
        <f>G23</f>
        <v>1000</v>
      </c>
      <c r="U23" s="4">
        <f t="shared" si="6"/>
        <v>512</v>
      </c>
      <c r="V23" s="4">
        <f t="shared" si="6"/>
        <v>125</v>
      </c>
      <c r="W23" s="5"/>
      <c r="X23" s="5"/>
      <c r="Y23" s="14">
        <f>(V23-1)*U23</f>
        <v>63488</v>
      </c>
      <c r="Z23" s="5"/>
      <c r="AA23" s="4">
        <f>D23*F23*F23*G23</f>
        <v>4096000</v>
      </c>
      <c r="AB23" s="4">
        <f>S23*T23</f>
        <v>4096000</v>
      </c>
      <c r="AC23" s="3">
        <v>2</v>
      </c>
      <c r="AD23" s="3">
        <v>4</v>
      </c>
      <c r="AE23">
        <f>1000000*$H$1/MAX(R23,W23)</f>
        <v>4140.625</v>
      </c>
      <c r="AF23">
        <f>CEILING(AB23*AD23/18000,1) *M23</f>
        <v>7288</v>
      </c>
      <c r="AG23">
        <f>AB23*M$1*AD23*H23*H23/(1024*1024*1024)</f>
        <v>154.07632607691284</v>
      </c>
    </row>
    <row r="28" spans="1:33" ht="15.75" customHeight="1">
      <c r="H28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opLeftCell="J1" workbookViewId="0">
      <selection activeCell="W4" sqref="W4"/>
    </sheetView>
  </sheetViews>
  <sheetFormatPr defaultColWidth="14.42578125" defaultRowHeight="15.75" customHeight="1"/>
  <cols>
    <col min="1" max="1" width="8.7109375" customWidth="1"/>
    <col min="3" max="3" width="6.85546875" customWidth="1"/>
    <col min="4" max="4" width="11.42578125" customWidth="1"/>
    <col min="9" max="9" width="17.42578125" customWidth="1"/>
    <col min="10" max="10" width="24.42578125" customWidth="1"/>
    <col min="25" max="25" width="22.140625" customWidth="1"/>
    <col min="26" max="26" width="16.85546875" customWidth="1"/>
    <col min="27" max="27" width="16.28515625" customWidth="1"/>
    <col min="28" max="28" width="14.42578125" customWidth="1"/>
    <col min="29" max="31" width="16.42578125" customWidth="1"/>
  </cols>
  <sheetData>
    <row r="1" spans="1:31" ht="15.75" customHeight="1">
      <c r="A1" s="1" t="s">
        <v>0</v>
      </c>
      <c r="B1" s="34" t="s">
        <v>1</v>
      </c>
      <c r="C1" s="35"/>
      <c r="D1" s="35"/>
      <c r="E1" s="35"/>
      <c r="F1" s="35"/>
      <c r="G1" s="1" t="s">
        <v>2</v>
      </c>
      <c r="H1" s="3">
        <v>180</v>
      </c>
      <c r="I1" s="1"/>
      <c r="J1" s="2" t="s">
        <v>3</v>
      </c>
      <c r="K1" s="4">
        <f>MAX(MAX(R4:R20),MAX(W5:W20))</f>
        <v>104976</v>
      </c>
      <c r="L1" s="1" t="s">
        <v>4</v>
      </c>
      <c r="M1" s="4">
        <f>1000000*H1/K1</f>
        <v>1714.6776406035665</v>
      </c>
      <c r="N1" s="5"/>
      <c r="O1" s="5"/>
      <c r="P1" s="5"/>
      <c r="Q1" s="5"/>
      <c r="R1" s="1" t="s">
        <v>5</v>
      </c>
      <c r="S1" s="4">
        <f>SUM(J3:J23)/(C3*C3*D3+G23*2)</f>
        <v>25399.752078306934</v>
      </c>
      <c r="T1" s="5"/>
      <c r="U1" s="5"/>
      <c r="V1" s="5"/>
      <c r="W1" s="5"/>
      <c r="X1" s="5"/>
      <c r="Y1" s="6"/>
      <c r="Z1" s="5"/>
      <c r="AA1" s="5"/>
      <c r="AB1" s="5"/>
    </row>
    <row r="2" spans="1:31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SUM(J3:J113)/1000000 &amp;"M"</f>
        <v>ops, total: 3874.173385M</v>
      </c>
      <c r="K2" s="1" t="s">
        <v>15</v>
      </c>
      <c r="L2" s="1" t="s">
        <v>16</v>
      </c>
      <c r="M2" s="1" t="s">
        <v>17</v>
      </c>
      <c r="N2" s="1" t="s">
        <v>18</v>
      </c>
      <c r="O2" s="2" t="s">
        <v>19</v>
      </c>
      <c r="P2" s="2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</row>
    <row r="3" spans="1:31" ht="15.75" customHeight="1">
      <c r="A3" s="4">
        <v>0</v>
      </c>
      <c r="B3" s="11" t="s">
        <v>36</v>
      </c>
      <c r="C3" s="4">
        <v>224</v>
      </c>
      <c r="D3" s="4">
        <v>3</v>
      </c>
      <c r="E3" s="4">
        <v>1</v>
      </c>
      <c r="F3" s="4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4">
        <v>1</v>
      </c>
      <c r="V3" s="5"/>
      <c r="W3" s="5"/>
      <c r="X3" s="5"/>
      <c r="Y3" s="5"/>
      <c r="Z3" s="5"/>
      <c r="AA3" s="5"/>
      <c r="AB3" s="5"/>
    </row>
    <row r="4" spans="1:31" ht="15.75" customHeight="1">
      <c r="A4" s="4">
        <v>1</v>
      </c>
      <c r="B4" s="11" t="s">
        <v>37</v>
      </c>
      <c r="C4" s="4">
        <f t="shared" ref="C4:C20" si="1">H3</f>
        <v>227</v>
      </c>
      <c r="D4" s="4">
        <f>G3</f>
        <v>3</v>
      </c>
      <c r="E4" s="4">
        <v>4</v>
      </c>
      <c r="F4" s="4">
        <v>12</v>
      </c>
      <c r="G4" s="4">
        <v>96</v>
      </c>
      <c r="H4" s="4">
        <f>IF(B4="pad", C4+2*F4, IF(B4="pool", C4/F4, IF(OR(B4="conv",B4="fc"), (C4-F4+1)/E4,C4)))</f>
        <v>54</v>
      </c>
      <c r="I4" s="4">
        <f t="shared" ref="I4:I23" si="2">IF(B3="merge", 1, IF(B3="split", 2, I3))</f>
        <v>1</v>
      </c>
      <c r="J4" s="4">
        <f t="shared" si="0"/>
        <v>241864704</v>
      </c>
      <c r="K4" s="10">
        <f>J4/SUM(J$4:J$23)*100</f>
        <v>6.2430015377331909</v>
      </c>
      <c r="L4" s="3">
        <v>3</v>
      </c>
      <c r="M4" s="3">
        <v>48</v>
      </c>
      <c r="N4" s="3">
        <v>9</v>
      </c>
      <c r="O4" s="4">
        <f>G4/M4</f>
        <v>2</v>
      </c>
      <c r="P4" s="4">
        <f>F4*F4*D4*G4/(L4*M4)</f>
        <v>288</v>
      </c>
      <c r="Q4" s="4">
        <f>2*L4*M4*N4</f>
        <v>2592</v>
      </c>
      <c r="R4" s="4">
        <f>J4/(Q4*I4)</f>
        <v>93312</v>
      </c>
      <c r="S4" s="4">
        <f>F4*F4*D4</f>
        <v>432</v>
      </c>
      <c r="T4" s="4">
        <f>G4</f>
        <v>96</v>
      </c>
      <c r="U4" s="4">
        <f>S4/L4</f>
        <v>144</v>
      </c>
      <c r="V4" s="4">
        <f>T4/M4</f>
        <v>2</v>
      </c>
      <c r="W4" s="4">
        <f>C4*C4+(F4*F4*H4*H4)/N4</f>
        <v>98185</v>
      </c>
      <c r="X4" s="4">
        <f>F4*F4*H4*H4/N4</f>
        <v>46656</v>
      </c>
      <c r="Y4" s="4">
        <f>D4*F4*F4*G4</f>
        <v>41472</v>
      </c>
      <c r="Z4" s="4">
        <f>S4*T4</f>
        <v>41472</v>
      </c>
      <c r="AA4" s="3">
        <v>8</v>
      </c>
      <c r="AB4" s="3">
        <v>4</v>
      </c>
      <c r="AC4">
        <f>1000000*$H$1/R4</f>
        <v>1929.0123456790122</v>
      </c>
      <c r="AD4">
        <f>CEILING(Z4*AB4/18000,1) *M4</f>
        <v>480</v>
      </c>
    </row>
    <row r="5" spans="1:31" ht="15.75" customHeight="1">
      <c r="A5" s="4">
        <v>2</v>
      </c>
      <c r="B5" s="11" t="s">
        <v>38</v>
      </c>
      <c r="C5" s="4">
        <f t="shared" si="1"/>
        <v>54</v>
      </c>
      <c r="D5" s="4">
        <f>G4</f>
        <v>96</v>
      </c>
      <c r="E5" s="4">
        <v>1</v>
      </c>
      <c r="F5" s="4">
        <v>1</v>
      </c>
      <c r="G5" s="4">
        <v>48</v>
      </c>
      <c r="H5" s="4">
        <f>IF(B5="pad", C5+2*F5, IF(B5="pool", C5/F5, IF(OR(B5="conv",B5="fc"), (C5-F5+1)/E5,C5)))</f>
        <v>54</v>
      </c>
      <c r="I5" s="4">
        <f t="shared" si="2"/>
        <v>1</v>
      </c>
      <c r="J5" s="4">
        <f t="shared" si="0"/>
        <v>0</v>
      </c>
      <c r="K5" s="10"/>
      <c r="L5" s="5"/>
      <c r="M5" s="5"/>
      <c r="N5" s="5"/>
      <c r="O5" s="4"/>
      <c r="P5" s="4"/>
      <c r="Q5" s="4"/>
      <c r="R5" s="4"/>
      <c r="S5" s="5"/>
      <c r="T5" s="5"/>
      <c r="U5" s="4"/>
      <c r="V5" s="5"/>
      <c r="W5" s="4"/>
      <c r="X5" s="5"/>
      <c r="Y5" s="5"/>
      <c r="Z5" s="5"/>
      <c r="AA5" s="5"/>
      <c r="AB5" s="5"/>
    </row>
    <row r="6" spans="1:31" ht="15.75" customHeight="1">
      <c r="A6" s="4">
        <v>3</v>
      </c>
      <c r="B6" s="11" t="s">
        <v>36</v>
      </c>
      <c r="C6" s="4">
        <f t="shared" si="1"/>
        <v>54</v>
      </c>
      <c r="D6" s="4">
        <f>G5</f>
        <v>48</v>
      </c>
      <c r="E6" s="4">
        <v>1</v>
      </c>
      <c r="F6" s="4">
        <v>2</v>
      </c>
      <c r="G6" s="4">
        <v>48</v>
      </c>
      <c r="H6" s="4">
        <f>IF(B6="pad", C6+2*F6, IF(B6="pool", C6/F6, IF(OR(B6="conv",B6="fc"), (C6-F6+1)/E6,C6)))</f>
        <v>58</v>
      </c>
      <c r="I6" s="4">
        <f t="shared" si="2"/>
        <v>2</v>
      </c>
      <c r="J6" s="4">
        <f t="shared" si="0"/>
        <v>0</v>
      </c>
      <c r="K6" s="10"/>
      <c r="L6" s="4"/>
      <c r="M6" s="4"/>
      <c r="N6" s="3"/>
      <c r="O6" s="4"/>
      <c r="P6" s="4"/>
      <c r="Q6" s="4"/>
      <c r="R6" s="4"/>
      <c r="S6" s="4"/>
      <c r="T6" s="4"/>
      <c r="U6" s="3"/>
      <c r="V6" s="4"/>
      <c r="W6" s="4"/>
      <c r="X6" s="4"/>
      <c r="Y6" s="4"/>
      <c r="Z6" s="4"/>
      <c r="AA6" s="4"/>
      <c r="AB6" s="4"/>
    </row>
    <row r="7" spans="1:31" ht="15.75" customHeight="1">
      <c r="A7" s="4">
        <v>4</v>
      </c>
      <c r="B7" s="11" t="s">
        <v>37</v>
      </c>
      <c r="C7" s="4">
        <f t="shared" si="1"/>
        <v>58</v>
      </c>
      <c r="D7" s="4">
        <f>G5</f>
        <v>48</v>
      </c>
      <c r="E7" s="4">
        <v>1</v>
      </c>
      <c r="F7" s="4">
        <v>5</v>
      </c>
      <c r="G7" s="4">
        <v>128</v>
      </c>
      <c r="H7" s="4">
        <f>IF(B7="pad", C7+2*F7, IF(B7="pool", C7/F7, IF(OR(B7="conv",B7="fc"), (C7-F7+1)/E7,C7)))</f>
        <v>54</v>
      </c>
      <c r="I7" s="4">
        <f t="shared" si="2"/>
        <v>2</v>
      </c>
      <c r="J7" s="4">
        <f t="shared" si="0"/>
        <v>1791590400</v>
      </c>
      <c r="K7" s="10">
        <f>J7/SUM(J$4:J$23)*100</f>
        <v>46.24445583506067</v>
      </c>
      <c r="L7" s="3">
        <v>48</v>
      </c>
      <c r="M7" s="3">
        <v>32</v>
      </c>
      <c r="N7" s="3">
        <v>3</v>
      </c>
      <c r="O7" s="4">
        <f>G7/M7</f>
        <v>4</v>
      </c>
      <c r="P7" s="4">
        <f>F7*F7*D7*G7/(L7*M7)</f>
        <v>100</v>
      </c>
      <c r="Q7" s="4">
        <f>2*L7*M7*N7</f>
        <v>9216</v>
      </c>
      <c r="R7" s="4">
        <f>J7/(Q7*I7)</f>
        <v>97200</v>
      </c>
      <c r="S7" s="4">
        <f>F7*F7*D7</f>
        <v>1200</v>
      </c>
      <c r="T7" s="4">
        <f>G7</f>
        <v>128</v>
      </c>
      <c r="U7" s="4">
        <f>S7/L7</f>
        <v>25</v>
      </c>
      <c r="V7" s="4">
        <f>T7/M7</f>
        <v>4</v>
      </c>
      <c r="W7" s="4">
        <f>C7*C7+(F7*F7*H7*H7)/N7</f>
        <v>27664</v>
      </c>
      <c r="X7" s="4">
        <f>F7*F7*H7*H7</f>
        <v>72900</v>
      </c>
      <c r="Y7" s="4">
        <f>D7*F7*F7*G7</f>
        <v>153600</v>
      </c>
      <c r="Z7" s="4">
        <f>S7*T7*I7</f>
        <v>307200</v>
      </c>
      <c r="AA7" s="3">
        <v>2</v>
      </c>
      <c r="AB7" s="3">
        <v>1</v>
      </c>
      <c r="AC7">
        <f>1000000*$H$1/MAX(R7,W7)</f>
        <v>1851.851851851852</v>
      </c>
      <c r="AD7">
        <f>CEILING(Z7*AB7/18000,1) *M7</f>
        <v>576</v>
      </c>
    </row>
    <row r="8" spans="1:31" ht="15.75" customHeight="1">
      <c r="A8" s="4">
        <v>5</v>
      </c>
      <c r="B8" s="11" t="s">
        <v>39</v>
      </c>
      <c r="C8" s="4">
        <f t="shared" si="1"/>
        <v>54</v>
      </c>
      <c r="D8" s="4">
        <f t="shared" ref="D8:D20" si="3">G7</f>
        <v>128</v>
      </c>
      <c r="E8" s="4">
        <v>2</v>
      </c>
      <c r="F8" s="4">
        <v>3</v>
      </c>
      <c r="G8" s="4">
        <v>128</v>
      </c>
      <c r="H8" s="4">
        <f t="shared" ref="H8:H18" si="4">IF(B8="pad", C8+2*F8, IF(B8="pool", C8/E8, IF(OR(B8="conv",B8="fc"), (C8-F8+1)/E8,C8)))</f>
        <v>27</v>
      </c>
      <c r="I8" s="4">
        <f t="shared" si="2"/>
        <v>2</v>
      </c>
      <c r="J8" s="4">
        <f t="shared" si="0"/>
        <v>6561</v>
      </c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5"/>
      <c r="Y8" s="5"/>
      <c r="Z8" s="4"/>
      <c r="AA8" s="5"/>
      <c r="AB8" s="5"/>
    </row>
    <row r="9" spans="1:31" ht="15.75" customHeight="1">
      <c r="A9" s="4">
        <v>6</v>
      </c>
      <c r="B9" s="11" t="s">
        <v>40</v>
      </c>
      <c r="C9" s="4">
        <f t="shared" si="1"/>
        <v>27</v>
      </c>
      <c r="D9" s="4">
        <f t="shared" si="3"/>
        <v>128</v>
      </c>
      <c r="E9" s="4">
        <v>1</v>
      </c>
      <c r="F9" s="4">
        <v>1</v>
      </c>
      <c r="G9" s="4">
        <v>256</v>
      </c>
      <c r="H9" s="4">
        <f t="shared" si="4"/>
        <v>27</v>
      </c>
      <c r="I9" s="4">
        <f t="shared" si="2"/>
        <v>2</v>
      </c>
      <c r="J9" s="4">
        <f t="shared" si="0"/>
        <v>0</v>
      </c>
      <c r="K9" s="10"/>
      <c r="L9" s="5"/>
      <c r="M9" s="5"/>
      <c r="N9" s="5"/>
      <c r="O9" s="4"/>
      <c r="P9" s="4"/>
      <c r="Q9" s="4"/>
      <c r="R9" s="4"/>
      <c r="S9" s="5"/>
      <c r="T9" s="5"/>
      <c r="U9" s="4"/>
      <c r="V9" s="5"/>
      <c r="W9" s="4"/>
      <c r="X9" s="5"/>
      <c r="Y9" s="5"/>
      <c r="Z9" s="4"/>
      <c r="AA9" s="5"/>
      <c r="AB9" s="5"/>
    </row>
    <row r="10" spans="1:31" ht="15.75" customHeight="1">
      <c r="A10" s="4">
        <v>7</v>
      </c>
      <c r="B10" s="11" t="s">
        <v>36</v>
      </c>
      <c r="C10" s="4">
        <f t="shared" si="1"/>
        <v>27</v>
      </c>
      <c r="D10" s="4">
        <f t="shared" si="3"/>
        <v>256</v>
      </c>
      <c r="E10" s="4">
        <v>1</v>
      </c>
      <c r="F10" s="4">
        <v>1</v>
      </c>
      <c r="G10" s="4">
        <v>256</v>
      </c>
      <c r="H10" s="4">
        <f t="shared" si="4"/>
        <v>29</v>
      </c>
      <c r="I10" s="4">
        <f t="shared" si="2"/>
        <v>1</v>
      </c>
      <c r="J10" s="4"/>
      <c r="K10" s="10"/>
      <c r="L10" s="4"/>
      <c r="M10" s="4"/>
      <c r="N10" s="3"/>
      <c r="O10" s="4"/>
      <c r="P10" s="4"/>
      <c r="Q10" s="4"/>
      <c r="R10" s="4"/>
      <c r="S10" s="4"/>
      <c r="T10" s="4"/>
      <c r="U10" s="3"/>
      <c r="V10" s="4"/>
      <c r="W10" s="4"/>
      <c r="X10" s="4"/>
      <c r="Y10" s="4"/>
      <c r="Z10" s="4"/>
      <c r="AA10" s="4"/>
      <c r="AB10" s="4"/>
    </row>
    <row r="11" spans="1:31" ht="15.75" customHeight="1">
      <c r="A11" s="4">
        <v>8</v>
      </c>
      <c r="B11" s="11" t="s">
        <v>37</v>
      </c>
      <c r="C11" s="4">
        <f t="shared" si="1"/>
        <v>29</v>
      </c>
      <c r="D11" s="4">
        <f t="shared" si="3"/>
        <v>256</v>
      </c>
      <c r="E11" s="4">
        <v>1</v>
      </c>
      <c r="F11" s="4">
        <v>3</v>
      </c>
      <c r="G11" s="4">
        <v>384</v>
      </c>
      <c r="H11" s="4">
        <f t="shared" si="4"/>
        <v>27</v>
      </c>
      <c r="I11" s="4">
        <f t="shared" si="2"/>
        <v>1</v>
      </c>
      <c r="J11" s="4">
        <f t="shared" ref="J11:J23" si="5">IF(B11="pad", 0, IF(B11="pool", H11*H11*F11*F11, IF(OR(B11="conv",B11="fc"), I11*2*H11*H11*F11*F11*D11*G11,0)))</f>
        <v>1289945088</v>
      </c>
      <c r="K11" s="10">
        <f>J11/SUM(J$4:J$23)*100</f>
        <v>33.29600820124368</v>
      </c>
      <c r="L11" s="3">
        <v>64</v>
      </c>
      <c r="M11" s="3">
        <v>32</v>
      </c>
      <c r="N11" s="3">
        <v>3</v>
      </c>
      <c r="O11" s="4">
        <f>G11/M11</f>
        <v>12</v>
      </c>
      <c r="P11" s="4">
        <f>F11*F11*D11*G11/(L11*M11)</f>
        <v>432</v>
      </c>
      <c r="Q11" s="4">
        <f>2*L11*M11*N11</f>
        <v>12288</v>
      </c>
      <c r="R11" s="4">
        <f>J11/(Q11*I11)</f>
        <v>104976</v>
      </c>
      <c r="S11" s="4">
        <f>F11*F11*D11</f>
        <v>2304</v>
      </c>
      <c r="T11" s="4">
        <f>G11</f>
        <v>384</v>
      </c>
      <c r="U11" s="4">
        <f>S11/L11</f>
        <v>36</v>
      </c>
      <c r="V11" s="4">
        <f>T11/M11</f>
        <v>12</v>
      </c>
      <c r="W11" s="4">
        <f>C11*C11+(F11*F11*H11*H11)/N11</f>
        <v>3028</v>
      </c>
      <c r="X11" s="4">
        <f>F11*F11*H11*H11</f>
        <v>6561</v>
      </c>
      <c r="Y11" s="4">
        <f>D11*F11*F11*G11</f>
        <v>884736</v>
      </c>
      <c r="Z11" s="4">
        <f>S11*T11*I11</f>
        <v>884736</v>
      </c>
      <c r="AA11" s="3">
        <v>2</v>
      </c>
      <c r="AB11" s="3">
        <v>1</v>
      </c>
      <c r="AC11">
        <f>1000000*$H$1/MAX(R11,W11)</f>
        <v>1714.6776406035665</v>
      </c>
      <c r="AD11">
        <f>CEILING(Z11*AB11/18000,1) *M11</f>
        <v>1600</v>
      </c>
    </row>
    <row r="12" spans="1:31" ht="15.75" customHeight="1">
      <c r="A12" s="4">
        <v>9</v>
      </c>
      <c r="B12" s="11" t="s">
        <v>36</v>
      </c>
      <c r="C12" s="4">
        <f t="shared" si="1"/>
        <v>27</v>
      </c>
      <c r="D12" s="4">
        <f t="shared" si="3"/>
        <v>384</v>
      </c>
      <c r="E12" s="4">
        <v>1</v>
      </c>
      <c r="F12" s="4">
        <v>0.5</v>
      </c>
      <c r="G12" s="4">
        <v>384</v>
      </c>
      <c r="H12" s="4">
        <f t="shared" si="4"/>
        <v>28</v>
      </c>
      <c r="I12" s="4">
        <f t="shared" si="2"/>
        <v>1</v>
      </c>
      <c r="J12" s="4">
        <f t="shared" si="5"/>
        <v>0</v>
      </c>
      <c r="K12" s="10"/>
      <c r="L12" s="5"/>
      <c r="M12" s="5"/>
      <c r="N12" s="5"/>
      <c r="O12" s="4"/>
      <c r="P12" s="4"/>
      <c r="Q12" s="4"/>
      <c r="R12" s="4"/>
      <c r="S12" s="5"/>
      <c r="T12" s="5"/>
      <c r="U12" s="4"/>
      <c r="V12" s="5"/>
      <c r="W12" s="4"/>
      <c r="X12" s="5"/>
      <c r="Y12" s="5"/>
      <c r="Z12" s="4"/>
      <c r="AA12" s="5"/>
      <c r="AB12" s="5"/>
    </row>
    <row r="13" spans="1:31" ht="15.75" customHeight="1">
      <c r="A13" s="4">
        <v>10</v>
      </c>
      <c r="B13" s="11" t="s">
        <v>39</v>
      </c>
      <c r="C13" s="4">
        <f t="shared" si="1"/>
        <v>28</v>
      </c>
      <c r="D13" s="4">
        <f t="shared" si="3"/>
        <v>384</v>
      </c>
      <c r="E13" s="4">
        <v>2</v>
      </c>
      <c r="F13" s="4">
        <v>3</v>
      </c>
      <c r="G13" s="4">
        <v>384</v>
      </c>
      <c r="H13" s="4">
        <f t="shared" si="4"/>
        <v>14</v>
      </c>
      <c r="I13" s="4">
        <f t="shared" si="2"/>
        <v>1</v>
      </c>
      <c r="J13" s="4">
        <f t="shared" si="5"/>
        <v>1764</v>
      </c>
      <c r="K13" s="10"/>
      <c r="L13" s="5"/>
      <c r="M13" s="5"/>
      <c r="N13" s="5"/>
      <c r="O13" s="4"/>
      <c r="P13" s="4"/>
      <c r="Q13" s="4"/>
      <c r="R13" s="4"/>
      <c r="S13" s="5"/>
      <c r="T13" s="5"/>
      <c r="U13" s="4"/>
      <c r="V13" s="5"/>
      <c r="W13" s="4"/>
      <c r="X13" s="5"/>
      <c r="Y13" s="5"/>
      <c r="Z13" s="4"/>
      <c r="AA13" s="5"/>
      <c r="AB13" s="5"/>
    </row>
    <row r="14" spans="1:31" ht="15.75" customHeight="1">
      <c r="A14" s="4">
        <v>11</v>
      </c>
      <c r="B14" s="11" t="s">
        <v>38</v>
      </c>
      <c r="C14" s="4">
        <f t="shared" si="1"/>
        <v>14</v>
      </c>
      <c r="D14" s="4">
        <f t="shared" si="3"/>
        <v>384</v>
      </c>
      <c r="E14" s="4">
        <v>1</v>
      </c>
      <c r="F14" s="4">
        <v>1</v>
      </c>
      <c r="G14" s="4">
        <v>192</v>
      </c>
      <c r="H14" s="4">
        <f t="shared" si="4"/>
        <v>14</v>
      </c>
      <c r="I14" s="4">
        <f t="shared" si="2"/>
        <v>1</v>
      </c>
      <c r="J14" s="4">
        <f t="shared" si="5"/>
        <v>0</v>
      </c>
      <c r="K14" s="10"/>
      <c r="L14" s="5"/>
      <c r="M14" s="5"/>
      <c r="N14" s="5"/>
      <c r="O14" s="4"/>
      <c r="P14" s="4"/>
      <c r="Q14" s="4"/>
      <c r="R14" s="4"/>
      <c r="S14" s="5"/>
      <c r="T14" s="5"/>
      <c r="U14" s="4"/>
      <c r="V14" s="5"/>
      <c r="W14" s="4"/>
      <c r="X14" s="5"/>
      <c r="Y14" s="5"/>
      <c r="Z14" s="4"/>
      <c r="AA14" s="5"/>
      <c r="AB14" s="5"/>
    </row>
    <row r="15" spans="1:31" ht="15.75" customHeight="1">
      <c r="A15" s="4">
        <v>12</v>
      </c>
      <c r="B15" s="11" t="s">
        <v>36</v>
      </c>
      <c r="C15" s="4">
        <f t="shared" si="1"/>
        <v>14</v>
      </c>
      <c r="D15" s="4">
        <f t="shared" si="3"/>
        <v>192</v>
      </c>
      <c r="E15" s="4">
        <v>1</v>
      </c>
      <c r="F15" s="4">
        <v>1</v>
      </c>
      <c r="G15" s="4">
        <v>192</v>
      </c>
      <c r="H15" s="4">
        <f t="shared" si="4"/>
        <v>16</v>
      </c>
      <c r="I15" s="4">
        <f t="shared" si="2"/>
        <v>2</v>
      </c>
      <c r="J15" s="4">
        <f t="shared" si="5"/>
        <v>0</v>
      </c>
      <c r="K15" s="10"/>
      <c r="L15" s="5"/>
      <c r="M15" s="5"/>
      <c r="N15" s="5"/>
      <c r="O15" s="4"/>
      <c r="P15" s="4"/>
      <c r="Q15" s="4"/>
      <c r="R15" s="4"/>
      <c r="S15" s="5"/>
      <c r="T15" s="5"/>
      <c r="U15" s="4"/>
      <c r="V15" s="5"/>
      <c r="W15" s="4"/>
      <c r="X15" s="5"/>
      <c r="Y15" s="5"/>
      <c r="Z15" s="4"/>
      <c r="AA15" s="5"/>
      <c r="AB15" s="5"/>
    </row>
    <row r="16" spans="1:31" ht="15.75" customHeight="1">
      <c r="A16" s="4">
        <v>13</v>
      </c>
      <c r="B16" s="11" t="s">
        <v>37</v>
      </c>
      <c r="C16" s="4">
        <f t="shared" si="1"/>
        <v>16</v>
      </c>
      <c r="D16" s="4">
        <f t="shared" si="3"/>
        <v>192</v>
      </c>
      <c r="E16" s="4">
        <v>1</v>
      </c>
      <c r="F16" s="4">
        <v>3</v>
      </c>
      <c r="G16" s="4">
        <v>192</v>
      </c>
      <c r="H16" s="4">
        <f t="shared" si="4"/>
        <v>14</v>
      </c>
      <c r="I16" s="4">
        <f t="shared" si="2"/>
        <v>2</v>
      </c>
      <c r="J16" s="4">
        <f t="shared" si="5"/>
        <v>260112384</v>
      </c>
      <c r="K16" s="10">
        <f>J16/SUM(J$4:J$23)*100</f>
        <v>6.7140098842014009</v>
      </c>
      <c r="L16" s="3">
        <v>32</v>
      </c>
      <c r="M16" s="3">
        <v>16</v>
      </c>
      <c r="N16" s="3">
        <v>2</v>
      </c>
      <c r="O16" s="4">
        <f>G16/M16</f>
        <v>12</v>
      </c>
      <c r="P16" s="4">
        <f>F16*F16*D16*G16/(L16*M16)</f>
        <v>648</v>
      </c>
      <c r="Q16" s="4">
        <f>2*L16*M16*N16</f>
        <v>2048</v>
      </c>
      <c r="R16" s="4">
        <f>J16/(Q16*I16)</f>
        <v>63504</v>
      </c>
      <c r="S16" s="4">
        <f>F16*F16*D16</f>
        <v>1728</v>
      </c>
      <c r="T16" s="4">
        <f>G16</f>
        <v>192</v>
      </c>
      <c r="U16" s="4">
        <f>S16/L16</f>
        <v>54</v>
      </c>
      <c r="V16" s="4">
        <f>T16/M16</f>
        <v>12</v>
      </c>
      <c r="W16" s="4">
        <f>C16*C16+(F16*F16*H16*H16)/N16</f>
        <v>1138</v>
      </c>
      <c r="X16" s="4">
        <f>F16*F16*H16*H16</f>
        <v>1764</v>
      </c>
      <c r="Y16" s="4">
        <f>D16*F16*F16*G16</f>
        <v>331776</v>
      </c>
      <c r="Z16" s="4">
        <f>S16*T16*I16</f>
        <v>663552</v>
      </c>
      <c r="AA16" s="3">
        <v>2</v>
      </c>
      <c r="AB16" s="3">
        <v>1</v>
      </c>
      <c r="AC16">
        <f>1000000*$H$1/MAX(R16,W16)</f>
        <v>2834.4671201814058</v>
      </c>
      <c r="AD16">
        <f>CEILING(Z16*AB16/18000,1) *M16</f>
        <v>592</v>
      </c>
    </row>
    <row r="17" spans="1:31" ht="15.75" customHeight="1">
      <c r="A17" s="4">
        <v>14</v>
      </c>
      <c r="B17" s="11" t="s">
        <v>36</v>
      </c>
      <c r="C17" s="4">
        <f t="shared" si="1"/>
        <v>14</v>
      </c>
      <c r="D17" s="4">
        <f t="shared" si="3"/>
        <v>192</v>
      </c>
      <c r="E17" s="4">
        <v>1</v>
      </c>
      <c r="F17" s="4">
        <v>1</v>
      </c>
      <c r="G17" s="4">
        <v>192</v>
      </c>
      <c r="H17" s="4">
        <f t="shared" si="4"/>
        <v>16</v>
      </c>
      <c r="I17" s="4">
        <f t="shared" si="2"/>
        <v>2</v>
      </c>
      <c r="J17" s="4">
        <f t="shared" si="5"/>
        <v>0</v>
      </c>
      <c r="K17" s="10"/>
      <c r="L17" s="5"/>
      <c r="M17" s="5"/>
      <c r="N17" s="5"/>
      <c r="O17" s="4"/>
      <c r="P17" s="4"/>
      <c r="Q17" s="4"/>
      <c r="R17" s="4"/>
      <c r="S17" s="5"/>
      <c r="T17" s="5"/>
      <c r="U17" s="4"/>
      <c r="V17" s="5"/>
      <c r="W17" s="4"/>
      <c r="X17" s="5"/>
      <c r="Y17" s="5"/>
      <c r="Z17" s="4"/>
      <c r="AA17" s="5"/>
      <c r="AB17" s="5"/>
    </row>
    <row r="18" spans="1:31" ht="15.75" customHeight="1">
      <c r="A18" s="4">
        <v>15</v>
      </c>
      <c r="B18" s="11" t="s">
        <v>37</v>
      </c>
      <c r="C18" s="4">
        <f t="shared" si="1"/>
        <v>16</v>
      </c>
      <c r="D18" s="4">
        <f t="shared" si="3"/>
        <v>192</v>
      </c>
      <c r="E18" s="4">
        <v>1</v>
      </c>
      <c r="F18" s="4">
        <v>3</v>
      </c>
      <c r="G18" s="4">
        <v>128</v>
      </c>
      <c r="H18" s="4">
        <f t="shared" si="4"/>
        <v>14</v>
      </c>
      <c r="I18" s="4">
        <f t="shared" si="2"/>
        <v>2</v>
      </c>
      <c r="J18" s="4">
        <f t="shared" si="5"/>
        <v>173408256</v>
      </c>
      <c r="K18" s="10">
        <f>J18/SUM(J$4:J$23)*100</f>
        <v>4.4760065894676009</v>
      </c>
      <c r="L18" s="3">
        <v>32</v>
      </c>
      <c r="M18" s="3">
        <v>16</v>
      </c>
      <c r="N18" s="3">
        <v>2</v>
      </c>
      <c r="O18" s="4">
        <f>G18/M18</f>
        <v>8</v>
      </c>
      <c r="P18" s="4">
        <f>F18*F18*D18*G18/(L18*M18)</f>
        <v>432</v>
      </c>
      <c r="Q18" s="4">
        <f>2*L18*M18*N18</f>
        <v>2048</v>
      </c>
      <c r="R18" s="4">
        <f>J18/(Q18*I18)</f>
        <v>42336</v>
      </c>
      <c r="S18" s="4">
        <f>F18*F18*D18</f>
        <v>1728</v>
      </c>
      <c r="T18" s="4">
        <f>G18</f>
        <v>128</v>
      </c>
      <c r="U18" s="4">
        <f>S18/L18</f>
        <v>54</v>
      </c>
      <c r="V18" s="4">
        <f>T18/M18</f>
        <v>8</v>
      </c>
      <c r="W18" s="4">
        <f>C18*C18+(F18*F18*H18*H18)/N18</f>
        <v>1138</v>
      </c>
      <c r="X18" s="4">
        <f>F18*F18*H18*H18</f>
        <v>1764</v>
      </c>
      <c r="Y18" s="4">
        <f>D18*F18*F18*G18</f>
        <v>221184</v>
      </c>
      <c r="Z18" s="4">
        <f>S18*T18*I18</f>
        <v>442368</v>
      </c>
      <c r="AA18" s="3">
        <v>2</v>
      </c>
      <c r="AB18" s="3">
        <v>1</v>
      </c>
      <c r="AC18">
        <f>1000000*$H$1/MAX(R18,W18)</f>
        <v>4251.7006802721089</v>
      </c>
      <c r="AD18">
        <f>CEILING(Z18*AB18/18000,1) *M18</f>
        <v>400</v>
      </c>
    </row>
    <row r="19" spans="1:31" ht="15.75" customHeight="1">
      <c r="A19" s="4">
        <v>16</v>
      </c>
      <c r="B19" s="11" t="s">
        <v>39</v>
      </c>
      <c r="C19" s="4">
        <f t="shared" si="1"/>
        <v>14</v>
      </c>
      <c r="D19" s="4">
        <f t="shared" si="3"/>
        <v>128</v>
      </c>
      <c r="E19" s="4">
        <v>2</v>
      </c>
      <c r="F19" s="4">
        <v>3</v>
      </c>
      <c r="G19" s="4">
        <v>128</v>
      </c>
      <c r="H19" s="4">
        <v>6</v>
      </c>
      <c r="I19" s="4">
        <f t="shared" si="2"/>
        <v>2</v>
      </c>
      <c r="J19" s="4">
        <f t="shared" si="5"/>
        <v>324</v>
      </c>
      <c r="K19" s="10"/>
      <c r="L19" s="5"/>
      <c r="M19" s="5"/>
      <c r="N19" s="5"/>
      <c r="O19" s="4"/>
      <c r="P19" s="4"/>
      <c r="Q19" s="4"/>
      <c r="R19" s="4"/>
      <c r="S19" s="5"/>
      <c r="T19" s="5"/>
      <c r="U19" s="4"/>
      <c r="V19" s="5"/>
      <c r="W19" s="5"/>
      <c r="X19" s="5"/>
      <c r="Y19" s="5"/>
      <c r="Z19" s="5"/>
      <c r="AA19" s="11"/>
      <c r="AB19" s="5"/>
    </row>
    <row r="20" spans="1:31" ht="15.75" customHeight="1">
      <c r="A20" s="4">
        <v>17</v>
      </c>
      <c r="B20" s="11" t="s">
        <v>40</v>
      </c>
      <c r="C20" s="4">
        <f t="shared" si="1"/>
        <v>6</v>
      </c>
      <c r="D20" s="4">
        <f t="shared" si="3"/>
        <v>128</v>
      </c>
      <c r="E20" s="4">
        <v>1</v>
      </c>
      <c r="F20" s="4">
        <v>1</v>
      </c>
      <c r="G20" s="4">
        <v>256</v>
      </c>
      <c r="H20" s="4">
        <f>IF(B20="pad", C20+2*F20, IF(B20="pool", C20/E20, IF(OR(B20="conv",B20="fc"), (C20-F20+1)/E20,C20)))</f>
        <v>6</v>
      </c>
      <c r="I20" s="4">
        <f t="shared" si="2"/>
        <v>2</v>
      </c>
      <c r="J20" s="4">
        <f t="shared" si="5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4"/>
      <c r="Z20" s="4"/>
      <c r="AA20" s="4"/>
      <c r="AB20" s="4"/>
    </row>
    <row r="21" spans="1:31" ht="15.75" customHeight="1">
      <c r="A21" s="4">
        <v>18</v>
      </c>
      <c r="B21" s="11" t="s">
        <v>41</v>
      </c>
      <c r="C21" s="4">
        <v>1</v>
      </c>
      <c r="D21" s="4">
        <f>G20*H20*H20</f>
        <v>9216</v>
      </c>
      <c r="E21" s="4">
        <v>1</v>
      </c>
      <c r="F21" s="4">
        <v>1</v>
      </c>
      <c r="G21" s="4">
        <v>4096</v>
      </c>
      <c r="H21" s="4">
        <v>1</v>
      </c>
      <c r="I21" s="4">
        <f t="shared" si="2"/>
        <v>1</v>
      </c>
      <c r="J21" s="4">
        <f t="shared" si="5"/>
        <v>75497472</v>
      </c>
      <c r="K21" s="10">
        <f>J21/SUM(J$4:J$23)*100</f>
        <v>1.9487375627614045</v>
      </c>
      <c r="L21" s="3">
        <v>64</v>
      </c>
      <c r="M21" s="3">
        <v>32</v>
      </c>
      <c r="N21" s="4">
        <v>1</v>
      </c>
      <c r="O21" s="4">
        <f>G21/M21</f>
        <v>128</v>
      </c>
      <c r="P21" s="4">
        <f>F21*F21*D21*G21/(L21*M21)</f>
        <v>18432</v>
      </c>
      <c r="Q21" s="4">
        <f>2*L21*M21*N21</f>
        <v>4096</v>
      </c>
      <c r="R21" s="4">
        <f>J21/(Q21*I21)</f>
        <v>18432</v>
      </c>
      <c r="S21" s="4">
        <f>F21*F21*D21</f>
        <v>9216</v>
      </c>
      <c r="T21" s="4">
        <f>G21</f>
        <v>4096</v>
      </c>
      <c r="U21" s="4">
        <f t="shared" ref="U21:V23" si="6">S21/L21</f>
        <v>144</v>
      </c>
      <c r="V21" s="4">
        <f t="shared" si="6"/>
        <v>128</v>
      </c>
      <c r="W21" s="5"/>
      <c r="X21" s="5"/>
      <c r="Y21" s="4">
        <f>D21*F21*F21*G21</f>
        <v>37748736</v>
      </c>
      <c r="Z21" s="4">
        <f>S21*T21</f>
        <v>37748736</v>
      </c>
      <c r="AA21" s="3">
        <v>2</v>
      </c>
      <c r="AB21" s="3">
        <v>1</v>
      </c>
      <c r="AC21">
        <f>1000000*$H$1/MAX(R21,W21)</f>
        <v>9765.625</v>
      </c>
      <c r="AD21">
        <f>CEILING(Z21*AB21/18000,1) *M21</f>
        <v>67136</v>
      </c>
      <c r="AE21">
        <f>Z21*M$1*AB21*H21*H21/(1024*1024*1024)</f>
        <v>60.281635802469133</v>
      </c>
    </row>
    <row r="22" spans="1:31" ht="15.75" customHeight="1">
      <c r="A22" s="4">
        <v>19</v>
      </c>
      <c r="B22" s="11" t="s">
        <v>41</v>
      </c>
      <c r="C22" s="4">
        <f>H21</f>
        <v>1</v>
      </c>
      <c r="D22" s="4">
        <f>G21</f>
        <v>4096</v>
      </c>
      <c r="E22" s="4">
        <v>1</v>
      </c>
      <c r="F22" s="4">
        <v>1</v>
      </c>
      <c r="G22" s="4">
        <v>4096</v>
      </c>
      <c r="H22" s="4">
        <f>IF(B22="pad", C22+2*F22, IF(B22="pool", C22/E22, IF(OR(B22="conv",B22="fc"), (C22-F22+1)/E22,C22)))</f>
        <v>1</v>
      </c>
      <c r="I22" s="4">
        <f t="shared" si="2"/>
        <v>1</v>
      </c>
      <c r="J22" s="4">
        <f t="shared" si="5"/>
        <v>33554432</v>
      </c>
      <c r="K22" s="10">
        <f>J22/SUM(J$4:J$23)*100</f>
        <v>0.86610558344951305</v>
      </c>
      <c r="L22" s="3">
        <v>64</v>
      </c>
      <c r="M22" s="3">
        <v>16</v>
      </c>
      <c r="N22" s="4">
        <v>1</v>
      </c>
      <c r="O22" s="4">
        <f>G22/M22</f>
        <v>256</v>
      </c>
      <c r="P22" s="4">
        <f>F22*F22*D22*G22/(L22*M22)</f>
        <v>16384</v>
      </c>
      <c r="Q22" s="4">
        <f>2*L22*M22*N22</f>
        <v>2048</v>
      </c>
      <c r="R22" s="4">
        <f>J22/(Q22*I22)</f>
        <v>16384</v>
      </c>
      <c r="S22" s="4">
        <f>F22*F22*D22</f>
        <v>4096</v>
      </c>
      <c r="T22" s="4">
        <f>G22</f>
        <v>4096</v>
      </c>
      <c r="U22" s="4">
        <f t="shared" si="6"/>
        <v>64</v>
      </c>
      <c r="V22" s="4">
        <f t="shared" si="6"/>
        <v>256</v>
      </c>
      <c r="W22" s="5"/>
      <c r="X22" s="5"/>
      <c r="Y22" s="4">
        <f>D22*F22*F22*G22</f>
        <v>16777216</v>
      </c>
      <c r="Z22" s="4">
        <f>S22*T22</f>
        <v>16777216</v>
      </c>
      <c r="AA22" s="3">
        <v>2</v>
      </c>
      <c r="AB22" s="3">
        <v>1</v>
      </c>
      <c r="AC22">
        <f>1000000*$H$1/MAX(R22,W22)</f>
        <v>10986.328125</v>
      </c>
      <c r="AD22">
        <f>CEILING(Z22*AB22/18000,1) *M22</f>
        <v>14928</v>
      </c>
      <c r="AE22">
        <f>Z22*M$1*AB22*H22*H22/(1024*1024*1024)</f>
        <v>26.791838134430726</v>
      </c>
    </row>
    <row r="23" spans="1:31" ht="15.75" customHeight="1">
      <c r="A23" s="4">
        <v>20</v>
      </c>
      <c r="B23" s="11" t="s">
        <v>41</v>
      </c>
      <c r="C23" s="4">
        <f>H22</f>
        <v>1</v>
      </c>
      <c r="D23" s="4">
        <f>G22</f>
        <v>4096</v>
      </c>
      <c r="E23" s="4">
        <v>1</v>
      </c>
      <c r="F23" s="4">
        <v>1</v>
      </c>
      <c r="G23" s="4">
        <v>1000</v>
      </c>
      <c r="H23" s="4">
        <f>IF(B23="pad", C23+2*F23, IF(B23="pool", C23/E23, IF(OR(B23="conv",B23="fc"), (C23-F23+1)/E23,C23)))</f>
        <v>1</v>
      </c>
      <c r="I23" s="4">
        <f t="shared" si="2"/>
        <v>1</v>
      </c>
      <c r="J23" s="4">
        <f t="shared" si="5"/>
        <v>8192000</v>
      </c>
      <c r="K23" s="10">
        <f>J23/SUM(J$4:J$23)*100</f>
        <v>0.21145155845935376</v>
      </c>
      <c r="L23" s="3">
        <v>8</v>
      </c>
      <c r="M23" s="3">
        <v>32</v>
      </c>
      <c r="N23" s="4">
        <v>1</v>
      </c>
      <c r="O23" s="4">
        <f>G23/M23</f>
        <v>31.25</v>
      </c>
      <c r="P23" s="4">
        <f>F23*F23*D23*G23/(L23*M23)</f>
        <v>16000</v>
      </c>
      <c r="Q23" s="4">
        <f>2*L23*M23*N23</f>
        <v>512</v>
      </c>
      <c r="R23" s="4">
        <f>J23/(Q23*I23)</f>
        <v>16000</v>
      </c>
      <c r="S23" s="4">
        <f>F23*F23*D23</f>
        <v>4096</v>
      </c>
      <c r="T23" s="4">
        <f>G23</f>
        <v>1000</v>
      </c>
      <c r="U23" s="4">
        <f t="shared" si="6"/>
        <v>512</v>
      </c>
      <c r="V23" s="4">
        <f t="shared" si="6"/>
        <v>31.25</v>
      </c>
      <c r="W23" s="5"/>
      <c r="X23" s="5"/>
      <c r="Y23" s="4">
        <f>D23*F23*F23*G23</f>
        <v>4096000</v>
      </c>
      <c r="Z23" s="4">
        <f>S23*T23</f>
        <v>4096000</v>
      </c>
      <c r="AA23" s="3">
        <v>2</v>
      </c>
      <c r="AB23" s="3">
        <v>4</v>
      </c>
      <c r="AC23">
        <f>1000000*$H$1/MAX(R23,W23)</f>
        <v>11250</v>
      </c>
      <c r="AD23">
        <f>CEILING(Z23*AB23/18000,1) *M23</f>
        <v>29152</v>
      </c>
      <c r="AE23">
        <f>Z23*M$1*AB23*H23*H23/(1024*1024*1024)</f>
        <v>26.163904428155007</v>
      </c>
    </row>
    <row r="28" spans="1:31" ht="15.75" customHeight="1">
      <c r="H28" s="12"/>
    </row>
    <row r="30" spans="1:31" ht="15.75" customHeight="1">
      <c r="E30" s="12"/>
    </row>
    <row r="31" spans="1:31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ColWidth="14.42578125" defaultRowHeight="15.75" customHeight="1"/>
  <cols>
    <col min="1" max="1" width="29.28515625" customWidth="1"/>
    <col min="2" max="2" width="16.28515625" customWidth="1"/>
    <col min="3" max="3" width="19" customWidth="1"/>
    <col min="4" max="4" width="19.140625" customWidth="1"/>
  </cols>
  <sheetData>
    <row r="1" spans="1:3" ht="15.75" customHeight="1">
      <c r="A1" s="12" t="s">
        <v>68</v>
      </c>
      <c r="B1" s="12">
        <v>224</v>
      </c>
    </row>
    <row r="2" spans="1:3" ht="15.75" customHeight="1">
      <c r="A2" s="12" t="s">
        <v>69</v>
      </c>
      <c r="B2" s="12">
        <v>3</v>
      </c>
    </row>
    <row r="3" spans="1:3" ht="15.75" customHeight="1">
      <c r="A3" s="12" t="s">
        <v>10</v>
      </c>
      <c r="B3" s="12">
        <v>4</v>
      </c>
    </row>
    <row r="4" spans="1:3" ht="15.75" customHeight="1">
      <c r="A4" s="12" t="s">
        <v>70</v>
      </c>
      <c r="B4" s="12">
        <v>12</v>
      </c>
    </row>
    <row r="5" spans="1:3" ht="15.75" customHeight="1">
      <c r="A5" s="12" t="s">
        <v>71</v>
      </c>
      <c r="B5" s="12">
        <v>8</v>
      </c>
    </row>
    <row r="6" spans="1:3" ht="15.75" customHeight="1">
      <c r="A6" s="12" t="s">
        <v>72</v>
      </c>
      <c r="B6">
        <f>1+(B1-B4)/B3</f>
        <v>54</v>
      </c>
    </row>
    <row r="7" spans="1:3" ht="15.75" customHeight="1">
      <c r="A7" s="12"/>
    </row>
    <row r="8" spans="1:3" ht="15.75" customHeight="1">
      <c r="A8" s="12" t="s">
        <v>73</v>
      </c>
      <c r="B8">
        <f>B1*B1*B2*B5</f>
        <v>1204224</v>
      </c>
      <c r="C8">
        <f>B8/88*10000/(1000*1000)</f>
        <v>136.84363636363636</v>
      </c>
    </row>
    <row r="9" spans="1:3" ht="15.75" customHeight="1">
      <c r="A9" s="12" t="s">
        <v>74</v>
      </c>
      <c r="B9">
        <f>B8/512</f>
        <v>2352</v>
      </c>
    </row>
    <row r="10" spans="1:3" ht="15.75" customHeight="1">
      <c r="A10" s="12" t="s">
        <v>75</v>
      </c>
      <c r="B10">
        <f>B6*B6*B4*B4*B5</f>
        <v>3359232</v>
      </c>
    </row>
    <row r="11" spans="1:3" ht="15.75" customHeight="1">
      <c r="A11" s="12" t="s">
        <v>76</v>
      </c>
      <c r="B11">
        <f>B10/512</f>
        <v>6561</v>
      </c>
    </row>
  </sheetData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/>
  </sheetViews>
  <sheetFormatPr defaultColWidth="14.42578125" defaultRowHeight="15.75" customHeight="1"/>
  <cols>
    <col min="9" max="9" width="17.42578125" customWidth="1"/>
    <col min="10" max="10" width="24.42578125" customWidth="1"/>
    <col min="28" max="29" width="22.5703125" customWidth="1"/>
    <col min="30" max="31" width="16.42578125" customWidth="1"/>
  </cols>
  <sheetData>
    <row r="1" spans="1:31" ht="15.75" customHeight="1">
      <c r="A1" s="1" t="s">
        <v>0</v>
      </c>
      <c r="B1" s="34" t="s">
        <v>77</v>
      </c>
      <c r="C1" s="35"/>
      <c r="D1" s="35"/>
      <c r="E1" s="35"/>
      <c r="F1" s="35"/>
      <c r="G1" s="1" t="s">
        <v>2</v>
      </c>
      <c r="H1" s="4">
        <v>125</v>
      </c>
      <c r="I1" s="1"/>
      <c r="J1" s="2" t="s">
        <v>3</v>
      </c>
      <c r="K1" s="4">
        <f>MAX(MAX(R4:R22),MAX(W4:W21))</f>
        <v>471433</v>
      </c>
      <c r="L1" s="1" t="s">
        <v>4</v>
      </c>
      <c r="M1" s="4">
        <f>1000000*H1/K1</f>
        <v>265.14902435764998</v>
      </c>
      <c r="N1" s="5"/>
      <c r="O1" s="5"/>
      <c r="P1" s="5"/>
      <c r="Q1" s="5"/>
      <c r="R1" s="1" t="s">
        <v>5</v>
      </c>
      <c r="S1" s="4">
        <f>SUM(J3:J23)/(C3*C3*D3+G23*2)</f>
        <v>25399.752078306934</v>
      </c>
      <c r="T1" s="5"/>
      <c r="U1" s="5"/>
      <c r="V1" s="5"/>
      <c r="W1" s="5"/>
      <c r="X1" s="5"/>
      <c r="Y1" s="5"/>
      <c r="Z1" s="5"/>
      <c r="AA1" s="6">
        <f>SUM(AA3:AA23)</f>
        <v>60254720</v>
      </c>
      <c r="AB1" s="5"/>
      <c r="AC1" s="5"/>
    </row>
    <row r="2" spans="1:31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SUM(J3:J113)/1000000 &amp;"M"</f>
        <v>ops, total: 3874.173385M</v>
      </c>
      <c r="K2" s="1" t="s">
        <v>15</v>
      </c>
      <c r="L2" s="1" t="s">
        <v>16</v>
      </c>
      <c r="M2" s="1" t="s">
        <v>17</v>
      </c>
      <c r="N2" s="1" t="s">
        <v>18</v>
      </c>
      <c r="O2" s="2" t="s">
        <v>19</v>
      </c>
      <c r="P2" s="2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66</v>
      </c>
      <c r="Z2" s="1" t="s">
        <v>67</v>
      </c>
      <c r="AA2" s="1" t="s">
        <v>78</v>
      </c>
      <c r="AB2" s="8" t="s">
        <v>30</v>
      </c>
      <c r="AC2" s="8" t="s">
        <v>32</v>
      </c>
      <c r="AD2" s="12" t="s">
        <v>34</v>
      </c>
      <c r="AE2" s="12" t="s">
        <v>35</v>
      </c>
    </row>
    <row r="3" spans="1:31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4">
        <v>1</v>
      </c>
      <c r="V3" s="5"/>
      <c r="W3" s="5"/>
      <c r="X3" s="5"/>
      <c r="Y3" s="5"/>
      <c r="Z3" s="4"/>
      <c r="AA3" s="5"/>
      <c r="AB3" s="5"/>
      <c r="AC3" s="5"/>
    </row>
    <row r="4" spans="1:31" ht="15.75" customHeight="1">
      <c r="A4" s="4">
        <v>1</v>
      </c>
      <c r="B4" s="9" t="s">
        <v>37</v>
      </c>
      <c r="C4" s="4">
        <f t="shared" ref="C4:C20" si="1">H3</f>
        <v>227</v>
      </c>
      <c r="D4" s="4">
        <f>G3</f>
        <v>3</v>
      </c>
      <c r="E4" s="3">
        <v>4</v>
      </c>
      <c r="F4" s="3">
        <v>12</v>
      </c>
      <c r="G4" s="3">
        <v>96</v>
      </c>
      <c r="H4" s="4">
        <f>IF(B4="pad", C4+2*F4, IF(B4="pool", C4/F4, IF(OR(B4="conv",B4="fc"), (C4-F4+1)/E4,C4)))</f>
        <v>54</v>
      </c>
      <c r="I4" s="4">
        <f t="shared" ref="I4:I23" si="2">IF(B3="merge", 1, IF(B3="split", 2, I3))</f>
        <v>1</v>
      </c>
      <c r="J4" s="4">
        <f t="shared" si="0"/>
        <v>241864704</v>
      </c>
      <c r="K4" s="5"/>
      <c r="L4" s="3">
        <v>3</v>
      </c>
      <c r="M4" s="3">
        <v>96</v>
      </c>
      <c r="N4" s="3">
        <v>1</v>
      </c>
      <c r="O4" s="4">
        <f>G4/M4</f>
        <v>1</v>
      </c>
      <c r="P4" s="4">
        <f>F4*F4*D4*G4/(L4*M4)</f>
        <v>144</v>
      </c>
      <c r="Q4" s="4">
        <f>2*L4*M4*N4</f>
        <v>576</v>
      </c>
      <c r="R4" s="4">
        <f>J4/(Q4*I4)</f>
        <v>419904</v>
      </c>
      <c r="S4" s="4">
        <f>F4*F4*D4</f>
        <v>432</v>
      </c>
      <c r="T4" s="4">
        <f>G4</f>
        <v>96</v>
      </c>
      <c r="U4" s="4">
        <f>S4/L4</f>
        <v>144</v>
      </c>
      <c r="V4" s="4">
        <f>T4/M4</f>
        <v>1</v>
      </c>
      <c r="W4" s="4">
        <f>C4*C4+F4*F4*H4*H4</f>
        <v>471433</v>
      </c>
      <c r="X4" s="4">
        <f>F4*F4*H4*H4</f>
        <v>419904</v>
      </c>
      <c r="Y4" s="14">
        <f>(V4-1)*U4</f>
        <v>0</v>
      </c>
      <c r="Z4" s="15">
        <f>MAX(Y4,X4)/U3</f>
        <v>419904</v>
      </c>
      <c r="AA4" s="4">
        <f>D4*F4*F4*G4</f>
        <v>41472</v>
      </c>
      <c r="AB4" s="4">
        <f>S4*T4</f>
        <v>41472</v>
      </c>
      <c r="AC4" s="3">
        <v>4</v>
      </c>
      <c r="AD4">
        <f>AB4*AC4/18000*M4</f>
        <v>884.73599999999988</v>
      </c>
      <c r="AE4">
        <f t="shared" ref="AE4:AE23" si="3">AB4*M$1*AC4*H4*H4/(1024*1024*1024)</f>
        <v>119.45178786693477</v>
      </c>
    </row>
    <row r="5" spans="1:31" ht="15.75" customHeight="1">
      <c r="A5" s="4">
        <v>2</v>
      </c>
      <c r="B5" s="8" t="s">
        <v>38</v>
      </c>
      <c r="C5" s="4">
        <f t="shared" si="1"/>
        <v>54</v>
      </c>
      <c r="D5" s="4">
        <f>G4</f>
        <v>96</v>
      </c>
      <c r="E5" s="3">
        <v>1</v>
      </c>
      <c r="F5" s="4">
        <v>1</v>
      </c>
      <c r="G5" s="3">
        <v>48</v>
      </c>
      <c r="H5" s="4">
        <f>IF(B5="pad", C5+2*F5, IF(B5="pool", C5/F5, IF(OR(B5="conv",B5="fc"), (C5-F5+1)/E5,C5)))</f>
        <v>54</v>
      </c>
      <c r="I5" s="4">
        <f t="shared" si="2"/>
        <v>1</v>
      </c>
      <c r="J5" s="4">
        <f t="shared" si="0"/>
        <v>0</v>
      </c>
      <c r="K5" s="5"/>
      <c r="L5" s="5"/>
      <c r="M5" s="5"/>
      <c r="N5" s="5"/>
      <c r="O5" s="4"/>
      <c r="P5" s="4"/>
      <c r="Q5" s="4">
        <f>2*L5*M5*N5</f>
        <v>0</v>
      </c>
      <c r="R5" s="4"/>
      <c r="S5" s="5"/>
      <c r="T5" s="5"/>
      <c r="U5" s="4">
        <v>1</v>
      </c>
      <c r="V5" s="5"/>
      <c r="W5" s="5"/>
      <c r="X5" s="5"/>
      <c r="Y5" s="5"/>
      <c r="Z5" s="15"/>
      <c r="AA5" s="5"/>
      <c r="AB5" s="5"/>
      <c r="AC5" s="5"/>
      <c r="AE5">
        <f t="shared" si="3"/>
        <v>0</v>
      </c>
    </row>
    <row r="6" spans="1:31" ht="15.75" customHeight="1">
      <c r="A6" s="4">
        <v>3</v>
      </c>
      <c r="B6" s="8" t="s">
        <v>36</v>
      </c>
      <c r="C6" s="4">
        <f t="shared" si="1"/>
        <v>54</v>
      </c>
      <c r="D6" s="4">
        <f>G5</f>
        <v>48</v>
      </c>
      <c r="E6" s="3">
        <v>1</v>
      </c>
      <c r="F6" s="3">
        <v>2</v>
      </c>
      <c r="G6" s="3">
        <v>48</v>
      </c>
      <c r="H6" s="4">
        <f>IF(B6="pad", C6+2*F6, IF(B6="pool", C6/F6, IF(OR(B6="conv",B6="fc"), (C6-F6+1)/E6,C6)))</f>
        <v>58</v>
      </c>
      <c r="I6" s="4">
        <f t="shared" si="2"/>
        <v>2</v>
      </c>
      <c r="J6" s="4">
        <f t="shared" si="0"/>
        <v>0</v>
      </c>
      <c r="K6" s="5"/>
      <c r="L6" s="4"/>
      <c r="M6" s="4"/>
      <c r="N6" s="3"/>
      <c r="O6" s="4"/>
      <c r="P6" s="4"/>
      <c r="Q6" s="4"/>
      <c r="R6" s="4"/>
      <c r="S6" s="4"/>
      <c r="T6" s="4"/>
      <c r="U6" s="3">
        <v>1</v>
      </c>
      <c r="V6" s="4"/>
      <c r="W6" s="4"/>
      <c r="X6" s="4"/>
      <c r="Y6" s="14"/>
      <c r="Z6" s="15"/>
      <c r="AA6" s="4"/>
      <c r="AB6" s="4"/>
      <c r="AC6" s="4"/>
      <c r="AE6">
        <f t="shared" si="3"/>
        <v>0</v>
      </c>
    </row>
    <row r="7" spans="1:31" ht="15.75" customHeight="1">
      <c r="A7" s="4">
        <v>4</v>
      </c>
      <c r="B7" s="9" t="s">
        <v>37</v>
      </c>
      <c r="C7" s="4">
        <f t="shared" si="1"/>
        <v>58</v>
      </c>
      <c r="D7" s="4">
        <f>G5</f>
        <v>48</v>
      </c>
      <c r="E7" s="3">
        <v>1</v>
      </c>
      <c r="F7" s="3">
        <v>5</v>
      </c>
      <c r="G7" s="4">
        <v>128</v>
      </c>
      <c r="H7" s="4">
        <f>IF(B7="pad", C7+2*F7, IF(B7="pool", C7/F7, IF(OR(B7="conv",B7="fc"), (C7-F7+1)/E7,C7)))</f>
        <v>54</v>
      </c>
      <c r="I7" s="4">
        <f t="shared" si="2"/>
        <v>2</v>
      </c>
      <c r="J7" s="4">
        <f t="shared" si="0"/>
        <v>1791590400</v>
      </c>
      <c r="K7" s="5"/>
      <c r="L7" s="3">
        <v>48</v>
      </c>
      <c r="M7" s="3">
        <v>32</v>
      </c>
      <c r="N7" s="3">
        <v>1</v>
      </c>
      <c r="O7" s="4">
        <f>G7/M7</f>
        <v>4</v>
      </c>
      <c r="P7" s="4">
        <f>F7*F7*D7*G7/(L7*M7)</f>
        <v>100</v>
      </c>
      <c r="Q7" s="4">
        <f>2*L7*M7*N7</f>
        <v>3072</v>
      </c>
      <c r="R7" s="4">
        <f>J7/(Q7*I7)</f>
        <v>291600</v>
      </c>
      <c r="S7" s="4">
        <f>F7*F7*D7</f>
        <v>1200</v>
      </c>
      <c r="T7" s="4">
        <f>G7</f>
        <v>128</v>
      </c>
      <c r="U7" s="4">
        <f>S7/L7</f>
        <v>25</v>
      </c>
      <c r="V7" s="4">
        <f>T7/M7</f>
        <v>4</v>
      </c>
      <c r="W7" s="4">
        <f>C7*C7+F7*F7*H7*H7</f>
        <v>76264</v>
      </c>
      <c r="X7" s="4">
        <f>F7*F7*H7*H7</f>
        <v>72900</v>
      </c>
      <c r="Y7" s="14">
        <f>(V7-1)*U7</f>
        <v>75</v>
      </c>
      <c r="Z7" s="15">
        <f>MAX(Y7,X7)/U7</f>
        <v>2916</v>
      </c>
      <c r="AA7" s="4">
        <f>D7*F7*F7*G7</f>
        <v>153600</v>
      </c>
      <c r="AB7" s="4">
        <f>S7*T7*I7</f>
        <v>307200</v>
      </c>
      <c r="AC7" s="3">
        <v>1</v>
      </c>
      <c r="AD7">
        <f>AB7*AC7/18000*M7</f>
        <v>546.13333333333333</v>
      </c>
      <c r="AE7">
        <f t="shared" si="3"/>
        <v>221.20701456839771</v>
      </c>
    </row>
    <row r="8" spans="1:31" ht="15.75" customHeight="1">
      <c r="A8" s="4">
        <v>5</v>
      </c>
      <c r="B8" s="9" t="s">
        <v>39</v>
      </c>
      <c r="C8" s="4">
        <f t="shared" si="1"/>
        <v>54</v>
      </c>
      <c r="D8" s="4">
        <f t="shared" ref="D8:D20" si="4">G7</f>
        <v>128</v>
      </c>
      <c r="E8" s="3">
        <v>2</v>
      </c>
      <c r="F8" s="3">
        <v>3</v>
      </c>
      <c r="G8" s="4">
        <v>128</v>
      </c>
      <c r="H8" s="4">
        <f t="shared" ref="H8:H18" si="5">IF(B8="pad", C8+2*F8, IF(B8="pool", C8/E8, IF(OR(B8="conv",B8="fc"), (C8-F8+1)/E8,C8)))</f>
        <v>27</v>
      </c>
      <c r="I8" s="4">
        <f t="shared" si="2"/>
        <v>2</v>
      </c>
      <c r="J8" s="4">
        <f t="shared" si="0"/>
        <v>6561</v>
      </c>
      <c r="K8" s="5"/>
      <c r="L8" s="5"/>
      <c r="M8" s="5"/>
      <c r="N8" s="5"/>
      <c r="O8" s="4"/>
      <c r="P8" s="4"/>
      <c r="Q8" s="4">
        <f>2*L8*M8*N8</f>
        <v>0</v>
      </c>
      <c r="R8" s="4"/>
      <c r="S8" s="5"/>
      <c r="T8" s="5"/>
      <c r="U8" s="4">
        <v>1</v>
      </c>
      <c r="V8" s="5"/>
      <c r="W8" s="5"/>
      <c r="X8" s="5"/>
      <c r="Y8" s="5"/>
      <c r="Z8" s="15"/>
      <c r="AA8" s="5"/>
      <c r="AB8" s="4"/>
      <c r="AC8" s="5"/>
      <c r="AE8">
        <f t="shared" si="3"/>
        <v>0</v>
      </c>
    </row>
    <row r="9" spans="1:31" ht="15.75" customHeight="1">
      <c r="A9" s="4">
        <v>6</v>
      </c>
      <c r="B9" s="8" t="s">
        <v>40</v>
      </c>
      <c r="C9" s="4">
        <f t="shared" si="1"/>
        <v>27</v>
      </c>
      <c r="D9" s="4">
        <f t="shared" si="4"/>
        <v>128</v>
      </c>
      <c r="E9" s="3">
        <v>1</v>
      </c>
      <c r="F9" s="4">
        <v>1</v>
      </c>
      <c r="G9" s="3">
        <v>256</v>
      </c>
      <c r="H9" s="4">
        <f t="shared" si="5"/>
        <v>27</v>
      </c>
      <c r="I9" s="4">
        <f t="shared" si="2"/>
        <v>2</v>
      </c>
      <c r="J9" s="4">
        <f t="shared" si="0"/>
        <v>0</v>
      </c>
      <c r="K9" s="5"/>
      <c r="L9" s="5"/>
      <c r="M9" s="5"/>
      <c r="N9" s="5"/>
      <c r="O9" s="4"/>
      <c r="P9" s="4"/>
      <c r="Q9" s="4">
        <f>2*L9*M9*N9</f>
        <v>0</v>
      </c>
      <c r="R9" s="4"/>
      <c r="S9" s="5"/>
      <c r="T9" s="5"/>
      <c r="U9" s="4">
        <v>1</v>
      </c>
      <c r="V9" s="5"/>
      <c r="W9" s="5"/>
      <c r="X9" s="5"/>
      <c r="Y9" s="5"/>
      <c r="Z9" s="15"/>
      <c r="AA9" s="5"/>
      <c r="AB9" s="4"/>
      <c r="AC9" s="5"/>
      <c r="AE9">
        <f t="shared" si="3"/>
        <v>0</v>
      </c>
    </row>
    <row r="10" spans="1:31" ht="15.75" customHeight="1">
      <c r="A10" s="4">
        <v>7</v>
      </c>
      <c r="B10" s="8" t="s">
        <v>36</v>
      </c>
      <c r="C10" s="4">
        <f t="shared" si="1"/>
        <v>27</v>
      </c>
      <c r="D10" s="4">
        <f t="shared" si="4"/>
        <v>256</v>
      </c>
      <c r="E10" s="3">
        <v>1</v>
      </c>
      <c r="F10" s="3">
        <v>1</v>
      </c>
      <c r="G10" s="3">
        <v>256</v>
      </c>
      <c r="H10" s="4">
        <f t="shared" si="5"/>
        <v>29</v>
      </c>
      <c r="I10" s="4">
        <f t="shared" si="2"/>
        <v>1</v>
      </c>
      <c r="J10" s="4"/>
      <c r="K10" s="5"/>
      <c r="L10" s="4"/>
      <c r="M10" s="4"/>
      <c r="N10" s="3"/>
      <c r="O10" s="4"/>
      <c r="P10" s="4"/>
      <c r="Q10" s="4"/>
      <c r="R10" s="4"/>
      <c r="S10" s="4"/>
      <c r="T10" s="4"/>
      <c r="U10" s="3">
        <v>1</v>
      </c>
      <c r="V10" s="4"/>
      <c r="W10" s="4"/>
      <c r="X10" s="4"/>
      <c r="Y10" s="14"/>
      <c r="Z10" s="15"/>
      <c r="AA10" s="4"/>
      <c r="AB10" s="4"/>
      <c r="AC10" s="4"/>
      <c r="AE10">
        <f t="shared" si="3"/>
        <v>0</v>
      </c>
    </row>
    <row r="11" spans="1:31" ht="15.75" customHeight="1">
      <c r="A11" s="4">
        <v>8</v>
      </c>
      <c r="B11" s="9" t="s">
        <v>37</v>
      </c>
      <c r="C11" s="4">
        <f t="shared" si="1"/>
        <v>29</v>
      </c>
      <c r="D11" s="4">
        <f t="shared" si="4"/>
        <v>256</v>
      </c>
      <c r="E11" s="3">
        <v>1</v>
      </c>
      <c r="F11" s="4">
        <v>3</v>
      </c>
      <c r="G11" s="3">
        <v>384</v>
      </c>
      <c r="H11" s="4">
        <f t="shared" si="5"/>
        <v>27</v>
      </c>
      <c r="I11" s="4">
        <f t="shared" si="2"/>
        <v>1</v>
      </c>
      <c r="J11" s="4">
        <f t="shared" ref="J11:J23" si="6">IF(B11="pad", 0, IF(B11="pool", H11*H11*F11*F11, IF(OR(B11="conv",B11="fc"), I11*2*H11*H11*F11*F11*D11*G11,0)))</f>
        <v>1289945088</v>
      </c>
      <c r="K11" s="5"/>
      <c r="L11" s="3">
        <v>64</v>
      </c>
      <c r="M11" s="3">
        <v>32</v>
      </c>
      <c r="N11" s="3">
        <v>1</v>
      </c>
      <c r="O11" s="4">
        <f>G11/M11</f>
        <v>12</v>
      </c>
      <c r="P11" s="4">
        <f>F11*F11*D11*G11/(L11*M11)</f>
        <v>432</v>
      </c>
      <c r="Q11" s="4">
        <f>2*L11*M11*N11</f>
        <v>4096</v>
      </c>
      <c r="R11" s="4">
        <f>J11/(Q11*I11)</f>
        <v>314928</v>
      </c>
      <c r="S11" s="4">
        <f>F11*F11*D11</f>
        <v>2304</v>
      </c>
      <c r="T11" s="4">
        <f>G11</f>
        <v>384</v>
      </c>
      <c r="U11" s="4">
        <f>S11/L11</f>
        <v>36</v>
      </c>
      <c r="V11" s="4">
        <f>T11/M11</f>
        <v>12</v>
      </c>
      <c r="W11" s="4">
        <f>C11*C11+F11*F11*H11*H11</f>
        <v>7402</v>
      </c>
      <c r="X11" s="4">
        <f>F11*F11*H11*H11</f>
        <v>6561</v>
      </c>
      <c r="Y11" s="14">
        <f>(V11-1)*U11</f>
        <v>396</v>
      </c>
      <c r="Z11" s="15">
        <f>MAX(Y11,X11)/U11</f>
        <v>182.25</v>
      </c>
      <c r="AA11" s="4">
        <f>D11*F11*F11*G11</f>
        <v>884736</v>
      </c>
      <c r="AB11" s="4">
        <f>S11*T11*I11</f>
        <v>884736</v>
      </c>
      <c r="AC11" s="3">
        <v>1</v>
      </c>
      <c r="AD11">
        <f>AB11*AC11/18000*M11</f>
        <v>1572.864</v>
      </c>
      <c r="AE11">
        <f t="shared" si="3"/>
        <v>159.26905048924635</v>
      </c>
    </row>
    <row r="12" spans="1:31" ht="15.75" customHeight="1">
      <c r="A12" s="4">
        <v>9</v>
      </c>
      <c r="B12" s="9" t="s">
        <v>36</v>
      </c>
      <c r="C12" s="4">
        <f t="shared" si="1"/>
        <v>27</v>
      </c>
      <c r="D12" s="4">
        <f t="shared" si="4"/>
        <v>384</v>
      </c>
      <c r="E12" s="3">
        <v>1</v>
      </c>
      <c r="F12" s="3">
        <v>0.5</v>
      </c>
      <c r="G12" s="3">
        <v>384</v>
      </c>
      <c r="H12" s="4">
        <f t="shared" si="5"/>
        <v>28</v>
      </c>
      <c r="I12" s="4">
        <f t="shared" si="2"/>
        <v>1</v>
      </c>
      <c r="J12" s="4">
        <f t="shared" si="6"/>
        <v>0</v>
      </c>
      <c r="K12" s="5"/>
      <c r="L12" s="5"/>
      <c r="M12" s="5"/>
      <c r="N12" s="5"/>
      <c r="O12" s="4"/>
      <c r="P12" s="4"/>
      <c r="Q12" s="4">
        <f>2*L12*M12*N12</f>
        <v>0</v>
      </c>
      <c r="R12" s="4"/>
      <c r="S12" s="5"/>
      <c r="T12" s="5"/>
      <c r="U12" s="4">
        <v>1</v>
      </c>
      <c r="V12" s="5"/>
      <c r="W12" s="5"/>
      <c r="X12" s="5"/>
      <c r="Y12" s="5"/>
      <c r="Z12" s="15"/>
      <c r="AA12" s="5"/>
      <c r="AB12" s="4"/>
      <c r="AC12" s="5"/>
      <c r="AE12">
        <f t="shared" si="3"/>
        <v>0</v>
      </c>
    </row>
    <row r="13" spans="1:31" ht="15.75" customHeight="1">
      <c r="A13" s="4">
        <v>10</v>
      </c>
      <c r="B13" s="9" t="s">
        <v>39</v>
      </c>
      <c r="C13" s="4">
        <f t="shared" si="1"/>
        <v>28</v>
      </c>
      <c r="D13" s="4">
        <f t="shared" si="4"/>
        <v>384</v>
      </c>
      <c r="E13" s="3">
        <v>2</v>
      </c>
      <c r="F13" s="3">
        <v>3</v>
      </c>
      <c r="G13" s="3">
        <v>384</v>
      </c>
      <c r="H13" s="4">
        <f t="shared" si="5"/>
        <v>14</v>
      </c>
      <c r="I13" s="4">
        <f t="shared" si="2"/>
        <v>1</v>
      </c>
      <c r="J13" s="4">
        <f t="shared" si="6"/>
        <v>1764</v>
      </c>
      <c r="K13" s="5"/>
      <c r="L13" s="5"/>
      <c r="M13" s="5"/>
      <c r="N13" s="5"/>
      <c r="O13" s="4"/>
      <c r="P13" s="4"/>
      <c r="Q13" s="4">
        <f>2*L13*M13*N13</f>
        <v>0</v>
      </c>
      <c r="R13" s="4"/>
      <c r="S13" s="5"/>
      <c r="T13" s="5"/>
      <c r="U13" s="4">
        <v>1</v>
      </c>
      <c r="V13" s="5"/>
      <c r="W13" s="5"/>
      <c r="X13" s="5"/>
      <c r="Y13" s="5"/>
      <c r="Z13" s="15"/>
      <c r="AA13" s="5"/>
      <c r="AB13" s="4"/>
      <c r="AC13" s="5"/>
      <c r="AE13">
        <f t="shared" si="3"/>
        <v>0</v>
      </c>
    </row>
    <row r="14" spans="1:31" ht="15.75" customHeight="1">
      <c r="A14" s="4">
        <v>11</v>
      </c>
      <c r="B14" s="8" t="s">
        <v>38</v>
      </c>
      <c r="C14" s="4">
        <f t="shared" si="1"/>
        <v>14</v>
      </c>
      <c r="D14" s="4">
        <f t="shared" si="4"/>
        <v>384</v>
      </c>
      <c r="E14" s="3">
        <v>1</v>
      </c>
      <c r="F14" s="3">
        <v>1</v>
      </c>
      <c r="G14" s="3">
        <v>192</v>
      </c>
      <c r="H14" s="4">
        <f t="shared" si="5"/>
        <v>14</v>
      </c>
      <c r="I14" s="4">
        <f t="shared" si="2"/>
        <v>1</v>
      </c>
      <c r="J14" s="4">
        <f t="shared" si="6"/>
        <v>0</v>
      </c>
      <c r="K14" s="5"/>
      <c r="L14" s="5"/>
      <c r="M14" s="5"/>
      <c r="N14" s="5"/>
      <c r="O14" s="4"/>
      <c r="P14" s="4"/>
      <c r="Q14" s="4"/>
      <c r="R14" s="4"/>
      <c r="S14" s="5"/>
      <c r="T14" s="5"/>
      <c r="U14" s="4"/>
      <c r="V14" s="5"/>
      <c r="W14" s="5"/>
      <c r="X14" s="5"/>
      <c r="Y14" s="5"/>
      <c r="Z14" s="15"/>
      <c r="AA14" s="5"/>
      <c r="AB14" s="4"/>
      <c r="AC14" s="5"/>
      <c r="AE14">
        <f t="shared" si="3"/>
        <v>0</v>
      </c>
    </row>
    <row r="15" spans="1:31" ht="15.75" customHeight="1">
      <c r="A15" s="4">
        <v>12</v>
      </c>
      <c r="B15" s="8" t="s">
        <v>36</v>
      </c>
      <c r="C15" s="4">
        <f t="shared" si="1"/>
        <v>14</v>
      </c>
      <c r="D15" s="4">
        <f t="shared" si="4"/>
        <v>192</v>
      </c>
      <c r="E15" s="3">
        <v>1</v>
      </c>
      <c r="F15" s="4">
        <v>1</v>
      </c>
      <c r="G15" s="3">
        <v>192</v>
      </c>
      <c r="H15" s="4">
        <f t="shared" si="5"/>
        <v>16</v>
      </c>
      <c r="I15" s="4">
        <f t="shared" si="2"/>
        <v>2</v>
      </c>
      <c r="J15" s="4">
        <f t="shared" si="6"/>
        <v>0</v>
      </c>
      <c r="K15" s="5"/>
      <c r="L15" s="5"/>
      <c r="M15" s="5"/>
      <c r="N15" s="5"/>
      <c r="O15" s="4"/>
      <c r="P15" s="4"/>
      <c r="Q15" s="4">
        <f>2*L15*M15*N15</f>
        <v>0</v>
      </c>
      <c r="R15" s="4"/>
      <c r="S15" s="5"/>
      <c r="T15" s="5"/>
      <c r="U15" s="4">
        <v>1</v>
      </c>
      <c r="V15" s="5"/>
      <c r="W15" s="5"/>
      <c r="X15" s="5"/>
      <c r="Y15" s="5"/>
      <c r="Z15" s="15"/>
      <c r="AA15" s="5"/>
      <c r="AB15" s="4"/>
      <c r="AC15" s="5"/>
      <c r="AE15">
        <f t="shared" si="3"/>
        <v>0</v>
      </c>
    </row>
    <row r="16" spans="1:31" ht="15.75" customHeight="1">
      <c r="A16" s="4">
        <v>13</v>
      </c>
      <c r="B16" s="9" t="s">
        <v>37</v>
      </c>
      <c r="C16" s="4">
        <f t="shared" si="1"/>
        <v>16</v>
      </c>
      <c r="D16" s="4">
        <f t="shared" si="4"/>
        <v>192</v>
      </c>
      <c r="E16" s="3">
        <v>1</v>
      </c>
      <c r="F16" s="4">
        <v>3</v>
      </c>
      <c r="G16" s="3">
        <v>192</v>
      </c>
      <c r="H16" s="4">
        <f t="shared" si="5"/>
        <v>14</v>
      </c>
      <c r="I16" s="4">
        <f t="shared" si="2"/>
        <v>2</v>
      </c>
      <c r="J16" s="4">
        <f t="shared" si="6"/>
        <v>260112384</v>
      </c>
      <c r="K16" s="5"/>
      <c r="L16" s="3">
        <v>32</v>
      </c>
      <c r="M16" s="3">
        <v>8</v>
      </c>
      <c r="N16" s="3">
        <v>1</v>
      </c>
      <c r="O16" s="4">
        <f>G16/M16</f>
        <v>24</v>
      </c>
      <c r="P16" s="4">
        <f>F16*F16*D16*G16/(L16*M16)</f>
        <v>1296</v>
      </c>
      <c r="Q16" s="4">
        <f>2*L16*M16*N16</f>
        <v>512</v>
      </c>
      <c r="R16" s="4">
        <f>J16/(Q16*I16)</f>
        <v>254016</v>
      </c>
      <c r="S16" s="4">
        <f>F16*F16*D16</f>
        <v>1728</v>
      </c>
      <c r="T16" s="4">
        <f>G16</f>
        <v>192</v>
      </c>
      <c r="U16" s="4">
        <f>S16/L16</f>
        <v>54</v>
      </c>
      <c r="V16" s="4">
        <f>T16/M16</f>
        <v>24</v>
      </c>
      <c r="W16" s="4">
        <f>C16*C16+F16*F16*H16*H16</f>
        <v>2020</v>
      </c>
      <c r="X16" s="4">
        <f>F16*F16*H16*H16</f>
        <v>1764</v>
      </c>
      <c r="Y16" s="14">
        <f>(V16-1)*U16</f>
        <v>1242</v>
      </c>
      <c r="Z16" s="15">
        <f>MAX(Y16,X16)/U16</f>
        <v>32.666666666666664</v>
      </c>
      <c r="AA16" s="4">
        <f>D16*F16*F16*G16</f>
        <v>331776</v>
      </c>
      <c r="AB16" s="4">
        <f>S16*T16*I16</f>
        <v>663552</v>
      </c>
      <c r="AC16" s="3">
        <v>1</v>
      </c>
      <c r="AD16">
        <f>AB16*AC16/18000*M16</f>
        <v>294.91199999999998</v>
      </c>
      <c r="AE16">
        <f t="shared" si="3"/>
        <v>32.115981374374776</v>
      </c>
    </row>
    <row r="17" spans="1:31" ht="15.75" customHeight="1">
      <c r="A17" s="4">
        <v>14</v>
      </c>
      <c r="B17" s="9" t="s">
        <v>36</v>
      </c>
      <c r="C17" s="4">
        <f t="shared" si="1"/>
        <v>14</v>
      </c>
      <c r="D17" s="4">
        <f t="shared" si="4"/>
        <v>192</v>
      </c>
      <c r="E17" s="3">
        <v>1</v>
      </c>
      <c r="F17" s="4">
        <v>1</v>
      </c>
      <c r="G17" s="3">
        <v>192</v>
      </c>
      <c r="H17" s="4">
        <f t="shared" si="5"/>
        <v>16</v>
      </c>
      <c r="I17" s="4">
        <f t="shared" si="2"/>
        <v>2</v>
      </c>
      <c r="J17" s="4">
        <f t="shared" si="6"/>
        <v>0</v>
      </c>
      <c r="K17" s="5"/>
      <c r="L17" s="5"/>
      <c r="M17" s="5"/>
      <c r="N17" s="5"/>
      <c r="O17" s="4"/>
      <c r="P17" s="4"/>
      <c r="Q17" s="4">
        <f>2*L17*M17*N17</f>
        <v>0</v>
      </c>
      <c r="R17" s="4"/>
      <c r="S17" s="5"/>
      <c r="T17" s="5"/>
      <c r="U17" s="4">
        <v>1</v>
      </c>
      <c r="V17" s="5"/>
      <c r="W17" s="5"/>
      <c r="X17" s="5"/>
      <c r="Y17" s="5"/>
      <c r="Z17" s="15"/>
      <c r="AA17" s="5"/>
      <c r="AB17" s="4"/>
      <c r="AC17" s="5"/>
      <c r="AE17">
        <f t="shared" si="3"/>
        <v>0</v>
      </c>
    </row>
    <row r="18" spans="1:31" ht="15.75" customHeight="1">
      <c r="A18" s="4">
        <v>15</v>
      </c>
      <c r="B18" s="9" t="s">
        <v>37</v>
      </c>
      <c r="C18" s="4">
        <f t="shared" si="1"/>
        <v>16</v>
      </c>
      <c r="D18" s="4">
        <f t="shared" si="4"/>
        <v>192</v>
      </c>
      <c r="E18" s="3">
        <v>1</v>
      </c>
      <c r="F18" s="4">
        <v>3</v>
      </c>
      <c r="G18" s="3">
        <v>128</v>
      </c>
      <c r="H18" s="4">
        <f t="shared" si="5"/>
        <v>14</v>
      </c>
      <c r="I18" s="4">
        <f t="shared" si="2"/>
        <v>2</v>
      </c>
      <c r="J18" s="4">
        <f t="shared" si="6"/>
        <v>173408256</v>
      </c>
      <c r="K18" s="5"/>
      <c r="L18" s="3">
        <v>32</v>
      </c>
      <c r="M18" s="3">
        <v>4</v>
      </c>
      <c r="N18" s="3">
        <v>1</v>
      </c>
      <c r="O18" s="4">
        <f>G18/M18</f>
        <v>32</v>
      </c>
      <c r="P18" s="4">
        <f>F18*F18*D18*G18/(L18*M18)</f>
        <v>1728</v>
      </c>
      <c r="Q18" s="4">
        <f>2*L18*M18*N18</f>
        <v>256</v>
      </c>
      <c r="R18" s="4">
        <f>J18/(Q18*I18)</f>
        <v>338688</v>
      </c>
      <c r="S18" s="4">
        <f>F18*F18*D18</f>
        <v>1728</v>
      </c>
      <c r="T18" s="4">
        <f>G18</f>
        <v>128</v>
      </c>
      <c r="U18" s="4">
        <f>S18/L18</f>
        <v>54</v>
      </c>
      <c r="V18" s="4">
        <f>T18/M18</f>
        <v>32</v>
      </c>
      <c r="W18" s="4">
        <f>C18*C18+F18*F18*H18*H18</f>
        <v>2020</v>
      </c>
      <c r="X18" s="4">
        <f>F18*F18*H18*H18</f>
        <v>1764</v>
      </c>
      <c r="Y18" s="14">
        <f>(V18-1)*U18</f>
        <v>1674</v>
      </c>
      <c r="Z18" s="4">
        <f>Y21/U18</f>
        <v>1362.6666666666667</v>
      </c>
      <c r="AA18" s="4">
        <f>D18*F18*F18*G18</f>
        <v>221184</v>
      </c>
      <c r="AB18" s="4">
        <f>S18*T18*I18</f>
        <v>442368</v>
      </c>
      <c r="AC18" s="3">
        <v>1</v>
      </c>
      <c r="AD18">
        <f>AB18*AC18/18000*M18</f>
        <v>98.304000000000002</v>
      </c>
      <c r="AE18">
        <f t="shared" si="3"/>
        <v>21.410654249583185</v>
      </c>
    </row>
    <row r="19" spans="1:31" ht="15.75" customHeight="1">
      <c r="A19" s="4">
        <v>16</v>
      </c>
      <c r="B19" s="9" t="s">
        <v>39</v>
      </c>
      <c r="C19" s="4">
        <f t="shared" si="1"/>
        <v>14</v>
      </c>
      <c r="D19" s="4">
        <f t="shared" si="4"/>
        <v>128</v>
      </c>
      <c r="E19" s="3">
        <v>2</v>
      </c>
      <c r="F19" s="3">
        <v>3</v>
      </c>
      <c r="G19" s="3">
        <v>128</v>
      </c>
      <c r="H19" s="3">
        <v>6</v>
      </c>
      <c r="I19" s="4">
        <f t="shared" si="2"/>
        <v>2</v>
      </c>
      <c r="J19" s="4">
        <f t="shared" si="6"/>
        <v>324</v>
      </c>
      <c r="K19" s="5"/>
      <c r="L19" s="5"/>
      <c r="M19" s="5"/>
      <c r="N19" s="5"/>
      <c r="O19" s="4"/>
      <c r="P19" s="4"/>
      <c r="Q19" s="4">
        <f>2*L19*M19*N19</f>
        <v>0</v>
      </c>
      <c r="R19" s="4"/>
      <c r="S19" s="5"/>
      <c r="T19" s="5"/>
      <c r="U19" s="4">
        <v>1</v>
      </c>
      <c r="V19" s="5"/>
      <c r="W19" s="5"/>
      <c r="X19" s="5"/>
      <c r="Y19" s="16"/>
      <c r="Z19" s="5"/>
      <c r="AA19" s="5"/>
      <c r="AB19" s="5"/>
      <c r="AC19" s="5"/>
      <c r="AE19">
        <f t="shared" si="3"/>
        <v>0</v>
      </c>
    </row>
    <row r="20" spans="1:31" ht="15.75" customHeight="1">
      <c r="A20" s="4">
        <v>17</v>
      </c>
      <c r="B20" s="8" t="s">
        <v>40</v>
      </c>
      <c r="C20" s="4">
        <f t="shared" si="1"/>
        <v>6</v>
      </c>
      <c r="D20" s="4">
        <f t="shared" si="4"/>
        <v>128</v>
      </c>
      <c r="E20" s="3">
        <v>1</v>
      </c>
      <c r="F20" s="3">
        <v>1</v>
      </c>
      <c r="G20" s="3">
        <v>256</v>
      </c>
      <c r="H20" s="4">
        <f>IF(B20="pad", C20+2*F20, IF(B20="pool", C20/E20, IF(OR(B20="conv",B20="fc"), (C20-F20+1)/E20,C20)))</f>
        <v>6</v>
      </c>
      <c r="I20" s="4">
        <f t="shared" si="2"/>
        <v>2</v>
      </c>
      <c r="J20" s="4">
        <f t="shared" si="6"/>
        <v>0</v>
      </c>
      <c r="K20" s="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14"/>
      <c r="Z20" s="4"/>
      <c r="AA20" s="4"/>
      <c r="AB20" s="4"/>
      <c r="AC20" s="4"/>
      <c r="AE20">
        <f t="shared" si="3"/>
        <v>0</v>
      </c>
    </row>
    <row r="21" spans="1:31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>
        <v>4096</v>
      </c>
      <c r="H21" s="3">
        <v>1</v>
      </c>
      <c r="I21" s="4">
        <f t="shared" si="2"/>
        <v>1</v>
      </c>
      <c r="J21" s="4">
        <f t="shared" si="6"/>
        <v>75497472</v>
      </c>
      <c r="K21" s="5"/>
      <c r="L21" s="3">
        <v>64</v>
      </c>
      <c r="M21" s="3">
        <v>8</v>
      </c>
      <c r="N21" s="4">
        <v>1</v>
      </c>
      <c r="O21" s="4">
        <f>G21/M21</f>
        <v>512</v>
      </c>
      <c r="P21" s="4">
        <f>F21*F21*D21*G21/(L21*M21)</f>
        <v>73728</v>
      </c>
      <c r="Q21" s="4">
        <f>2*L21*M21*N21</f>
        <v>1024</v>
      </c>
      <c r="R21" s="4">
        <f>J21/(Q21*I21)</f>
        <v>73728</v>
      </c>
      <c r="S21" s="4">
        <f>F21*F21*D21</f>
        <v>9216</v>
      </c>
      <c r="T21" s="4">
        <f>G21</f>
        <v>4096</v>
      </c>
      <c r="U21" s="4">
        <f t="shared" ref="U21:V23" si="7">S21/L21</f>
        <v>144</v>
      </c>
      <c r="V21" s="4">
        <f t="shared" si="7"/>
        <v>512</v>
      </c>
      <c r="W21" s="5"/>
      <c r="X21" s="5"/>
      <c r="Y21" s="14">
        <f>(V21-1)*U21</f>
        <v>73584</v>
      </c>
      <c r="Z21" s="4">
        <f>Y22/U21</f>
        <v>454.66666666666669</v>
      </c>
      <c r="AA21" s="4">
        <f>D21*F21*F21*G21</f>
        <v>37748736</v>
      </c>
      <c r="AB21" s="4">
        <f>S21*T21</f>
        <v>37748736</v>
      </c>
      <c r="AC21" s="3">
        <v>1</v>
      </c>
      <c r="AD21">
        <f>AB21*AC21/18000*M21</f>
        <v>16777.216</v>
      </c>
      <c r="AE21">
        <f t="shared" si="3"/>
        <v>9.321645387573632</v>
      </c>
    </row>
    <row r="22" spans="1:31" ht="15.75" customHeight="1">
      <c r="A22" s="4">
        <v>19</v>
      </c>
      <c r="B22" s="9" t="s">
        <v>41</v>
      </c>
      <c r="C22" s="4">
        <f>H21</f>
        <v>1</v>
      </c>
      <c r="D22" s="4">
        <f>G21</f>
        <v>4096</v>
      </c>
      <c r="E22" s="3">
        <v>1</v>
      </c>
      <c r="F22" s="4">
        <v>1</v>
      </c>
      <c r="G22" s="3">
        <v>4096</v>
      </c>
      <c r="H22" s="4">
        <f>IF(B22="pad", C22+2*F22, IF(B22="pool", C22/E22, IF(OR(B22="conv",B22="fc"), (C22-F22+1)/E22,C22)))</f>
        <v>1</v>
      </c>
      <c r="I22" s="4">
        <f t="shared" si="2"/>
        <v>1</v>
      </c>
      <c r="J22" s="4">
        <f t="shared" si="6"/>
        <v>33554432</v>
      </c>
      <c r="K22" s="5"/>
      <c r="L22" s="3">
        <v>64</v>
      </c>
      <c r="M22" s="3">
        <v>4</v>
      </c>
      <c r="N22" s="4">
        <v>1</v>
      </c>
      <c r="O22" s="4">
        <f>G22/M22</f>
        <v>1024</v>
      </c>
      <c r="P22" s="4">
        <f>F22*F22*D22*G22/(L22*M22)</f>
        <v>65536</v>
      </c>
      <c r="Q22" s="4">
        <f>2*L22*M22*N22</f>
        <v>512</v>
      </c>
      <c r="R22" s="4">
        <f>J22/(Q22*I22)</f>
        <v>65536</v>
      </c>
      <c r="S22" s="4">
        <f>F22*F22*D22</f>
        <v>4096</v>
      </c>
      <c r="T22" s="4">
        <f>G22</f>
        <v>4096</v>
      </c>
      <c r="U22" s="4">
        <f t="shared" si="7"/>
        <v>64</v>
      </c>
      <c r="V22" s="4">
        <f t="shared" si="7"/>
        <v>1024</v>
      </c>
      <c r="W22" s="5"/>
      <c r="X22" s="5"/>
      <c r="Y22" s="14">
        <f>(V22-1)*U22</f>
        <v>65472</v>
      </c>
      <c r="Z22" s="4">
        <f>Y23/U22</f>
        <v>992</v>
      </c>
      <c r="AA22" s="4">
        <f>D22*F22*F22*G22</f>
        <v>16777216</v>
      </c>
      <c r="AB22" s="4">
        <f>S22*T22</f>
        <v>16777216</v>
      </c>
      <c r="AC22" s="3">
        <v>1</v>
      </c>
      <c r="AD22">
        <f>AB22*AC22/18000*M22</f>
        <v>3728.2702222222224</v>
      </c>
      <c r="AE22">
        <f t="shared" si="3"/>
        <v>4.1429535055882809</v>
      </c>
    </row>
    <row r="23" spans="1:31" ht="15.75" customHeight="1">
      <c r="A23" s="4">
        <v>20</v>
      </c>
      <c r="B23" s="9" t="s">
        <v>41</v>
      </c>
      <c r="C23" s="4">
        <f>H22</f>
        <v>1</v>
      </c>
      <c r="D23" s="4">
        <f>G22</f>
        <v>4096</v>
      </c>
      <c r="E23" s="3">
        <v>1</v>
      </c>
      <c r="F23" s="4">
        <v>1</v>
      </c>
      <c r="G23" s="3">
        <v>1000</v>
      </c>
      <c r="H23" s="4">
        <f>IF(B23="pad", C23+2*F23, IF(B23="pool", C23/E23, IF(OR(B23="conv",B23="fc"), (C23-F23+1)/E23,C23)))</f>
        <v>1</v>
      </c>
      <c r="I23" s="4">
        <f t="shared" si="2"/>
        <v>1</v>
      </c>
      <c r="J23" s="4">
        <f t="shared" si="6"/>
        <v>8192000</v>
      </c>
      <c r="K23" s="5"/>
      <c r="L23" s="3">
        <v>8</v>
      </c>
      <c r="M23" s="3">
        <v>8</v>
      </c>
      <c r="N23" s="4">
        <v>1</v>
      </c>
      <c r="O23" s="4">
        <f>G23/M23</f>
        <v>125</v>
      </c>
      <c r="P23" s="4">
        <f>F23*F23*D23*G23/(L23*M23)</f>
        <v>64000</v>
      </c>
      <c r="Q23" s="4">
        <f>2*L23*M23*N23</f>
        <v>128</v>
      </c>
      <c r="R23" s="4">
        <f>J23/(Q23*I23)</f>
        <v>64000</v>
      </c>
      <c r="S23" s="4">
        <f>F23*F23*D23</f>
        <v>4096</v>
      </c>
      <c r="T23" s="4">
        <f>G23</f>
        <v>1000</v>
      </c>
      <c r="U23" s="4">
        <f t="shared" si="7"/>
        <v>512</v>
      </c>
      <c r="V23" s="4">
        <f t="shared" si="7"/>
        <v>125</v>
      </c>
      <c r="W23" s="5"/>
      <c r="X23" s="5"/>
      <c r="Y23" s="14">
        <f>(V23-1)*U23</f>
        <v>63488</v>
      </c>
      <c r="Z23" s="5"/>
      <c r="AA23" s="4">
        <f>D23*F23*F23*G23</f>
        <v>4096000</v>
      </c>
      <c r="AB23" s="4">
        <f>S23*T23</f>
        <v>4096000</v>
      </c>
      <c r="AC23" s="3">
        <v>4</v>
      </c>
      <c r="AD23">
        <f>AB23*AC23/18000*M23</f>
        <v>7281.7777777777774</v>
      </c>
      <c r="AE23">
        <f t="shared" si="3"/>
        <v>4.0458530328010553</v>
      </c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/>
  </sheetViews>
  <sheetFormatPr defaultColWidth="14.42578125" defaultRowHeight="15.75" customHeight="1"/>
  <sheetData>
    <row r="1" spans="1:29" ht="15.75" customHeight="1">
      <c r="A1" s="1" t="s">
        <v>0</v>
      </c>
      <c r="B1" s="34" t="s">
        <v>77</v>
      </c>
      <c r="C1" s="35"/>
      <c r="D1" s="35"/>
      <c r="E1" s="35"/>
      <c r="F1" s="35"/>
      <c r="G1" s="1" t="s">
        <v>2</v>
      </c>
      <c r="H1" s="4">
        <v>125</v>
      </c>
      <c r="I1" s="1"/>
      <c r="J1" s="2" t="s">
        <v>3</v>
      </c>
      <c r="K1" s="4">
        <f>MAX(MAX(R5:R22),MAX(W5:W21))</f>
        <v>10077696</v>
      </c>
      <c r="L1" s="1" t="s">
        <v>4</v>
      </c>
      <c r="M1" s="4">
        <f>1000000*H1/K1</f>
        <v>12.403628765940152</v>
      </c>
      <c r="N1" s="5"/>
      <c r="O1" s="5"/>
      <c r="P1" s="5"/>
      <c r="Q1" s="5"/>
      <c r="R1" s="1" t="s">
        <v>5</v>
      </c>
      <c r="S1" s="4">
        <f>SUM(J3:J23)/(C3*C3*D3+G23*2)</f>
        <v>25399.752078306934</v>
      </c>
      <c r="T1" s="5"/>
      <c r="U1" s="5"/>
      <c r="V1" s="5"/>
      <c r="W1" s="5"/>
      <c r="X1" s="5"/>
      <c r="Y1" s="5"/>
      <c r="Z1" s="5"/>
      <c r="AA1" s="6">
        <f>SUM(AA3:AA23)</f>
        <v>60254720</v>
      </c>
      <c r="AB1" s="5"/>
    </row>
    <row r="2" spans="1:29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SUM(J3:J113)/1000000 &amp;"M"</f>
        <v>ops, total: 3874.173385M</v>
      </c>
      <c r="K2" s="1" t="s">
        <v>15</v>
      </c>
      <c r="L2" s="1" t="s">
        <v>16</v>
      </c>
      <c r="M2" s="1" t="s">
        <v>17</v>
      </c>
      <c r="N2" s="1" t="s">
        <v>18</v>
      </c>
      <c r="O2" s="2" t="s">
        <v>19</v>
      </c>
      <c r="P2" s="2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66</v>
      </c>
      <c r="Z2" s="1" t="s">
        <v>67</v>
      </c>
      <c r="AA2" s="1" t="s">
        <v>78</v>
      </c>
      <c r="AB2" s="8" t="s">
        <v>30</v>
      </c>
      <c r="AC2" s="12" t="s">
        <v>35</v>
      </c>
    </row>
    <row r="3" spans="1:29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4">
        <v>1</v>
      </c>
      <c r="V3" s="5"/>
      <c r="W3" s="5"/>
      <c r="X3" s="5"/>
      <c r="Y3" s="5"/>
      <c r="Z3" s="4"/>
      <c r="AA3" s="5"/>
      <c r="AB3" s="5"/>
    </row>
    <row r="4" spans="1:29" ht="15.75" customHeight="1">
      <c r="A4" s="4">
        <v>1</v>
      </c>
      <c r="B4" s="9" t="s">
        <v>37</v>
      </c>
      <c r="C4" s="4">
        <f t="shared" ref="C4:C20" si="1">H3</f>
        <v>227</v>
      </c>
      <c r="D4" s="4">
        <f>G3</f>
        <v>3</v>
      </c>
      <c r="E4" s="3">
        <v>4</v>
      </c>
      <c r="F4" s="3">
        <v>12</v>
      </c>
      <c r="G4" s="3">
        <v>96</v>
      </c>
      <c r="H4" s="4">
        <f>IF(B4="pad", C4+2*F4, IF(B4="pool", C4/F4, IF(OR(B4="conv",B4="fc"), (C4-F4+1)/E4,C4)))</f>
        <v>54</v>
      </c>
      <c r="I4" s="4">
        <f t="shared" ref="I4:I23" si="2">IF(B3="merge", 1, IF(B3="split", 2, I3))</f>
        <v>1</v>
      </c>
      <c r="J4" s="4">
        <f t="shared" si="0"/>
        <v>241864704</v>
      </c>
      <c r="K4" s="5"/>
      <c r="L4" s="3">
        <v>3</v>
      </c>
      <c r="M4" s="3">
        <v>48</v>
      </c>
      <c r="N4" s="3">
        <v>1</v>
      </c>
      <c r="O4" s="4">
        <f>G4/M4</f>
        <v>2</v>
      </c>
      <c r="P4" s="4">
        <f>F4*F4*D4*G4/(L4*M4)</f>
        <v>288</v>
      </c>
      <c r="Q4" s="4">
        <f>2*L4*M4*N4</f>
        <v>288</v>
      </c>
      <c r="R4" s="4">
        <f>J4/(Q4*I4)</f>
        <v>839808</v>
      </c>
      <c r="S4" s="4">
        <f>F4*F4*D4</f>
        <v>432</v>
      </c>
      <c r="T4" s="4">
        <f>G4</f>
        <v>96</v>
      </c>
      <c r="U4" s="4">
        <f>S4/L4</f>
        <v>144</v>
      </c>
      <c r="V4" s="4">
        <f>T4/M4</f>
        <v>2</v>
      </c>
      <c r="W4" s="4">
        <f>C4*C4+F4*F4*H4*H4</f>
        <v>471433</v>
      </c>
      <c r="X4" s="4">
        <f>F4*F4*H4*H4</f>
        <v>419904</v>
      </c>
      <c r="Y4" s="14">
        <f>(V4-1)*U4</f>
        <v>144</v>
      </c>
      <c r="Z4" s="15">
        <f>MAX(Y4,X4)/U3</f>
        <v>419904</v>
      </c>
      <c r="AA4" s="4">
        <f>D4*F4*F4*G4</f>
        <v>41472</v>
      </c>
      <c r="AB4" s="4">
        <f>S4*T4</f>
        <v>41472</v>
      </c>
    </row>
    <row r="5" spans="1:29" ht="15.75" customHeight="1">
      <c r="A5" s="4">
        <v>2</v>
      </c>
      <c r="B5" s="8" t="s">
        <v>38</v>
      </c>
      <c r="C5" s="4">
        <f t="shared" si="1"/>
        <v>54</v>
      </c>
      <c r="D5" s="4">
        <f>G4</f>
        <v>96</v>
      </c>
      <c r="E5" s="3">
        <v>1</v>
      </c>
      <c r="F5" s="4">
        <v>1</v>
      </c>
      <c r="G5" s="3">
        <v>48</v>
      </c>
      <c r="H5" s="4">
        <f>IF(B5="pad", C5+2*F5, IF(B5="pool", C5/F5, IF(OR(B5="conv",B5="fc"), (C5-F5+1)/E5,C5)))</f>
        <v>54</v>
      </c>
      <c r="I5" s="4">
        <f t="shared" si="2"/>
        <v>1</v>
      </c>
      <c r="J5" s="4">
        <f t="shared" si="0"/>
        <v>0</v>
      </c>
      <c r="K5" s="5"/>
      <c r="L5" s="5"/>
      <c r="M5" s="5"/>
      <c r="N5" s="5"/>
      <c r="O5" s="4"/>
      <c r="P5" s="4"/>
      <c r="Q5" s="4">
        <f>2*L5*M5*N5</f>
        <v>0</v>
      </c>
      <c r="R5" s="4"/>
      <c r="S5" s="5"/>
      <c r="T5" s="5"/>
      <c r="U5" s="4">
        <v>1</v>
      </c>
      <c r="V5" s="5"/>
      <c r="W5" s="5"/>
      <c r="X5" s="5"/>
      <c r="Y5" s="5"/>
      <c r="Z5" s="15"/>
      <c r="AA5" s="5"/>
      <c r="AB5" s="5"/>
    </row>
    <row r="6" spans="1:29" ht="15.75" customHeight="1">
      <c r="A6" s="4">
        <v>3</v>
      </c>
      <c r="B6" s="8" t="s">
        <v>36</v>
      </c>
      <c r="C6" s="4">
        <f t="shared" si="1"/>
        <v>54</v>
      </c>
      <c r="D6" s="4">
        <f>G5</f>
        <v>48</v>
      </c>
      <c r="E6" s="3">
        <v>1</v>
      </c>
      <c r="F6" s="3">
        <v>2</v>
      </c>
      <c r="G6" s="3">
        <v>48</v>
      </c>
      <c r="H6" s="4">
        <f>IF(B6="pad", C6+2*F6, IF(B6="pool", C6/F6, IF(OR(B6="conv",B6="fc"), (C6-F6+1)/E6,C6)))</f>
        <v>58</v>
      </c>
      <c r="I6" s="4">
        <f t="shared" si="2"/>
        <v>2</v>
      </c>
      <c r="J6" s="4">
        <f t="shared" si="0"/>
        <v>0</v>
      </c>
      <c r="K6" s="5"/>
      <c r="L6" s="4"/>
      <c r="M6" s="4"/>
      <c r="N6" s="3"/>
      <c r="O6" s="4"/>
      <c r="P6" s="4"/>
      <c r="Q6" s="4"/>
      <c r="R6" s="4"/>
      <c r="S6" s="4"/>
      <c r="T6" s="4"/>
      <c r="U6" s="3">
        <v>1</v>
      </c>
      <c r="V6" s="4"/>
      <c r="W6" s="4"/>
      <c r="X6" s="4"/>
      <c r="Y6" s="14"/>
      <c r="Z6" s="15"/>
      <c r="AA6" s="4"/>
      <c r="AB6" s="4"/>
    </row>
    <row r="7" spans="1:29" ht="15.75" customHeight="1">
      <c r="A7" s="4">
        <v>4</v>
      </c>
      <c r="B7" s="9" t="s">
        <v>37</v>
      </c>
      <c r="C7" s="4">
        <f t="shared" si="1"/>
        <v>58</v>
      </c>
      <c r="D7" s="4">
        <f>G5</f>
        <v>48</v>
      </c>
      <c r="E7" s="3">
        <v>1</v>
      </c>
      <c r="F7" s="3">
        <v>5</v>
      </c>
      <c r="G7" s="4">
        <v>128</v>
      </c>
      <c r="H7" s="4">
        <f>IF(B7="pad", C7+2*F7, IF(B7="pool", C7/F7, IF(OR(B7="conv",B7="fc"), (C7-F7+1)/E7,C7)))</f>
        <v>54</v>
      </c>
      <c r="I7" s="4">
        <f t="shared" si="2"/>
        <v>2</v>
      </c>
      <c r="J7" s="4">
        <f t="shared" si="0"/>
        <v>1791590400</v>
      </c>
      <c r="K7" s="5"/>
      <c r="L7" s="3">
        <v>48</v>
      </c>
      <c r="M7" s="3">
        <v>1</v>
      </c>
      <c r="N7" s="3">
        <v>1</v>
      </c>
      <c r="O7" s="4">
        <f>G7/M7</f>
        <v>128</v>
      </c>
      <c r="P7" s="4">
        <f>F7*F7*D7*G7/(L7*M7)</f>
        <v>3200</v>
      </c>
      <c r="Q7" s="4">
        <f>2*L7*M7*N7</f>
        <v>96</v>
      </c>
      <c r="R7" s="4">
        <f>J7/(Q7*I7)</f>
        <v>9331200</v>
      </c>
      <c r="S7" s="4">
        <f>F7*F7*D7</f>
        <v>1200</v>
      </c>
      <c r="T7" s="4">
        <f>G7</f>
        <v>128</v>
      </c>
      <c r="U7" s="4">
        <f>S7/L7</f>
        <v>25</v>
      </c>
      <c r="V7" s="4">
        <f>T7/M7</f>
        <v>128</v>
      </c>
      <c r="W7" s="4">
        <f>C7*C7+F7*F7*H7*H7</f>
        <v>76264</v>
      </c>
      <c r="X7" s="4">
        <f>F7*F7*H7*H7</f>
        <v>72900</v>
      </c>
      <c r="Y7" s="14">
        <f>(V7-1)*U7</f>
        <v>3175</v>
      </c>
      <c r="Z7" s="15">
        <f>MAX(Y7,X7)/U7</f>
        <v>2916</v>
      </c>
      <c r="AA7" s="4">
        <f>D7*F7*F7*G7</f>
        <v>153600</v>
      </c>
      <c r="AB7" s="4">
        <f>S7*T7</f>
        <v>153600</v>
      </c>
    </row>
    <row r="8" spans="1:29" ht="15.75" customHeight="1">
      <c r="A8" s="4">
        <v>5</v>
      </c>
      <c r="B8" s="9" t="s">
        <v>39</v>
      </c>
      <c r="C8" s="4">
        <f t="shared" si="1"/>
        <v>54</v>
      </c>
      <c r="D8" s="4">
        <f t="shared" ref="D8:D20" si="3">G7</f>
        <v>128</v>
      </c>
      <c r="E8" s="3">
        <v>2</v>
      </c>
      <c r="F8" s="3">
        <v>3</v>
      </c>
      <c r="G8" s="4">
        <v>128</v>
      </c>
      <c r="H8" s="4">
        <f t="shared" ref="H8:H18" si="4">IF(B8="pad", C8+2*F8, IF(B8="pool", C8/E8, IF(OR(B8="conv",B8="fc"), (C8-F8+1)/E8,C8)))</f>
        <v>27</v>
      </c>
      <c r="I8" s="4">
        <f t="shared" si="2"/>
        <v>2</v>
      </c>
      <c r="J8" s="4">
        <f t="shared" si="0"/>
        <v>6561</v>
      </c>
      <c r="K8" s="5"/>
      <c r="L8" s="5"/>
      <c r="M8" s="5"/>
      <c r="N8" s="5"/>
      <c r="O8" s="4"/>
      <c r="P8" s="4"/>
      <c r="Q8" s="4">
        <f>2*L8*M8*N8</f>
        <v>0</v>
      </c>
      <c r="R8" s="4"/>
      <c r="S8" s="5"/>
      <c r="T8" s="5"/>
      <c r="U8" s="4">
        <v>1</v>
      </c>
      <c r="V8" s="5"/>
      <c r="W8" s="5"/>
      <c r="X8" s="5"/>
      <c r="Y8" s="5"/>
      <c r="Z8" s="15"/>
      <c r="AA8" s="5"/>
      <c r="AB8" s="5"/>
    </row>
    <row r="9" spans="1:29" ht="15.75" customHeight="1">
      <c r="A9" s="4">
        <v>6</v>
      </c>
      <c r="B9" s="8" t="s">
        <v>40</v>
      </c>
      <c r="C9" s="4">
        <f t="shared" si="1"/>
        <v>27</v>
      </c>
      <c r="D9" s="4">
        <f t="shared" si="3"/>
        <v>128</v>
      </c>
      <c r="E9" s="3">
        <v>1</v>
      </c>
      <c r="F9" s="4">
        <v>1</v>
      </c>
      <c r="G9" s="3">
        <v>256</v>
      </c>
      <c r="H9" s="4">
        <f t="shared" si="4"/>
        <v>27</v>
      </c>
      <c r="I9" s="4">
        <f t="shared" si="2"/>
        <v>2</v>
      </c>
      <c r="J9" s="4">
        <f t="shared" si="0"/>
        <v>0</v>
      </c>
      <c r="K9" s="5"/>
      <c r="L9" s="5"/>
      <c r="M9" s="5"/>
      <c r="N9" s="5"/>
      <c r="O9" s="4"/>
      <c r="P9" s="4"/>
      <c r="Q9" s="4">
        <f>2*L9*M9*N9</f>
        <v>0</v>
      </c>
      <c r="R9" s="4"/>
      <c r="S9" s="5"/>
      <c r="T9" s="5"/>
      <c r="U9" s="4">
        <v>1</v>
      </c>
      <c r="V9" s="5"/>
      <c r="W9" s="5"/>
      <c r="X9" s="5"/>
      <c r="Y9" s="5"/>
      <c r="Z9" s="15"/>
      <c r="AA9" s="5"/>
      <c r="AB9" s="5"/>
    </row>
    <row r="10" spans="1:29" ht="15.75" customHeight="1">
      <c r="A10" s="4">
        <v>7</v>
      </c>
      <c r="B10" s="8" t="s">
        <v>36</v>
      </c>
      <c r="C10" s="4">
        <f t="shared" si="1"/>
        <v>27</v>
      </c>
      <c r="D10" s="4">
        <f t="shared" si="3"/>
        <v>256</v>
      </c>
      <c r="E10" s="3">
        <v>1</v>
      </c>
      <c r="F10" s="3">
        <v>1</v>
      </c>
      <c r="G10" s="3">
        <v>256</v>
      </c>
      <c r="H10" s="4">
        <f t="shared" si="4"/>
        <v>29</v>
      </c>
      <c r="I10" s="4">
        <f t="shared" si="2"/>
        <v>1</v>
      </c>
      <c r="J10" s="4"/>
      <c r="K10" s="5"/>
      <c r="L10" s="4"/>
      <c r="M10" s="4"/>
      <c r="N10" s="3"/>
      <c r="O10" s="4"/>
      <c r="P10" s="4"/>
      <c r="Q10" s="4"/>
      <c r="R10" s="4"/>
      <c r="S10" s="4"/>
      <c r="T10" s="4"/>
      <c r="U10" s="3">
        <v>1</v>
      </c>
      <c r="V10" s="4"/>
      <c r="W10" s="4"/>
      <c r="X10" s="4"/>
      <c r="Y10" s="14"/>
      <c r="Z10" s="15"/>
      <c r="AA10" s="4"/>
      <c r="AB10" s="4"/>
    </row>
    <row r="11" spans="1:29" ht="15.75" customHeight="1">
      <c r="A11" s="4">
        <v>8</v>
      </c>
      <c r="B11" s="9" t="s">
        <v>37</v>
      </c>
      <c r="C11" s="4">
        <f t="shared" si="1"/>
        <v>29</v>
      </c>
      <c r="D11" s="4">
        <f t="shared" si="3"/>
        <v>256</v>
      </c>
      <c r="E11" s="3">
        <v>1</v>
      </c>
      <c r="F11" s="4">
        <v>3</v>
      </c>
      <c r="G11" s="3">
        <v>384</v>
      </c>
      <c r="H11" s="4">
        <f t="shared" si="4"/>
        <v>27</v>
      </c>
      <c r="I11" s="4">
        <f t="shared" si="2"/>
        <v>1</v>
      </c>
      <c r="J11" s="4">
        <f t="shared" ref="J11:J23" si="5">IF(B11="pad", 0, IF(B11="pool", H11*H11*F11*F11, IF(OR(B11="conv",B11="fc"), I11*2*H11*H11*F11*F11*D11*G11,0)))</f>
        <v>1289945088</v>
      </c>
      <c r="K11" s="5"/>
      <c r="L11" s="3">
        <v>64</v>
      </c>
      <c r="M11" s="3">
        <v>1</v>
      </c>
      <c r="N11" s="3">
        <v>1</v>
      </c>
      <c r="O11" s="4">
        <f>G11/M11</f>
        <v>384</v>
      </c>
      <c r="P11" s="4">
        <f>F11*F11*D11*G11/(L11*M11)</f>
        <v>13824</v>
      </c>
      <c r="Q11" s="4">
        <f>2*L11*M11*N11</f>
        <v>128</v>
      </c>
      <c r="R11" s="4">
        <f>J11/(Q11*I11)</f>
        <v>10077696</v>
      </c>
      <c r="S11" s="4">
        <f>F11*F11*D11</f>
        <v>2304</v>
      </c>
      <c r="T11" s="4">
        <f>G11</f>
        <v>384</v>
      </c>
      <c r="U11" s="4">
        <f>S11/L11</f>
        <v>36</v>
      </c>
      <c r="V11" s="4">
        <f>T11/M11</f>
        <v>384</v>
      </c>
      <c r="W11" s="4">
        <f>C11*C11+F11*F11*H11*H11</f>
        <v>7402</v>
      </c>
      <c r="X11" s="4">
        <f>F11*F11*H11*H11</f>
        <v>6561</v>
      </c>
      <c r="Y11" s="14">
        <f>(V11-1)*U11</f>
        <v>13788</v>
      </c>
      <c r="Z11" s="15">
        <f>MAX(Y11,X11)/U11</f>
        <v>383</v>
      </c>
      <c r="AA11" s="4">
        <f>D11*F11*F11*G11</f>
        <v>884736</v>
      </c>
      <c r="AB11" s="4">
        <f>S11*T11</f>
        <v>884736</v>
      </c>
    </row>
    <row r="12" spans="1:29" ht="15.75" customHeight="1">
      <c r="A12" s="4">
        <v>9</v>
      </c>
      <c r="B12" s="9" t="s">
        <v>36</v>
      </c>
      <c r="C12" s="4">
        <f t="shared" si="1"/>
        <v>27</v>
      </c>
      <c r="D12" s="4">
        <f t="shared" si="3"/>
        <v>384</v>
      </c>
      <c r="E12" s="3">
        <v>1</v>
      </c>
      <c r="F12" s="3">
        <v>0.5</v>
      </c>
      <c r="G12" s="3">
        <v>384</v>
      </c>
      <c r="H12" s="4">
        <f t="shared" si="4"/>
        <v>28</v>
      </c>
      <c r="I12" s="4">
        <f t="shared" si="2"/>
        <v>1</v>
      </c>
      <c r="J12" s="4">
        <f t="shared" si="5"/>
        <v>0</v>
      </c>
      <c r="K12" s="5"/>
      <c r="L12" s="5"/>
      <c r="M12" s="5"/>
      <c r="N12" s="5"/>
      <c r="O12" s="4"/>
      <c r="P12" s="4"/>
      <c r="Q12" s="4">
        <f>2*L12*M12*N12</f>
        <v>0</v>
      </c>
      <c r="R12" s="4"/>
      <c r="S12" s="5"/>
      <c r="T12" s="5"/>
      <c r="U12" s="4">
        <v>1</v>
      </c>
      <c r="V12" s="5"/>
      <c r="W12" s="5"/>
      <c r="X12" s="5"/>
      <c r="Y12" s="5"/>
      <c r="Z12" s="15"/>
      <c r="AA12" s="5"/>
      <c r="AB12" s="5"/>
    </row>
    <row r="13" spans="1:29" ht="15.75" customHeight="1">
      <c r="A13" s="4">
        <v>10</v>
      </c>
      <c r="B13" s="9" t="s">
        <v>39</v>
      </c>
      <c r="C13" s="4">
        <f t="shared" si="1"/>
        <v>28</v>
      </c>
      <c r="D13" s="4">
        <f t="shared" si="3"/>
        <v>384</v>
      </c>
      <c r="E13" s="3">
        <v>2</v>
      </c>
      <c r="F13" s="3">
        <v>3</v>
      </c>
      <c r="G13" s="3">
        <v>384</v>
      </c>
      <c r="H13" s="4">
        <f t="shared" si="4"/>
        <v>14</v>
      </c>
      <c r="I13" s="4">
        <f t="shared" si="2"/>
        <v>1</v>
      </c>
      <c r="J13" s="4">
        <f t="shared" si="5"/>
        <v>1764</v>
      </c>
      <c r="K13" s="5"/>
      <c r="L13" s="5"/>
      <c r="M13" s="5"/>
      <c r="N13" s="5"/>
      <c r="O13" s="4"/>
      <c r="P13" s="4"/>
      <c r="Q13" s="4">
        <f>2*L13*M13*N13</f>
        <v>0</v>
      </c>
      <c r="R13" s="4"/>
      <c r="S13" s="5"/>
      <c r="T13" s="5"/>
      <c r="U13" s="4">
        <v>1</v>
      </c>
      <c r="V13" s="5"/>
      <c r="W13" s="5"/>
      <c r="X13" s="5"/>
      <c r="Y13" s="5"/>
      <c r="Z13" s="15"/>
      <c r="AA13" s="5"/>
      <c r="AB13" s="5"/>
    </row>
    <row r="14" spans="1:29" ht="15.75" customHeight="1">
      <c r="A14" s="4">
        <v>11</v>
      </c>
      <c r="B14" s="8" t="s">
        <v>38</v>
      </c>
      <c r="C14" s="4">
        <f t="shared" si="1"/>
        <v>14</v>
      </c>
      <c r="D14" s="4">
        <f t="shared" si="3"/>
        <v>384</v>
      </c>
      <c r="E14" s="3">
        <v>1</v>
      </c>
      <c r="F14" s="3">
        <v>1</v>
      </c>
      <c r="G14" s="3">
        <v>192</v>
      </c>
      <c r="H14" s="4">
        <f t="shared" si="4"/>
        <v>14</v>
      </c>
      <c r="I14" s="4">
        <f t="shared" si="2"/>
        <v>1</v>
      </c>
      <c r="J14" s="4">
        <f t="shared" si="5"/>
        <v>0</v>
      </c>
      <c r="K14" s="5"/>
      <c r="L14" s="5"/>
      <c r="M14" s="5"/>
      <c r="N14" s="5"/>
      <c r="O14" s="4"/>
      <c r="P14" s="4"/>
      <c r="Q14" s="4"/>
      <c r="R14" s="4"/>
      <c r="S14" s="5"/>
      <c r="T14" s="5"/>
      <c r="U14" s="4"/>
      <c r="V14" s="5"/>
      <c r="W14" s="5"/>
      <c r="X14" s="5"/>
      <c r="Y14" s="5"/>
      <c r="Z14" s="15"/>
      <c r="AA14" s="5"/>
      <c r="AB14" s="5"/>
    </row>
    <row r="15" spans="1:29" ht="15.75" customHeight="1">
      <c r="A15" s="4">
        <v>12</v>
      </c>
      <c r="B15" s="8" t="s">
        <v>36</v>
      </c>
      <c r="C15" s="4">
        <f t="shared" si="1"/>
        <v>14</v>
      </c>
      <c r="D15" s="4">
        <f t="shared" si="3"/>
        <v>192</v>
      </c>
      <c r="E15" s="3">
        <v>1</v>
      </c>
      <c r="F15" s="4">
        <v>1</v>
      </c>
      <c r="G15" s="3">
        <v>192</v>
      </c>
      <c r="H15" s="4">
        <f t="shared" si="4"/>
        <v>16</v>
      </c>
      <c r="I15" s="4">
        <f t="shared" si="2"/>
        <v>2</v>
      </c>
      <c r="J15" s="4">
        <f t="shared" si="5"/>
        <v>0</v>
      </c>
      <c r="K15" s="5"/>
      <c r="L15" s="5"/>
      <c r="M15" s="5"/>
      <c r="N15" s="5"/>
      <c r="O15" s="4"/>
      <c r="P15" s="4"/>
      <c r="Q15" s="4">
        <f>2*L15*M15*N15</f>
        <v>0</v>
      </c>
      <c r="R15" s="4"/>
      <c r="S15" s="5"/>
      <c r="T15" s="5"/>
      <c r="U15" s="4">
        <v>1</v>
      </c>
      <c r="V15" s="5"/>
      <c r="W15" s="5"/>
      <c r="X15" s="5"/>
      <c r="Y15" s="5"/>
      <c r="Z15" s="15"/>
      <c r="AA15" s="5"/>
      <c r="AB15" s="5"/>
    </row>
    <row r="16" spans="1:29" ht="15.75" customHeight="1">
      <c r="A16" s="4">
        <v>13</v>
      </c>
      <c r="B16" s="9" t="s">
        <v>37</v>
      </c>
      <c r="C16" s="4">
        <f t="shared" si="1"/>
        <v>16</v>
      </c>
      <c r="D16" s="4">
        <f t="shared" si="3"/>
        <v>192</v>
      </c>
      <c r="E16" s="3">
        <v>1</v>
      </c>
      <c r="F16" s="4">
        <v>3</v>
      </c>
      <c r="G16" s="3">
        <v>192</v>
      </c>
      <c r="H16" s="4">
        <f t="shared" si="4"/>
        <v>14</v>
      </c>
      <c r="I16" s="4">
        <f t="shared" si="2"/>
        <v>2</v>
      </c>
      <c r="J16" s="4">
        <f t="shared" si="5"/>
        <v>260112384</v>
      </c>
      <c r="K16" s="5"/>
      <c r="L16" s="3">
        <v>32</v>
      </c>
      <c r="M16" s="3">
        <v>1</v>
      </c>
      <c r="N16" s="3">
        <v>1</v>
      </c>
      <c r="O16" s="4">
        <f>G16/M16</f>
        <v>192</v>
      </c>
      <c r="P16" s="4">
        <f>F16*F16*D16*G16/(L16*M16)</f>
        <v>10368</v>
      </c>
      <c r="Q16" s="4">
        <f>2*L16*M16*N16</f>
        <v>64</v>
      </c>
      <c r="R16" s="4">
        <f>J16/(Q16*I16)</f>
        <v>2032128</v>
      </c>
      <c r="S16" s="4">
        <f>F16*F16*D16</f>
        <v>1728</v>
      </c>
      <c r="T16" s="4">
        <f>G16</f>
        <v>192</v>
      </c>
      <c r="U16" s="4">
        <f>S16/L16</f>
        <v>54</v>
      </c>
      <c r="V16" s="4">
        <f>T16/M16</f>
        <v>192</v>
      </c>
      <c r="W16" s="4">
        <f>C16*C16+F16*F16*H16*H16</f>
        <v>2020</v>
      </c>
      <c r="X16" s="4">
        <f>F16*F16*H16*H16</f>
        <v>1764</v>
      </c>
      <c r="Y16" s="14">
        <f>(V16-1)*U16</f>
        <v>10314</v>
      </c>
      <c r="Z16" s="15">
        <f>MAX(Y16,X16)/U16</f>
        <v>191</v>
      </c>
      <c r="AA16" s="4">
        <f>D16*F16*F16*G16</f>
        <v>331776</v>
      </c>
      <c r="AB16" s="4">
        <f>S16*T16</f>
        <v>331776</v>
      </c>
    </row>
    <row r="17" spans="1:29" ht="15.75" customHeight="1">
      <c r="A17" s="4">
        <v>14</v>
      </c>
      <c r="B17" s="9" t="s">
        <v>36</v>
      </c>
      <c r="C17" s="4">
        <f t="shared" si="1"/>
        <v>14</v>
      </c>
      <c r="D17" s="4">
        <f t="shared" si="3"/>
        <v>192</v>
      </c>
      <c r="E17" s="3">
        <v>1</v>
      </c>
      <c r="F17" s="4">
        <v>1</v>
      </c>
      <c r="G17" s="3">
        <v>192</v>
      </c>
      <c r="H17" s="4">
        <f t="shared" si="4"/>
        <v>16</v>
      </c>
      <c r="I17" s="4">
        <f t="shared" si="2"/>
        <v>2</v>
      </c>
      <c r="J17" s="4">
        <f t="shared" si="5"/>
        <v>0</v>
      </c>
      <c r="K17" s="5"/>
      <c r="L17" s="5"/>
      <c r="M17" s="5"/>
      <c r="N17" s="5"/>
      <c r="O17" s="4"/>
      <c r="P17" s="4"/>
      <c r="Q17" s="4">
        <f>2*L17*M17*N17</f>
        <v>0</v>
      </c>
      <c r="R17" s="4"/>
      <c r="S17" s="5"/>
      <c r="T17" s="5"/>
      <c r="U17" s="4">
        <v>1</v>
      </c>
      <c r="V17" s="5"/>
      <c r="W17" s="5"/>
      <c r="X17" s="5"/>
      <c r="Y17" s="5"/>
      <c r="Z17" s="15"/>
      <c r="AA17" s="5"/>
      <c r="AB17" s="5"/>
    </row>
    <row r="18" spans="1:29" ht="15.75" customHeight="1">
      <c r="A18" s="4">
        <v>15</v>
      </c>
      <c r="B18" s="9" t="s">
        <v>37</v>
      </c>
      <c r="C18" s="4">
        <f t="shared" si="1"/>
        <v>16</v>
      </c>
      <c r="D18" s="4">
        <f t="shared" si="3"/>
        <v>192</v>
      </c>
      <c r="E18" s="3">
        <v>1</v>
      </c>
      <c r="F18" s="4">
        <v>3</v>
      </c>
      <c r="G18" s="3">
        <v>128</v>
      </c>
      <c r="H18" s="4">
        <f t="shared" si="4"/>
        <v>14</v>
      </c>
      <c r="I18" s="4">
        <f t="shared" si="2"/>
        <v>2</v>
      </c>
      <c r="J18" s="4">
        <f t="shared" si="5"/>
        <v>173408256</v>
      </c>
      <c r="K18" s="5"/>
      <c r="L18" s="3">
        <v>32</v>
      </c>
      <c r="M18" s="3">
        <v>1</v>
      </c>
      <c r="N18" s="3">
        <v>1</v>
      </c>
      <c r="O18" s="4">
        <f>G18/M18</f>
        <v>128</v>
      </c>
      <c r="P18" s="4">
        <f>F18*F18*D18*G18/(L18*M18)</f>
        <v>6912</v>
      </c>
      <c r="Q18" s="4">
        <f>2*L18*M18*N18</f>
        <v>64</v>
      </c>
      <c r="R18" s="4">
        <f>J18/(Q18*I18)</f>
        <v>1354752</v>
      </c>
      <c r="S18" s="4">
        <f>F18*F18*D18</f>
        <v>1728</v>
      </c>
      <c r="T18" s="4">
        <f>G18</f>
        <v>128</v>
      </c>
      <c r="U18" s="4">
        <f>S18/L18</f>
        <v>54</v>
      </c>
      <c r="V18" s="4">
        <f>T18/M18</f>
        <v>128</v>
      </c>
      <c r="W18" s="4">
        <f>C18*C18+F18*F18*H18*H18</f>
        <v>2020</v>
      </c>
      <c r="X18" s="4">
        <f>F18*F18*H18*H18</f>
        <v>1764</v>
      </c>
      <c r="Y18" s="14">
        <f>(V18-1)*U18</f>
        <v>6858</v>
      </c>
      <c r="Z18" s="4">
        <f>Y21/U18</f>
        <v>10920</v>
      </c>
      <c r="AA18" s="4">
        <f>D18*F18*F18*G18</f>
        <v>221184</v>
      </c>
      <c r="AB18" s="4">
        <f>S18*T18</f>
        <v>221184</v>
      </c>
    </row>
    <row r="19" spans="1:29" ht="15.75" customHeight="1">
      <c r="A19" s="4">
        <v>16</v>
      </c>
      <c r="B19" s="9" t="s">
        <v>39</v>
      </c>
      <c r="C19" s="4">
        <f t="shared" si="1"/>
        <v>14</v>
      </c>
      <c r="D19" s="4">
        <f t="shared" si="3"/>
        <v>128</v>
      </c>
      <c r="E19" s="3">
        <v>2</v>
      </c>
      <c r="F19" s="3">
        <v>3</v>
      </c>
      <c r="G19" s="3">
        <v>128</v>
      </c>
      <c r="H19" s="3">
        <v>6</v>
      </c>
      <c r="I19" s="4">
        <f t="shared" si="2"/>
        <v>2</v>
      </c>
      <c r="J19" s="4">
        <f t="shared" si="5"/>
        <v>324</v>
      </c>
      <c r="K19" s="5"/>
      <c r="L19" s="5"/>
      <c r="M19" s="5"/>
      <c r="N19" s="5"/>
      <c r="O19" s="4"/>
      <c r="P19" s="4"/>
      <c r="Q19" s="4">
        <f>2*L19*M19*N19</f>
        <v>0</v>
      </c>
      <c r="R19" s="4"/>
      <c r="S19" s="5"/>
      <c r="T19" s="5"/>
      <c r="U19" s="4">
        <v>1</v>
      </c>
      <c r="V19" s="5"/>
      <c r="W19" s="5"/>
      <c r="X19" s="5"/>
      <c r="Y19" s="16"/>
      <c r="Z19" s="5"/>
      <c r="AA19" s="5"/>
      <c r="AB19" s="5"/>
    </row>
    <row r="20" spans="1:29" ht="15.75" customHeight="1">
      <c r="A20" s="4">
        <v>17</v>
      </c>
      <c r="B20" s="8" t="s">
        <v>40</v>
      </c>
      <c r="C20" s="4">
        <f t="shared" si="1"/>
        <v>6</v>
      </c>
      <c r="D20" s="4">
        <f t="shared" si="3"/>
        <v>128</v>
      </c>
      <c r="E20" s="3">
        <v>1</v>
      </c>
      <c r="F20" s="3">
        <v>1</v>
      </c>
      <c r="G20" s="3">
        <v>256</v>
      </c>
      <c r="H20" s="4">
        <f>IF(B20="pad", C20+2*F20, IF(B20="pool", C20/E20, IF(OR(B20="conv",B20="fc"), (C20-F20+1)/E20,C20)))</f>
        <v>6</v>
      </c>
      <c r="I20" s="4">
        <f t="shared" si="2"/>
        <v>2</v>
      </c>
      <c r="J20" s="4">
        <f t="shared" si="5"/>
        <v>0</v>
      </c>
      <c r="K20" s="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14"/>
      <c r="Z20" s="4"/>
      <c r="AA20" s="4"/>
      <c r="AB20" s="4"/>
    </row>
    <row r="21" spans="1:29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>
        <v>4096</v>
      </c>
      <c r="H21" s="3">
        <v>1</v>
      </c>
      <c r="I21" s="4">
        <f t="shared" si="2"/>
        <v>1</v>
      </c>
      <c r="J21" s="4">
        <f t="shared" si="5"/>
        <v>75497472</v>
      </c>
      <c r="K21" s="5"/>
      <c r="L21" s="3">
        <v>64</v>
      </c>
      <c r="M21" s="3">
        <v>1</v>
      </c>
      <c r="N21" s="4">
        <v>1</v>
      </c>
      <c r="O21" s="4">
        <f>G21/M21</f>
        <v>4096</v>
      </c>
      <c r="P21" s="4">
        <f>F21*F21*D21*G21/(L21*M21)</f>
        <v>589824</v>
      </c>
      <c r="Q21" s="4">
        <f>2*L21*M21*N21</f>
        <v>128</v>
      </c>
      <c r="R21" s="4">
        <f>J21/(Q21*I21)</f>
        <v>589824</v>
      </c>
      <c r="S21" s="4">
        <f>F21*F21*D21</f>
        <v>9216</v>
      </c>
      <c r="T21" s="4">
        <f>G21</f>
        <v>4096</v>
      </c>
      <c r="U21" s="4">
        <f t="shared" ref="U21:V23" si="6">S21/L21</f>
        <v>144</v>
      </c>
      <c r="V21" s="4">
        <f t="shared" si="6"/>
        <v>4096</v>
      </c>
      <c r="W21" s="5"/>
      <c r="X21" s="5"/>
      <c r="Y21" s="14">
        <f>(V21-1)*U21</f>
        <v>589680</v>
      </c>
      <c r="Z21" s="4">
        <f>Y22/U21</f>
        <v>1820</v>
      </c>
      <c r="AA21" s="4">
        <f>D21*F21*F21*G21</f>
        <v>37748736</v>
      </c>
      <c r="AB21" s="4">
        <f>S21*T21</f>
        <v>37748736</v>
      </c>
      <c r="AC21">
        <f>AB21*M$1/(1024*1024*1024)</f>
        <v>0.43606507380258347</v>
      </c>
    </row>
    <row r="22" spans="1:29" ht="15.75" customHeight="1">
      <c r="A22" s="4">
        <v>19</v>
      </c>
      <c r="B22" s="9" t="s">
        <v>41</v>
      </c>
      <c r="C22" s="4">
        <f>H21</f>
        <v>1</v>
      </c>
      <c r="D22" s="4">
        <f>G21</f>
        <v>4096</v>
      </c>
      <c r="E22" s="3">
        <v>1</v>
      </c>
      <c r="F22" s="4">
        <v>1</v>
      </c>
      <c r="G22" s="3">
        <v>4096</v>
      </c>
      <c r="H22" s="4">
        <f>IF(B22="pad", C22+2*F22, IF(B22="pool", C22/E22, IF(OR(B22="conv",B22="fc"), (C22-F22+1)/E22,C22)))</f>
        <v>1</v>
      </c>
      <c r="I22" s="4">
        <f t="shared" si="2"/>
        <v>1</v>
      </c>
      <c r="J22" s="4">
        <f t="shared" si="5"/>
        <v>33554432</v>
      </c>
      <c r="K22" s="5"/>
      <c r="L22" s="3">
        <v>64</v>
      </c>
      <c r="M22" s="3">
        <v>1</v>
      </c>
      <c r="N22" s="4">
        <v>1</v>
      </c>
      <c r="O22" s="4">
        <f>G22/M22</f>
        <v>4096</v>
      </c>
      <c r="P22" s="4">
        <f>F22*F22*D22*G22/(L22*M22)</f>
        <v>262144</v>
      </c>
      <c r="Q22" s="4">
        <f>2*L22*M22*N22</f>
        <v>128</v>
      </c>
      <c r="R22" s="4">
        <f>J22/(Q22*I22)</f>
        <v>262144</v>
      </c>
      <c r="S22" s="4">
        <f>F22*F22*D22</f>
        <v>4096</v>
      </c>
      <c r="T22" s="4">
        <f>G22</f>
        <v>4096</v>
      </c>
      <c r="U22" s="4">
        <f t="shared" si="6"/>
        <v>64</v>
      </c>
      <c r="V22" s="4">
        <f t="shared" si="6"/>
        <v>4096</v>
      </c>
      <c r="W22" s="5"/>
      <c r="X22" s="5"/>
      <c r="Y22" s="14">
        <f>(V22-1)*U22</f>
        <v>262080</v>
      </c>
      <c r="Z22" s="4">
        <f>Y23/U22</f>
        <v>992</v>
      </c>
      <c r="AA22" s="4">
        <f>D22*F22*F22*G22</f>
        <v>16777216</v>
      </c>
      <c r="AB22" s="4">
        <f>S22*T22</f>
        <v>16777216</v>
      </c>
      <c r="AC22">
        <f>AB22*M$1/(1024*1024*1024)</f>
        <v>0.19380669946781487</v>
      </c>
    </row>
    <row r="23" spans="1:29" ht="15.75" customHeight="1">
      <c r="A23" s="4">
        <v>20</v>
      </c>
      <c r="B23" s="9" t="s">
        <v>41</v>
      </c>
      <c r="C23" s="4">
        <f>H22</f>
        <v>1</v>
      </c>
      <c r="D23" s="4">
        <f>G22</f>
        <v>4096</v>
      </c>
      <c r="E23" s="3">
        <v>1</v>
      </c>
      <c r="F23" s="4">
        <v>1</v>
      </c>
      <c r="G23" s="3">
        <v>1000</v>
      </c>
      <c r="H23" s="4">
        <f>IF(B23="pad", C23+2*F23, IF(B23="pool", C23/E23, IF(OR(B23="conv",B23="fc"), (C23-F23+1)/E23,C23)))</f>
        <v>1</v>
      </c>
      <c r="I23" s="4">
        <f t="shared" si="2"/>
        <v>1</v>
      </c>
      <c r="J23" s="4">
        <f t="shared" si="5"/>
        <v>8192000</v>
      </c>
      <c r="K23" s="5"/>
      <c r="L23" s="3">
        <v>8</v>
      </c>
      <c r="M23" s="3">
        <v>8</v>
      </c>
      <c r="N23" s="4">
        <v>1</v>
      </c>
      <c r="O23" s="4">
        <f>G23/M23</f>
        <v>125</v>
      </c>
      <c r="P23" s="4">
        <f>F23*F23*D23*G23/(L23*M23)</f>
        <v>64000</v>
      </c>
      <c r="Q23" s="4">
        <f>2*L23*M23*N23</f>
        <v>128</v>
      </c>
      <c r="R23" s="4">
        <f>J23/(Q23*I23)</f>
        <v>64000</v>
      </c>
      <c r="S23" s="4">
        <f>F23*F23*D23</f>
        <v>4096</v>
      </c>
      <c r="T23" s="4">
        <f>G23</f>
        <v>1000</v>
      </c>
      <c r="U23" s="4">
        <f t="shared" si="6"/>
        <v>512</v>
      </c>
      <c r="V23" s="4">
        <f t="shared" si="6"/>
        <v>125</v>
      </c>
      <c r="W23" s="5"/>
      <c r="X23" s="5"/>
      <c r="Y23" s="14">
        <f>(V23-1)*U23</f>
        <v>63488</v>
      </c>
      <c r="Z23" s="5"/>
      <c r="AA23" s="4">
        <f>D23*F23*F23*G23</f>
        <v>4096000</v>
      </c>
      <c r="AB23" s="4">
        <f>S23*T23</f>
        <v>4096000</v>
      </c>
      <c r="AC23">
        <f>AB23*M$1/(1024*1024*1024)</f>
        <v>4.7316088737259489E-2</v>
      </c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B9" sqref="B9"/>
    </sheetView>
  </sheetViews>
  <sheetFormatPr defaultColWidth="14.42578125" defaultRowHeight="15.75" customHeight="1"/>
  <cols>
    <col min="1" max="1" width="8.7109375" style="20" customWidth="1"/>
    <col min="2" max="2" width="14.42578125" style="20"/>
    <col min="3" max="3" width="6.85546875" style="20" customWidth="1"/>
    <col min="4" max="4" width="11.42578125" style="20" customWidth="1"/>
    <col min="5" max="8" width="14.42578125" style="20"/>
    <col min="9" max="9" width="17.42578125" style="20" customWidth="1"/>
    <col min="10" max="10" width="24.42578125" style="20" customWidth="1"/>
    <col min="11" max="24" width="14.42578125" style="20"/>
    <col min="25" max="25" width="22.140625" style="20" customWidth="1"/>
    <col min="26" max="26" width="16.85546875" style="20" customWidth="1"/>
    <col min="27" max="27" width="16.28515625" style="20" customWidth="1"/>
    <col min="28" max="28" width="14.42578125" style="20" customWidth="1"/>
    <col min="29" max="31" width="16.42578125" style="20" customWidth="1"/>
    <col min="32" max="16384" width="14.42578125" style="20"/>
  </cols>
  <sheetData>
    <row r="1" spans="1:31" ht="15.75" customHeight="1">
      <c r="A1" s="19" t="s">
        <v>0</v>
      </c>
      <c r="B1" s="34" t="s">
        <v>1</v>
      </c>
      <c r="C1" s="35"/>
      <c r="D1" s="35"/>
      <c r="E1" s="35"/>
      <c r="F1" s="35"/>
      <c r="G1" s="19" t="s">
        <v>2</v>
      </c>
      <c r="H1" s="4">
        <v>133</v>
      </c>
      <c r="I1" s="19"/>
      <c r="J1" s="19" t="s">
        <v>3</v>
      </c>
      <c r="K1" s="4">
        <f>MAX(MAX(R4:R20),MAX(W5:W20))</f>
        <v>52488</v>
      </c>
      <c r="L1" s="19" t="s">
        <v>4</v>
      </c>
      <c r="M1" s="4">
        <f>1000000*H1/K1</f>
        <v>2533.9125133363818</v>
      </c>
      <c r="N1" s="11"/>
      <c r="O1" s="11"/>
      <c r="P1" s="11"/>
      <c r="Q1" s="11"/>
      <c r="R1" s="19" t="s">
        <v>5</v>
      </c>
      <c r="S1" s="4">
        <f>SUM(J3:J23)/(C3*C3*D3+G23*2)</f>
        <v>33856.855613395572</v>
      </c>
      <c r="T1" s="11"/>
      <c r="U1" s="11"/>
      <c r="V1" s="11"/>
      <c r="W1" s="11"/>
      <c r="X1" s="11"/>
      <c r="Y1" s="6"/>
      <c r="Z1" s="11"/>
      <c r="AA1" s="11"/>
      <c r="AB1" s="11"/>
    </row>
    <row r="2" spans="1:31" ht="15.75" customHeight="1">
      <c r="A2" s="19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19" t="s">
        <v>11</v>
      </c>
      <c r="G2" s="19" t="s">
        <v>12</v>
      </c>
      <c r="H2" s="19" t="s">
        <v>13</v>
      </c>
      <c r="I2" s="19" t="s">
        <v>14</v>
      </c>
      <c r="J2" s="19" t="str">
        <f>"ops, total: " &amp; SUM(J3:J113)/1000000 &amp;"M"</f>
        <v>ops, total: 5164.118473M</v>
      </c>
      <c r="K2" s="19" t="s">
        <v>15</v>
      </c>
      <c r="L2" s="19" t="s">
        <v>16</v>
      </c>
      <c r="M2" s="19" t="s">
        <v>17</v>
      </c>
      <c r="N2" s="19" t="s">
        <v>18</v>
      </c>
      <c r="O2" s="19" t="s">
        <v>19</v>
      </c>
      <c r="P2" s="19" t="s">
        <v>20</v>
      </c>
      <c r="Q2" s="19" t="s">
        <v>21</v>
      </c>
      <c r="R2" s="19" t="s">
        <v>22</v>
      </c>
      <c r="S2" s="19" t="s">
        <v>23</v>
      </c>
      <c r="T2" s="19" t="s">
        <v>24</v>
      </c>
      <c r="U2" s="19" t="s">
        <v>25</v>
      </c>
      <c r="V2" s="19" t="s">
        <v>26</v>
      </c>
      <c r="W2" s="19" t="s">
        <v>27</v>
      </c>
      <c r="X2" s="19" t="s">
        <v>28</v>
      </c>
      <c r="Y2" s="19" t="s">
        <v>29</v>
      </c>
      <c r="Z2" s="19" t="s">
        <v>30</v>
      </c>
      <c r="AA2" s="19" t="s">
        <v>31</v>
      </c>
      <c r="AB2" s="19" t="s">
        <v>32</v>
      </c>
      <c r="AC2" s="7" t="s">
        <v>33</v>
      </c>
      <c r="AD2" s="7" t="s">
        <v>34</v>
      </c>
      <c r="AE2" s="7" t="s">
        <v>35</v>
      </c>
    </row>
    <row r="3" spans="1:31" ht="15.75" customHeight="1">
      <c r="A3" s="4">
        <v>0</v>
      </c>
      <c r="B3" s="11" t="s">
        <v>36</v>
      </c>
      <c r="C3" s="4">
        <v>224</v>
      </c>
      <c r="D3" s="4">
        <v>3</v>
      </c>
      <c r="E3" s="4">
        <v>1</v>
      </c>
      <c r="F3" s="4">
        <v>1.5</v>
      </c>
      <c r="G3" s="4">
        <v>3</v>
      </c>
      <c r="H3" s="4">
        <f>IF(B3="pad", C3+2*F3, IF(B3="pool", C3/F3, IF(OR(B3="conv",B3="fc"), C3-F3+1,C3)))</f>
        <v>227</v>
      </c>
      <c r="I3" s="4">
        <v>1</v>
      </c>
      <c r="J3" s="4">
        <f t="shared" ref="J3:J9" si="0">IF(B3="pad", 0, IF(B3="pool", H3*H3*F3*F3, IF(OR(B3="conv",B3="fc"), I3*2*H3*H3*F3*F3*D3*G3,0)))</f>
        <v>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4">
        <v>1</v>
      </c>
      <c r="V3" s="11"/>
      <c r="W3" s="11"/>
      <c r="X3" s="11"/>
      <c r="Y3" s="11"/>
      <c r="Z3" s="11"/>
      <c r="AA3" s="11"/>
      <c r="AB3" s="11"/>
    </row>
    <row r="4" spans="1:31" ht="15.75" customHeight="1">
      <c r="A4" s="4">
        <v>1</v>
      </c>
      <c r="B4" s="11" t="s">
        <v>37</v>
      </c>
      <c r="C4" s="4">
        <f t="shared" ref="C4:C20" si="1">H3</f>
        <v>227</v>
      </c>
      <c r="D4" s="4">
        <f>G3</f>
        <v>3</v>
      </c>
      <c r="E4" s="4">
        <v>4</v>
      </c>
      <c r="F4" s="4">
        <v>12</v>
      </c>
      <c r="G4" s="4">
        <v>96</v>
      </c>
      <c r="H4" s="4">
        <f>IF(B4="pad", C4+2*F4, IF(B4="pool", C4/F4, IF(OR(B4="conv",B4="fc"), (C4-F4+1)/E4,C4)))</f>
        <v>54</v>
      </c>
      <c r="I4" s="4">
        <f t="shared" ref="I4:I23" si="2">IF(B3="merge", 1, IF(B3="split", 2, I3))</f>
        <v>1</v>
      </c>
      <c r="J4" s="4">
        <f t="shared" si="0"/>
        <v>241864704</v>
      </c>
      <c r="K4" s="10">
        <f>J4/SUM(J$4:J$23)*100</f>
        <v>4.6835622626506694</v>
      </c>
      <c r="L4" s="4">
        <v>3</v>
      </c>
      <c r="M4" s="4">
        <v>96</v>
      </c>
      <c r="N4" s="4">
        <v>9</v>
      </c>
      <c r="O4" s="4">
        <f>G4/M4</f>
        <v>1</v>
      </c>
      <c r="P4" s="4">
        <f>F4*F4*D4*G4/(L4*M4)</f>
        <v>144</v>
      </c>
      <c r="Q4" s="4">
        <f>2*L4*M4*N4</f>
        <v>5184</v>
      </c>
      <c r="R4" s="4">
        <f>J4/(Q4*I4)</f>
        <v>46656</v>
      </c>
      <c r="S4" s="4">
        <f>F4*F4*D4</f>
        <v>432</v>
      </c>
      <c r="T4" s="4">
        <f>G4</f>
        <v>96</v>
      </c>
      <c r="U4" s="4">
        <f>S4/L4</f>
        <v>144</v>
      </c>
      <c r="V4" s="4">
        <f>T4/M4</f>
        <v>1</v>
      </c>
      <c r="W4" s="4">
        <f>C4*C4+(F4*F4*H4*H4)/N4</f>
        <v>98185</v>
      </c>
      <c r="X4" s="4">
        <f>F4*F4*H4*H4/N4</f>
        <v>46656</v>
      </c>
      <c r="Y4" s="4">
        <f>D4*F4*F4*G4</f>
        <v>41472</v>
      </c>
      <c r="Z4" s="4">
        <f>S4*T4</f>
        <v>41472</v>
      </c>
      <c r="AA4" s="4">
        <v>8</v>
      </c>
      <c r="AB4" s="4">
        <v>4</v>
      </c>
      <c r="AC4" s="20">
        <f>1000000*$H$1/R4</f>
        <v>2850.6515775034295</v>
      </c>
      <c r="AD4" s="20">
        <f>CEILING(Z4*AB4/18000,1) *M4</f>
        <v>960</v>
      </c>
    </row>
    <row r="5" spans="1:31" ht="15.75" customHeight="1">
      <c r="A5" s="4">
        <v>2</v>
      </c>
      <c r="B5" s="11" t="s">
        <v>38</v>
      </c>
      <c r="C5" s="4">
        <f t="shared" si="1"/>
        <v>54</v>
      </c>
      <c r="D5" s="4">
        <f>G4</f>
        <v>96</v>
      </c>
      <c r="E5" s="4">
        <v>1</v>
      </c>
      <c r="F5" s="4">
        <v>1</v>
      </c>
      <c r="G5" s="4">
        <v>48</v>
      </c>
      <c r="H5" s="4">
        <f>IF(B5="pad", C5+2*F5, IF(B5="pool", C5/F5, IF(OR(B5="conv",B5="fc"), (C5-F5+1)/E5,C5)))</f>
        <v>54</v>
      </c>
      <c r="I5" s="4">
        <f t="shared" si="2"/>
        <v>1</v>
      </c>
      <c r="J5" s="4">
        <f t="shared" si="0"/>
        <v>0</v>
      </c>
      <c r="K5" s="10"/>
      <c r="L5" s="11"/>
      <c r="M5" s="11"/>
      <c r="N5" s="11"/>
      <c r="O5" s="4"/>
      <c r="P5" s="4"/>
      <c r="Q5" s="4"/>
      <c r="R5" s="4"/>
      <c r="S5" s="11"/>
      <c r="T5" s="11"/>
      <c r="U5" s="4"/>
      <c r="V5" s="11"/>
      <c r="W5" s="4"/>
      <c r="X5" s="11"/>
      <c r="Y5" s="11"/>
      <c r="Z5" s="11"/>
      <c r="AA5" s="11"/>
      <c r="AB5" s="11"/>
    </row>
    <row r="6" spans="1:31" ht="15.75" customHeight="1">
      <c r="A6" s="4">
        <v>3</v>
      </c>
      <c r="B6" s="11" t="s">
        <v>36</v>
      </c>
      <c r="C6" s="4">
        <f t="shared" si="1"/>
        <v>54</v>
      </c>
      <c r="D6" s="4">
        <f>G5</f>
        <v>48</v>
      </c>
      <c r="E6" s="4">
        <v>1</v>
      </c>
      <c r="F6" s="4">
        <v>2</v>
      </c>
      <c r="G6" s="4">
        <v>48</v>
      </c>
      <c r="H6" s="4">
        <f>IF(B6="pad", C6+2*F6, IF(B6="pool", C6/F6, IF(OR(B6="conv",B6="fc"), (C6-F6+1)/E6,C6)))</f>
        <v>58</v>
      </c>
      <c r="I6" s="4">
        <f t="shared" si="2"/>
        <v>2</v>
      </c>
      <c r="J6" s="4">
        <f t="shared" si="0"/>
        <v>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1" ht="15.75" customHeight="1">
      <c r="A7" s="4">
        <v>4</v>
      </c>
      <c r="B7" s="11" t="s">
        <v>37</v>
      </c>
      <c r="C7" s="4">
        <f t="shared" si="1"/>
        <v>58</v>
      </c>
      <c r="D7" s="4">
        <f>G5</f>
        <v>48</v>
      </c>
      <c r="E7" s="4">
        <v>1</v>
      </c>
      <c r="F7" s="4">
        <v>5</v>
      </c>
      <c r="G7" s="4">
        <v>128</v>
      </c>
      <c r="H7" s="4">
        <f>IF(B7="pad", C7+2*F7, IF(B7="pool", C7/F7, IF(OR(B7="conv",B7="fc"), (C7-F7+1)/E7,C7)))</f>
        <v>54</v>
      </c>
      <c r="I7" s="4">
        <f t="shared" si="2"/>
        <v>2</v>
      </c>
      <c r="J7" s="4">
        <f t="shared" si="0"/>
        <v>1791590400</v>
      </c>
      <c r="K7" s="10">
        <f>J7/SUM(J$4:J$23)*100</f>
        <v>34.693053797412368</v>
      </c>
      <c r="L7" s="4">
        <v>48</v>
      </c>
      <c r="M7" s="4">
        <v>64</v>
      </c>
      <c r="N7" s="4">
        <v>3</v>
      </c>
      <c r="O7" s="4">
        <f>G7/M7</f>
        <v>2</v>
      </c>
      <c r="P7" s="4">
        <f>F7*F7*D7*G7/(L7*M7)</f>
        <v>50</v>
      </c>
      <c r="Q7" s="4">
        <f>2*L7*M7*N7</f>
        <v>18432</v>
      </c>
      <c r="R7" s="4">
        <f>J7/(Q7*I7)</f>
        <v>48600</v>
      </c>
      <c r="S7" s="4">
        <f>F7*F7*D7</f>
        <v>1200</v>
      </c>
      <c r="T7" s="4">
        <f>G7</f>
        <v>128</v>
      </c>
      <c r="U7" s="4">
        <f>S7/L7</f>
        <v>25</v>
      </c>
      <c r="V7" s="4">
        <f>T7/M7</f>
        <v>2</v>
      </c>
      <c r="W7" s="4">
        <f>C7*C7+(F7*F7*H7*H7)/N7</f>
        <v>27664</v>
      </c>
      <c r="X7" s="4">
        <f>F7*F7*H7*H7</f>
        <v>72900</v>
      </c>
      <c r="Y7" s="4">
        <f>D7*F7*F7*G7</f>
        <v>153600</v>
      </c>
      <c r="Z7" s="4">
        <f>S7*T7*I7</f>
        <v>307200</v>
      </c>
      <c r="AA7" s="4">
        <v>2</v>
      </c>
      <c r="AB7" s="4">
        <v>1</v>
      </c>
      <c r="AC7" s="20">
        <f>1000000*$H$1/MAX(R7,W7)</f>
        <v>2736.6255144032921</v>
      </c>
      <c r="AD7" s="20">
        <f>CEILING(Z7*AB7/18000,1) *M7</f>
        <v>1152</v>
      </c>
    </row>
    <row r="8" spans="1:31" ht="15.75" customHeight="1">
      <c r="A8" s="4">
        <v>5</v>
      </c>
      <c r="B8" s="11" t="s">
        <v>39</v>
      </c>
      <c r="C8" s="4">
        <f t="shared" si="1"/>
        <v>54</v>
      </c>
      <c r="D8" s="4">
        <f t="shared" ref="D8:D20" si="3">G7</f>
        <v>128</v>
      </c>
      <c r="E8" s="4">
        <v>2</v>
      </c>
      <c r="F8" s="4">
        <v>3</v>
      </c>
      <c r="G8" s="4">
        <v>128</v>
      </c>
      <c r="H8" s="4">
        <f t="shared" ref="H8:H18" si="4">IF(B8="pad", C8+2*F8, IF(B8="pool", C8/E8, IF(OR(B8="conv",B8="fc"), (C8-F8+1)/E8,C8)))</f>
        <v>27</v>
      </c>
      <c r="I8" s="4">
        <f t="shared" si="2"/>
        <v>2</v>
      </c>
      <c r="J8" s="4">
        <f t="shared" si="0"/>
        <v>6561</v>
      </c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1"/>
      <c r="Y8" s="11"/>
      <c r="Z8" s="4"/>
      <c r="AA8" s="11"/>
      <c r="AB8" s="11"/>
    </row>
    <row r="9" spans="1:31" ht="15.75" customHeight="1">
      <c r="A9" s="4">
        <v>6</v>
      </c>
      <c r="B9" s="11" t="s">
        <v>91</v>
      </c>
      <c r="C9" s="4">
        <f t="shared" si="1"/>
        <v>27</v>
      </c>
      <c r="D9" s="4">
        <f t="shared" si="3"/>
        <v>128</v>
      </c>
      <c r="E9" s="4">
        <v>1</v>
      </c>
      <c r="F9" s="4">
        <v>1</v>
      </c>
      <c r="G9" s="4">
        <v>256</v>
      </c>
      <c r="H9" s="4">
        <f t="shared" si="4"/>
        <v>27</v>
      </c>
      <c r="I9" s="4">
        <f t="shared" si="2"/>
        <v>2</v>
      </c>
      <c r="J9" s="4">
        <f t="shared" si="0"/>
        <v>0</v>
      </c>
      <c r="K9" s="10"/>
      <c r="L9" s="11"/>
      <c r="M9" s="11"/>
      <c r="N9" s="11"/>
      <c r="O9" s="4"/>
      <c r="P9" s="4"/>
      <c r="Q9" s="4"/>
      <c r="R9" s="4"/>
      <c r="S9" s="11"/>
      <c r="T9" s="11"/>
      <c r="U9" s="4"/>
      <c r="V9" s="11"/>
      <c r="W9" s="4"/>
      <c r="X9" s="11"/>
      <c r="Y9" s="11"/>
      <c r="Z9" s="4"/>
      <c r="AA9" s="11"/>
      <c r="AB9" s="11"/>
    </row>
    <row r="10" spans="1:31" ht="15.75" customHeight="1">
      <c r="A10" s="4">
        <v>7</v>
      </c>
      <c r="B10" s="11" t="s">
        <v>36</v>
      </c>
      <c r="C10" s="4">
        <f t="shared" si="1"/>
        <v>27</v>
      </c>
      <c r="D10" s="4">
        <f t="shared" si="3"/>
        <v>256</v>
      </c>
      <c r="E10" s="4">
        <v>1</v>
      </c>
      <c r="F10" s="4">
        <v>1</v>
      </c>
      <c r="G10" s="4">
        <v>256</v>
      </c>
      <c r="H10" s="4">
        <f t="shared" si="4"/>
        <v>29</v>
      </c>
      <c r="I10" s="4">
        <f t="shared" si="2"/>
        <v>2</v>
      </c>
      <c r="J10" s="4"/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31" ht="15.75" customHeight="1">
      <c r="A11" s="4">
        <v>8</v>
      </c>
      <c r="B11" s="11" t="s">
        <v>37</v>
      </c>
      <c r="C11" s="4">
        <f t="shared" si="1"/>
        <v>29</v>
      </c>
      <c r="D11" s="4">
        <f t="shared" si="3"/>
        <v>256</v>
      </c>
      <c r="E11" s="4">
        <v>1</v>
      </c>
      <c r="F11" s="4">
        <v>3</v>
      </c>
      <c r="G11" s="4">
        <v>384</v>
      </c>
      <c r="H11" s="4">
        <f t="shared" si="4"/>
        <v>27</v>
      </c>
      <c r="I11" s="4">
        <f t="shared" si="2"/>
        <v>2</v>
      </c>
      <c r="J11" s="4">
        <f t="shared" ref="J11:J23" si="5">IF(B11="pad", 0, IF(B11="pool", H11*H11*F11*F11, IF(OR(B11="conv",B11="fc"), I11*2*H11*H11*F11*F11*D11*G11,0)))</f>
        <v>2579890176</v>
      </c>
      <c r="K11" s="10">
        <f>J11/SUM(J$4:J$23)*100</f>
        <v>49.95799746827381</v>
      </c>
      <c r="L11" s="4">
        <v>64</v>
      </c>
      <c r="M11" s="4">
        <v>64</v>
      </c>
      <c r="N11" s="4">
        <v>3</v>
      </c>
      <c r="O11" s="4">
        <f>G11/M11</f>
        <v>6</v>
      </c>
      <c r="P11" s="4">
        <f>F11*F11*D11*G11/(L11*M11)</f>
        <v>216</v>
      </c>
      <c r="Q11" s="4">
        <f>2*L11*M11*N11</f>
        <v>24576</v>
      </c>
      <c r="R11" s="4">
        <f>J11/(Q11*I11)</f>
        <v>52488</v>
      </c>
      <c r="S11" s="4">
        <f>F11*F11*D11</f>
        <v>2304</v>
      </c>
      <c r="T11" s="4">
        <f>G11</f>
        <v>384</v>
      </c>
      <c r="U11" s="4">
        <f>S11/L11</f>
        <v>36</v>
      </c>
      <c r="V11" s="4">
        <f>T11/M11</f>
        <v>6</v>
      </c>
      <c r="W11" s="4">
        <f>C11*C11+(F11*F11*H11*H11)/N11</f>
        <v>3028</v>
      </c>
      <c r="X11" s="4">
        <f>F11*F11*H11*H11</f>
        <v>6561</v>
      </c>
      <c r="Y11" s="4">
        <f>D11*F11*F11*G11</f>
        <v>884736</v>
      </c>
      <c r="Z11" s="4">
        <f>S11*T11*I11</f>
        <v>1769472</v>
      </c>
      <c r="AA11" s="4">
        <v>2</v>
      </c>
      <c r="AB11" s="4">
        <v>1</v>
      </c>
      <c r="AC11" s="20">
        <f>1000000*$H$1/MAX(R11,W11)</f>
        <v>2533.9125133363818</v>
      </c>
      <c r="AD11" s="20">
        <f>CEILING(Z11*AB11/18000,1) *M11</f>
        <v>6336</v>
      </c>
    </row>
    <row r="12" spans="1:31" ht="15.75" customHeight="1">
      <c r="A12" s="4">
        <v>9</v>
      </c>
      <c r="B12" s="11" t="s">
        <v>36</v>
      </c>
      <c r="C12" s="4">
        <f t="shared" si="1"/>
        <v>27</v>
      </c>
      <c r="D12" s="4">
        <f t="shared" si="3"/>
        <v>384</v>
      </c>
      <c r="E12" s="4">
        <v>1</v>
      </c>
      <c r="F12" s="4">
        <v>0.5</v>
      </c>
      <c r="G12" s="4">
        <v>384</v>
      </c>
      <c r="H12" s="4">
        <f t="shared" si="4"/>
        <v>28</v>
      </c>
      <c r="I12" s="4">
        <f t="shared" si="2"/>
        <v>2</v>
      </c>
      <c r="J12" s="4">
        <f t="shared" si="5"/>
        <v>0</v>
      </c>
      <c r="K12" s="10"/>
      <c r="L12" s="11"/>
      <c r="M12" s="11"/>
      <c r="N12" s="11"/>
      <c r="O12" s="4"/>
      <c r="P12" s="4"/>
      <c r="Q12" s="4"/>
      <c r="R12" s="4"/>
      <c r="S12" s="11"/>
      <c r="T12" s="11"/>
      <c r="U12" s="4"/>
      <c r="V12" s="11"/>
      <c r="W12" s="4"/>
      <c r="X12" s="11"/>
      <c r="Y12" s="11"/>
      <c r="Z12" s="4"/>
      <c r="AA12" s="11"/>
      <c r="AB12" s="11"/>
    </row>
    <row r="13" spans="1:31" ht="15.75" customHeight="1">
      <c r="A13" s="4">
        <v>10</v>
      </c>
      <c r="B13" s="11" t="s">
        <v>39</v>
      </c>
      <c r="C13" s="4">
        <f t="shared" si="1"/>
        <v>28</v>
      </c>
      <c r="D13" s="4">
        <f t="shared" si="3"/>
        <v>384</v>
      </c>
      <c r="E13" s="4">
        <v>2</v>
      </c>
      <c r="F13" s="4">
        <v>3</v>
      </c>
      <c r="G13" s="4">
        <v>384</v>
      </c>
      <c r="H13" s="4">
        <f t="shared" si="4"/>
        <v>14</v>
      </c>
      <c r="I13" s="4">
        <f t="shared" si="2"/>
        <v>2</v>
      </c>
      <c r="J13" s="4">
        <f t="shared" si="5"/>
        <v>1764</v>
      </c>
      <c r="K13" s="10"/>
      <c r="L13" s="11"/>
      <c r="M13" s="11"/>
      <c r="N13" s="11"/>
      <c r="O13" s="4"/>
      <c r="P13" s="4"/>
      <c r="Q13" s="4"/>
      <c r="R13" s="4"/>
      <c r="S13" s="11"/>
      <c r="T13" s="11"/>
      <c r="U13" s="4"/>
      <c r="V13" s="11"/>
      <c r="W13" s="4"/>
      <c r="X13" s="11"/>
      <c r="Y13" s="11"/>
      <c r="Z13" s="4"/>
      <c r="AA13" s="11"/>
      <c r="AB13" s="11"/>
    </row>
    <row r="14" spans="1:31" ht="15.75" customHeight="1">
      <c r="A14" s="4">
        <v>11</v>
      </c>
      <c r="B14" s="11" t="s">
        <v>38</v>
      </c>
      <c r="C14" s="4">
        <f t="shared" si="1"/>
        <v>14</v>
      </c>
      <c r="D14" s="4">
        <f t="shared" si="3"/>
        <v>384</v>
      </c>
      <c r="E14" s="4">
        <v>1</v>
      </c>
      <c r="F14" s="4">
        <v>1</v>
      </c>
      <c r="G14" s="4">
        <v>192</v>
      </c>
      <c r="H14" s="4">
        <f t="shared" si="4"/>
        <v>14</v>
      </c>
      <c r="I14" s="4">
        <f t="shared" si="2"/>
        <v>2</v>
      </c>
      <c r="J14" s="4">
        <f t="shared" si="5"/>
        <v>0</v>
      </c>
      <c r="K14" s="10"/>
      <c r="L14" s="11"/>
      <c r="M14" s="11"/>
      <c r="N14" s="11"/>
      <c r="O14" s="4"/>
      <c r="P14" s="4"/>
      <c r="Q14" s="4"/>
      <c r="R14" s="4"/>
      <c r="S14" s="11"/>
      <c r="T14" s="11"/>
      <c r="U14" s="4"/>
      <c r="V14" s="11"/>
      <c r="W14" s="4"/>
      <c r="X14" s="11"/>
      <c r="Y14" s="11"/>
      <c r="Z14" s="4"/>
      <c r="AA14" s="11"/>
      <c r="AB14" s="11"/>
    </row>
    <row r="15" spans="1:31" ht="15.75" customHeight="1">
      <c r="A15" s="4">
        <v>12</v>
      </c>
      <c r="B15" s="11" t="s">
        <v>36</v>
      </c>
      <c r="C15" s="4">
        <f t="shared" si="1"/>
        <v>14</v>
      </c>
      <c r="D15" s="4">
        <f t="shared" si="3"/>
        <v>192</v>
      </c>
      <c r="E15" s="4">
        <v>1</v>
      </c>
      <c r="F15" s="4">
        <v>1</v>
      </c>
      <c r="G15" s="4">
        <v>192</v>
      </c>
      <c r="H15" s="4">
        <f t="shared" si="4"/>
        <v>16</v>
      </c>
      <c r="I15" s="4">
        <f t="shared" si="2"/>
        <v>2</v>
      </c>
      <c r="J15" s="4">
        <f t="shared" si="5"/>
        <v>0</v>
      </c>
      <c r="K15" s="10"/>
      <c r="L15" s="11"/>
      <c r="M15" s="11"/>
      <c r="N15" s="11"/>
      <c r="O15" s="4"/>
      <c r="P15" s="4"/>
      <c r="Q15" s="4"/>
      <c r="R15" s="4"/>
      <c r="S15" s="11"/>
      <c r="T15" s="11"/>
      <c r="U15" s="4"/>
      <c r="V15" s="11"/>
      <c r="W15" s="4"/>
      <c r="X15" s="11"/>
      <c r="Y15" s="11"/>
      <c r="Z15" s="4"/>
      <c r="AA15" s="11"/>
      <c r="AB15" s="11"/>
    </row>
    <row r="16" spans="1:31" ht="15.75" customHeight="1">
      <c r="A16" s="4">
        <v>13</v>
      </c>
      <c r="B16" s="11" t="s">
        <v>37</v>
      </c>
      <c r="C16" s="4">
        <f t="shared" si="1"/>
        <v>16</v>
      </c>
      <c r="D16" s="4">
        <f t="shared" si="3"/>
        <v>192</v>
      </c>
      <c r="E16" s="4">
        <v>1</v>
      </c>
      <c r="F16" s="4">
        <v>3</v>
      </c>
      <c r="G16" s="4">
        <v>192</v>
      </c>
      <c r="H16" s="4">
        <f t="shared" si="4"/>
        <v>14</v>
      </c>
      <c r="I16" s="4">
        <f t="shared" si="2"/>
        <v>2</v>
      </c>
      <c r="J16" s="4">
        <f t="shared" si="5"/>
        <v>260112384</v>
      </c>
      <c r="K16" s="10">
        <f>J16/SUM(J$4:J$23)*100</f>
        <v>5.0369174402169063</v>
      </c>
      <c r="L16" s="4">
        <v>32</v>
      </c>
      <c r="M16" s="4">
        <v>32</v>
      </c>
      <c r="N16" s="4">
        <v>2</v>
      </c>
      <c r="O16" s="4">
        <f>G16/M16</f>
        <v>6</v>
      </c>
      <c r="P16" s="4">
        <f>F16*F16*D16*G16/(L16*M16)</f>
        <v>324</v>
      </c>
      <c r="Q16" s="4">
        <f>2*L16*M16*N16</f>
        <v>4096</v>
      </c>
      <c r="R16" s="4">
        <f>J16/(Q16*I16)</f>
        <v>31752</v>
      </c>
      <c r="S16" s="4">
        <f>F16*F16*D16</f>
        <v>1728</v>
      </c>
      <c r="T16" s="4">
        <f>G16</f>
        <v>192</v>
      </c>
      <c r="U16" s="4">
        <f>S16/L16</f>
        <v>54</v>
      </c>
      <c r="V16" s="4">
        <f>T16/M16</f>
        <v>6</v>
      </c>
      <c r="W16" s="4">
        <f>C16*C16+(F16*F16*H16*H16)/N16</f>
        <v>1138</v>
      </c>
      <c r="X16" s="4">
        <f>F16*F16*H16*H16</f>
        <v>1764</v>
      </c>
      <c r="Y16" s="4">
        <f>D16*F16*F16*G16</f>
        <v>331776</v>
      </c>
      <c r="Z16" s="4">
        <f>S16*T16*I16</f>
        <v>663552</v>
      </c>
      <c r="AA16" s="4">
        <v>2</v>
      </c>
      <c r="AB16" s="4">
        <v>1</v>
      </c>
      <c r="AC16" s="20">
        <f>1000000*$H$1/MAX(R16,W16)</f>
        <v>4188.7125220458556</v>
      </c>
      <c r="AD16" s="20">
        <f>CEILING(Z16*AB16/18000,1) *M16</f>
        <v>1184</v>
      </c>
    </row>
    <row r="17" spans="1:31" ht="15.75" customHeight="1">
      <c r="A17" s="4">
        <v>14</v>
      </c>
      <c r="B17" s="11" t="s">
        <v>36</v>
      </c>
      <c r="C17" s="4">
        <f t="shared" si="1"/>
        <v>14</v>
      </c>
      <c r="D17" s="4">
        <f t="shared" si="3"/>
        <v>192</v>
      </c>
      <c r="E17" s="4">
        <v>1</v>
      </c>
      <c r="F17" s="4">
        <v>1</v>
      </c>
      <c r="G17" s="4">
        <v>192</v>
      </c>
      <c r="H17" s="4">
        <f t="shared" si="4"/>
        <v>16</v>
      </c>
      <c r="I17" s="4">
        <f t="shared" si="2"/>
        <v>2</v>
      </c>
      <c r="J17" s="4">
        <f t="shared" si="5"/>
        <v>0</v>
      </c>
      <c r="K17" s="10"/>
      <c r="L17" s="11"/>
      <c r="M17" s="11"/>
      <c r="N17" s="11"/>
      <c r="O17" s="4"/>
      <c r="P17" s="4"/>
      <c r="Q17" s="4"/>
      <c r="R17" s="4"/>
      <c r="S17" s="11"/>
      <c r="T17" s="11"/>
      <c r="U17" s="4"/>
      <c r="V17" s="11"/>
      <c r="W17" s="4"/>
      <c r="X17" s="11"/>
      <c r="Y17" s="11"/>
      <c r="Z17" s="4"/>
      <c r="AA17" s="11"/>
      <c r="AB17" s="11"/>
    </row>
    <row r="18" spans="1:31" ht="15.75" customHeight="1">
      <c r="A18" s="4">
        <v>15</v>
      </c>
      <c r="B18" s="11" t="s">
        <v>37</v>
      </c>
      <c r="C18" s="4">
        <f t="shared" si="1"/>
        <v>16</v>
      </c>
      <c r="D18" s="4">
        <f t="shared" si="3"/>
        <v>192</v>
      </c>
      <c r="E18" s="4">
        <v>1</v>
      </c>
      <c r="F18" s="4">
        <v>3</v>
      </c>
      <c r="G18" s="4">
        <v>128</v>
      </c>
      <c r="H18" s="4">
        <f t="shared" si="4"/>
        <v>14</v>
      </c>
      <c r="I18" s="4">
        <f t="shared" si="2"/>
        <v>2</v>
      </c>
      <c r="J18" s="4">
        <f t="shared" si="5"/>
        <v>173408256</v>
      </c>
      <c r="K18" s="10">
        <f>J18/SUM(J$4:J$23)*100</f>
        <v>3.3579449601446045</v>
      </c>
      <c r="L18" s="4">
        <v>32</v>
      </c>
      <c r="M18" s="4">
        <v>16</v>
      </c>
      <c r="N18" s="4">
        <v>2</v>
      </c>
      <c r="O18" s="4">
        <f>G18/M18</f>
        <v>8</v>
      </c>
      <c r="P18" s="4">
        <f>F18*F18*D18*G18/(L18*M18)</f>
        <v>432</v>
      </c>
      <c r="Q18" s="4">
        <f>2*L18*M18*N18</f>
        <v>2048</v>
      </c>
      <c r="R18" s="4">
        <f>J18/(Q18*I18)</f>
        <v>42336</v>
      </c>
      <c r="S18" s="4">
        <f>F18*F18*D18</f>
        <v>1728</v>
      </c>
      <c r="T18" s="4">
        <f>G18</f>
        <v>128</v>
      </c>
      <c r="U18" s="4">
        <f>S18/L18</f>
        <v>54</v>
      </c>
      <c r="V18" s="4">
        <f>T18/M18</f>
        <v>8</v>
      </c>
      <c r="W18" s="4">
        <f>C18*C18+(F18*F18*H18*H18)/N18</f>
        <v>1138</v>
      </c>
      <c r="X18" s="4">
        <f>F18*F18*H18*H18</f>
        <v>1764</v>
      </c>
      <c r="Y18" s="4">
        <f>D18*F18*F18*G18</f>
        <v>221184</v>
      </c>
      <c r="Z18" s="4">
        <f>S18*T18*I18</f>
        <v>442368</v>
      </c>
      <c r="AA18" s="4">
        <v>2</v>
      </c>
      <c r="AB18" s="4">
        <v>1</v>
      </c>
      <c r="AC18" s="20">
        <f>1000000*$H$1/MAX(R18,W18)</f>
        <v>3141.5343915343915</v>
      </c>
      <c r="AD18" s="20">
        <f>CEILING(Z18*AB18/18000,1) *M18</f>
        <v>400</v>
      </c>
    </row>
    <row r="19" spans="1:31" ht="15.75" customHeight="1">
      <c r="A19" s="4">
        <v>16</v>
      </c>
      <c r="B19" s="11" t="s">
        <v>39</v>
      </c>
      <c r="C19" s="4">
        <f t="shared" si="1"/>
        <v>14</v>
      </c>
      <c r="D19" s="4">
        <f t="shared" si="3"/>
        <v>128</v>
      </c>
      <c r="E19" s="4">
        <v>2</v>
      </c>
      <c r="F19" s="4">
        <v>3</v>
      </c>
      <c r="G19" s="4">
        <v>128</v>
      </c>
      <c r="H19" s="4">
        <v>6</v>
      </c>
      <c r="I19" s="4">
        <f t="shared" si="2"/>
        <v>2</v>
      </c>
      <c r="J19" s="4">
        <f t="shared" si="5"/>
        <v>324</v>
      </c>
      <c r="K19" s="10"/>
      <c r="L19" s="11"/>
      <c r="M19" s="11"/>
      <c r="N19" s="11"/>
      <c r="O19" s="4"/>
      <c r="P19" s="4"/>
      <c r="Q19" s="4"/>
      <c r="R19" s="4"/>
      <c r="S19" s="11"/>
      <c r="T19" s="11"/>
      <c r="U19" s="4"/>
      <c r="V19" s="11"/>
      <c r="W19" s="11"/>
      <c r="X19" s="11"/>
      <c r="Y19" s="11"/>
      <c r="Z19" s="11"/>
      <c r="AA19" s="11"/>
      <c r="AB19" s="11"/>
    </row>
    <row r="20" spans="1:31" ht="15.75" customHeight="1">
      <c r="A20" s="4">
        <v>17</v>
      </c>
      <c r="B20" s="11" t="s">
        <v>40</v>
      </c>
      <c r="C20" s="4">
        <f t="shared" si="1"/>
        <v>6</v>
      </c>
      <c r="D20" s="4">
        <f t="shared" si="3"/>
        <v>128</v>
      </c>
      <c r="E20" s="4">
        <v>1</v>
      </c>
      <c r="F20" s="4">
        <v>1</v>
      </c>
      <c r="G20" s="4">
        <v>256</v>
      </c>
      <c r="H20" s="4">
        <f>IF(B20="pad", C20+2*F20, IF(B20="pool", C20/E20, IF(OR(B20="conv",B20="fc"), (C20-F20+1)/E20,C20)))</f>
        <v>6</v>
      </c>
      <c r="I20" s="4">
        <f t="shared" si="2"/>
        <v>2</v>
      </c>
      <c r="J20" s="4">
        <f t="shared" si="5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1"/>
      <c r="X20" s="11"/>
      <c r="Y20" s="4"/>
      <c r="Z20" s="4"/>
      <c r="AA20" s="4"/>
      <c r="AB20" s="4"/>
    </row>
    <row r="21" spans="1:31" ht="15.75" customHeight="1">
      <c r="A21" s="4">
        <v>18</v>
      </c>
      <c r="B21" s="11" t="s">
        <v>41</v>
      </c>
      <c r="C21" s="4">
        <v>1</v>
      </c>
      <c r="D21" s="4">
        <f>G20*H20*H20</f>
        <v>9216</v>
      </c>
      <c r="E21" s="4">
        <v>1</v>
      </c>
      <c r="F21" s="4">
        <v>1</v>
      </c>
      <c r="G21" s="4">
        <v>4096</v>
      </c>
      <c r="H21" s="4">
        <v>1</v>
      </c>
      <c r="I21" s="4">
        <f t="shared" si="2"/>
        <v>1</v>
      </c>
      <c r="J21" s="4">
        <f t="shared" si="5"/>
        <v>75497472</v>
      </c>
      <c r="K21" s="10">
        <f>J21/SUM(J$4:J$23)*100</f>
        <v>1.4619624316275828</v>
      </c>
      <c r="L21" s="4">
        <v>64</v>
      </c>
      <c r="M21" s="4">
        <v>32</v>
      </c>
      <c r="N21" s="4">
        <v>1</v>
      </c>
      <c r="O21" s="4">
        <f>G21/M21</f>
        <v>128</v>
      </c>
      <c r="P21" s="4">
        <f>F21*F21*D21*G21/(L21*M21)</f>
        <v>18432</v>
      </c>
      <c r="Q21" s="4">
        <f>2*L21*M21*N21</f>
        <v>4096</v>
      </c>
      <c r="R21" s="4">
        <f>J21/(Q21*I21)</f>
        <v>18432</v>
      </c>
      <c r="S21" s="4">
        <f>F21*F21*D21</f>
        <v>9216</v>
      </c>
      <c r="T21" s="4">
        <f>G21</f>
        <v>4096</v>
      </c>
      <c r="U21" s="4">
        <f t="shared" ref="U21:V23" si="6">S21/L21</f>
        <v>144</v>
      </c>
      <c r="V21" s="4">
        <f t="shared" si="6"/>
        <v>128</v>
      </c>
      <c r="W21" s="11"/>
      <c r="X21" s="11"/>
      <c r="Y21" s="4">
        <f>D21*F21*F21*G21</f>
        <v>37748736</v>
      </c>
      <c r="Z21" s="4">
        <f>S21*T21</f>
        <v>37748736</v>
      </c>
      <c r="AA21" s="4">
        <v>2</v>
      </c>
      <c r="AB21" s="4">
        <v>1</v>
      </c>
      <c r="AC21" s="20">
        <f>1000000*$H$1/MAX(R21,W21)</f>
        <v>7215.7118055555557</v>
      </c>
      <c r="AD21" s="20">
        <f>CEILING(Z21*AB21/18000,1) *M21</f>
        <v>67136</v>
      </c>
      <c r="AE21" s="20">
        <f>Z21*M$1*AB21*H21*H21/(1024*1024*1024)</f>
        <v>89.082861796982172</v>
      </c>
    </row>
    <row r="22" spans="1:31" ht="15.75" customHeight="1">
      <c r="A22" s="4">
        <v>19</v>
      </c>
      <c r="B22" s="11" t="s">
        <v>41</v>
      </c>
      <c r="C22" s="4">
        <f>H21</f>
        <v>1</v>
      </c>
      <c r="D22" s="4">
        <f>G21</f>
        <v>4096</v>
      </c>
      <c r="E22" s="4">
        <v>1</v>
      </c>
      <c r="F22" s="4">
        <v>1</v>
      </c>
      <c r="G22" s="4">
        <v>4096</v>
      </c>
      <c r="H22" s="4">
        <f>IF(B22="pad", C22+2*F22, IF(B22="pool", C22/E22, IF(OR(B22="conv",B22="fc"), (C22-F22+1)/E22,C22)))</f>
        <v>1</v>
      </c>
      <c r="I22" s="4">
        <f t="shared" si="2"/>
        <v>1</v>
      </c>
      <c r="J22" s="4">
        <f t="shared" si="5"/>
        <v>33554432</v>
      </c>
      <c r="K22" s="10">
        <f>J22/SUM(J$4:J$23)*100</f>
        <v>0.64976108072337013</v>
      </c>
      <c r="L22" s="4">
        <v>64</v>
      </c>
      <c r="M22" s="4">
        <v>16</v>
      </c>
      <c r="N22" s="4">
        <v>1</v>
      </c>
      <c r="O22" s="4">
        <f>G22/M22</f>
        <v>256</v>
      </c>
      <c r="P22" s="4">
        <f>F22*F22*D22*G22/(L22*M22)</f>
        <v>16384</v>
      </c>
      <c r="Q22" s="4">
        <f>2*L22*M22*N22</f>
        <v>2048</v>
      </c>
      <c r="R22" s="4">
        <f>J22/(Q22*I22)</f>
        <v>16384</v>
      </c>
      <c r="S22" s="4">
        <f>F22*F22*D22</f>
        <v>4096</v>
      </c>
      <c r="T22" s="4">
        <f>G22</f>
        <v>4096</v>
      </c>
      <c r="U22" s="4">
        <f t="shared" si="6"/>
        <v>64</v>
      </c>
      <c r="V22" s="4">
        <f t="shared" si="6"/>
        <v>256</v>
      </c>
      <c r="W22" s="11"/>
      <c r="X22" s="11"/>
      <c r="Y22" s="4">
        <f>D22*F22*F22*G22</f>
        <v>16777216</v>
      </c>
      <c r="Z22" s="4">
        <f>S22*T22</f>
        <v>16777216</v>
      </c>
      <c r="AA22" s="4">
        <v>2</v>
      </c>
      <c r="AB22" s="4">
        <v>1</v>
      </c>
      <c r="AC22" s="20">
        <f>1000000*$H$1/MAX(R22,W22)</f>
        <v>8117.67578125</v>
      </c>
      <c r="AD22" s="20">
        <f>CEILING(Z22*AB22/18000,1) *M22</f>
        <v>14928</v>
      </c>
      <c r="AE22" s="20">
        <f>Z22*M$1*AB22*H22*H22/(1024*1024*1024)</f>
        <v>39.592383020880966</v>
      </c>
    </row>
    <row r="23" spans="1:31" ht="15.75" customHeight="1">
      <c r="A23" s="4">
        <v>20</v>
      </c>
      <c r="B23" s="11" t="s">
        <v>41</v>
      </c>
      <c r="C23" s="4">
        <f>H22</f>
        <v>1</v>
      </c>
      <c r="D23" s="4">
        <f>G22</f>
        <v>4096</v>
      </c>
      <c r="E23" s="4">
        <v>1</v>
      </c>
      <c r="F23" s="4">
        <v>1</v>
      </c>
      <c r="G23" s="4">
        <v>1000</v>
      </c>
      <c r="H23" s="4">
        <f>IF(B23="pad", C23+2*F23, IF(B23="pool", C23/E23, IF(OR(B23="conv",B23="fc"), (C23-F23+1)/E23,C23)))</f>
        <v>1</v>
      </c>
      <c r="I23" s="4">
        <f t="shared" si="2"/>
        <v>1</v>
      </c>
      <c r="J23" s="4">
        <f t="shared" si="5"/>
        <v>8192000</v>
      </c>
      <c r="K23" s="10">
        <f>J23/SUM(J$4:J$23)*100</f>
        <v>0.15863307634847904</v>
      </c>
      <c r="L23" s="4">
        <v>8</v>
      </c>
      <c r="M23" s="4">
        <v>32</v>
      </c>
      <c r="N23" s="4">
        <v>1</v>
      </c>
      <c r="O23" s="4">
        <f>G23/M23</f>
        <v>31.25</v>
      </c>
      <c r="P23" s="4">
        <f>F23*F23*D23*G23/(L23*M23)</f>
        <v>16000</v>
      </c>
      <c r="Q23" s="4">
        <f>2*L23*M23*N23</f>
        <v>512</v>
      </c>
      <c r="R23" s="4">
        <f>J23/(Q23*I23)</f>
        <v>16000</v>
      </c>
      <c r="S23" s="4">
        <f>F23*F23*D23</f>
        <v>4096</v>
      </c>
      <c r="T23" s="4">
        <f>G23</f>
        <v>1000</v>
      </c>
      <c r="U23" s="4">
        <f t="shared" si="6"/>
        <v>512</v>
      </c>
      <c r="V23" s="4">
        <f t="shared" si="6"/>
        <v>31.25</v>
      </c>
      <c r="W23" s="11"/>
      <c r="X23" s="11"/>
      <c r="Y23" s="4">
        <f>D23*F23*F23*G23</f>
        <v>4096000</v>
      </c>
      <c r="Z23" s="4">
        <f>S23*T23</f>
        <v>4096000</v>
      </c>
      <c r="AA23" s="4">
        <v>2</v>
      </c>
      <c r="AB23" s="4">
        <v>4</v>
      </c>
      <c r="AC23" s="20">
        <f>1000000*$H$1/MAX(R23,W23)</f>
        <v>8312.5</v>
      </c>
      <c r="AD23" s="20">
        <f>CEILING(Z23*AB23/18000,1) *M23</f>
        <v>29152</v>
      </c>
      <c r="AE23" s="20">
        <f>Z23*M$1*AB23*H23*H23/(1024*1024*1024)</f>
        <v>38.664436543829069</v>
      </c>
    </row>
    <row r="28" spans="1:31" ht="15.75" customHeight="1">
      <c r="H28" s="12"/>
    </row>
    <row r="30" spans="1:31" ht="15.75" customHeight="1">
      <c r="E30" s="12"/>
    </row>
    <row r="31" spans="1:31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opLeftCell="S1" workbookViewId="0">
      <selection activeCell="W1" sqref="W1:AH23"/>
    </sheetView>
  </sheetViews>
  <sheetFormatPr defaultColWidth="14.42578125" defaultRowHeight="15.75" customHeight="1"/>
  <cols>
    <col min="1" max="1" width="8.7109375" style="20" customWidth="1"/>
    <col min="2" max="2" width="14.42578125" style="20"/>
    <col min="3" max="3" width="6.85546875" style="20" customWidth="1"/>
    <col min="4" max="4" width="11.42578125" style="20" customWidth="1"/>
    <col min="5" max="8" width="14.42578125" style="20"/>
    <col min="9" max="9" width="8.140625" style="20" bestFit="1" customWidth="1"/>
    <col min="10" max="10" width="24.42578125" style="20" customWidth="1"/>
    <col min="11" max="22" width="14.42578125" style="20"/>
    <col min="23" max="23" width="15.140625" style="33" bestFit="1" customWidth="1"/>
    <col min="24" max="25" width="15.140625" style="33" customWidth="1"/>
    <col min="26" max="27" width="14.42578125" style="20"/>
    <col min="28" max="28" width="22.140625" style="20" customWidth="1"/>
    <col min="29" max="29" width="16.85546875" style="20" customWidth="1"/>
    <col min="30" max="30" width="16.28515625" style="20" customWidth="1"/>
    <col min="31" max="31" width="14.42578125" style="20" customWidth="1"/>
    <col min="32" max="34" width="16.42578125" style="20" customWidth="1"/>
    <col min="35" max="16384" width="14.42578125" style="20"/>
  </cols>
  <sheetData>
    <row r="1" spans="1:34" ht="15.75" customHeight="1">
      <c r="A1" s="19" t="s">
        <v>0</v>
      </c>
      <c r="B1" s="34" t="s">
        <v>1</v>
      </c>
      <c r="C1" s="35"/>
      <c r="D1" s="35"/>
      <c r="E1" s="35"/>
      <c r="F1" s="35"/>
      <c r="G1" s="19" t="s">
        <v>2</v>
      </c>
      <c r="H1" s="4">
        <v>171</v>
      </c>
      <c r="I1" s="19"/>
      <c r="J1" s="19" t="s">
        <v>3</v>
      </c>
      <c r="K1" s="4">
        <f>MAX(MAX(R4:R20),MAX(Z5:Z20))</f>
        <v>48600</v>
      </c>
      <c r="L1" s="19" t="s">
        <v>4</v>
      </c>
      <c r="M1" s="4">
        <f>1000000*H1/K1</f>
        <v>3518.5185185185187</v>
      </c>
      <c r="N1" s="11"/>
      <c r="O1" s="11"/>
      <c r="P1" s="11"/>
      <c r="Q1" s="11"/>
      <c r="R1" s="19" t="s">
        <v>5</v>
      </c>
      <c r="S1" s="4">
        <f>SUM(J3:J23)/(C3*C3*D3+G23*2)</f>
        <v>14298.863375904752</v>
      </c>
      <c r="T1" s="11"/>
      <c r="U1" s="11"/>
      <c r="V1" s="11"/>
      <c r="W1" s="11" t="s">
        <v>93</v>
      </c>
      <c r="X1" s="11"/>
      <c r="Y1" s="11"/>
      <c r="Z1" s="11"/>
      <c r="AA1" s="11"/>
      <c r="AB1" s="6"/>
      <c r="AC1" s="11"/>
      <c r="AD1" s="11"/>
      <c r="AE1" s="11"/>
    </row>
    <row r="2" spans="1:34" ht="15.75" customHeight="1">
      <c r="A2" s="19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19" t="s">
        <v>11</v>
      </c>
      <c r="G2" s="19" t="s">
        <v>12</v>
      </c>
      <c r="H2" s="19" t="s">
        <v>13</v>
      </c>
      <c r="I2" s="19" t="s">
        <v>14</v>
      </c>
      <c r="J2" s="19" t="str">
        <f>"ops, total: " &amp; SUM(J3:J113)/1000000 &amp;"M"</f>
        <v>ops, total: 2180.97703355963M</v>
      </c>
      <c r="K2" s="19" t="s">
        <v>15</v>
      </c>
      <c r="L2" s="19" t="s">
        <v>16</v>
      </c>
      <c r="M2" s="19" t="s">
        <v>17</v>
      </c>
      <c r="N2" s="19" t="s">
        <v>18</v>
      </c>
      <c r="O2" s="19" t="s">
        <v>19</v>
      </c>
      <c r="P2" s="19" t="s">
        <v>20</v>
      </c>
      <c r="Q2" s="19" t="s">
        <v>21</v>
      </c>
      <c r="R2" s="19" t="s">
        <v>22</v>
      </c>
      <c r="S2" s="19" t="s">
        <v>23</v>
      </c>
      <c r="T2" s="19" t="s">
        <v>24</v>
      </c>
      <c r="U2" s="19" t="s">
        <v>25</v>
      </c>
      <c r="V2" s="19" t="s">
        <v>26</v>
      </c>
      <c r="W2" s="32" t="s">
        <v>92</v>
      </c>
      <c r="X2" s="32" t="s">
        <v>94</v>
      </c>
      <c r="Y2" s="32" t="s">
        <v>95</v>
      </c>
      <c r="Z2" s="19" t="s">
        <v>27</v>
      </c>
      <c r="AA2" s="19" t="s">
        <v>28</v>
      </c>
      <c r="AB2" s="19" t="s">
        <v>29</v>
      </c>
      <c r="AC2" s="19" t="s">
        <v>30</v>
      </c>
      <c r="AD2" s="19" t="s">
        <v>31</v>
      </c>
      <c r="AE2" s="19" t="s">
        <v>32</v>
      </c>
      <c r="AF2" s="7" t="s">
        <v>33</v>
      </c>
      <c r="AG2" s="7" t="s">
        <v>34</v>
      </c>
      <c r="AH2" s="7" t="s">
        <v>35</v>
      </c>
    </row>
    <row r="3" spans="1:34" s="22" customFormat="1" ht="15.75" customHeight="1">
      <c r="A3" s="22">
        <v>0</v>
      </c>
      <c r="B3" s="22" t="s">
        <v>36</v>
      </c>
      <c r="C3" s="22">
        <v>224</v>
      </c>
      <c r="D3" s="22">
        <v>3</v>
      </c>
      <c r="E3" s="22">
        <v>1</v>
      </c>
      <c r="F3" s="22">
        <v>1.5</v>
      </c>
      <c r="G3" s="22">
        <v>3</v>
      </c>
      <c r="H3" s="22">
        <f>IF(B3="pad", C3+2*F3, IF(B3="pool", C3/F3, IF(OR(B3="conv",B3="fc"), C3-F3+1,C3)))</f>
        <v>227</v>
      </c>
      <c r="I3" s="22">
        <v>1</v>
      </c>
      <c r="J3" s="22">
        <f t="shared" ref="J3:J9" si="0">IF(B3="pad", 0, IF(B3="pool", H3*H3*F3*F3, IF(OR(B3="conv",B3="fc"), I3*2*H3*H3*F3*F3*D3*G3,0)))</f>
        <v>0</v>
      </c>
      <c r="U3" s="22">
        <v>1</v>
      </c>
    </row>
    <row r="4" spans="1:34" s="22" customFormat="1" ht="15.75" customHeight="1">
      <c r="A4" s="22">
        <v>1</v>
      </c>
      <c r="B4" s="22" t="s">
        <v>37</v>
      </c>
      <c r="C4" s="22">
        <f t="shared" ref="C4:C20" si="1">H3</f>
        <v>227</v>
      </c>
      <c r="D4" s="22">
        <f t="shared" ref="D4:D20" si="2">G3</f>
        <v>3</v>
      </c>
      <c r="E4" s="22">
        <v>4</v>
      </c>
      <c r="F4" s="22">
        <v>12</v>
      </c>
      <c r="G4" s="22">
        <v>68</v>
      </c>
      <c r="H4" s="22">
        <f>IF(B4="pad", C4+2*F4, IF(B4="pool", C4/F4, IF(OR(B4="conv",B4="fc"), (C4-F4+1)/E4,C4)))</f>
        <v>54</v>
      </c>
      <c r="I4" s="22">
        <f t="shared" ref="I4:I23" si="3">IF(B3="merge", 1, IF(B3="split", 2, I3))</f>
        <v>1</v>
      </c>
      <c r="J4" s="22">
        <f t="shared" si="0"/>
        <v>171320832</v>
      </c>
      <c r="K4" s="22">
        <f>J4/SUM(J$4:J$23)*100</f>
        <v>7.8552332008899244</v>
      </c>
      <c r="L4" s="22">
        <v>3</v>
      </c>
      <c r="M4" s="22">
        <v>68</v>
      </c>
      <c r="N4" s="22">
        <v>9</v>
      </c>
      <c r="O4" s="22">
        <f>G4/M4</f>
        <v>1</v>
      </c>
      <c r="P4" s="22">
        <f>F4*F4*D4*G4/(L4*M4)</f>
        <v>144</v>
      </c>
      <c r="Q4" s="22">
        <f>2*L4*M4*N4</f>
        <v>3672</v>
      </c>
      <c r="R4" s="22">
        <f>J4/(Q4*I4)</f>
        <v>46656</v>
      </c>
      <c r="S4" s="22">
        <f>F4*F4*D4</f>
        <v>432</v>
      </c>
      <c r="T4" s="22">
        <f>G4</f>
        <v>68</v>
      </c>
      <c r="U4" s="22">
        <f>S4/L4</f>
        <v>144</v>
      </c>
      <c r="V4" s="22">
        <f>T4/M4</f>
        <v>1</v>
      </c>
      <c r="W4" s="22">
        <f>_xlfn.CEILING.MATH((C4*C4*E4*N4)/(H4*F4*F4))</f>
        <v>239</v>
      </c>
      <c r="X4" s="22">
        <f>IF(C4*E4&lt;(H4*F4*F4/N4),E4+F4,F4+E4+W4-C4)</f>
        <v>28</v>
      </c>
      <c r="Y4" s="22">
        <f>MIN(X4*C4,C4*C4-1)</f>
        <v>6356</v>
      </c>
      <c r="Z4" s="22">
        <f>Y4+(F4*F4*H4*H4)/N4</f>
        <v>53012</v>
      </c>
      <c r="AA4" s="22">
        <f>F4*F4*H4*H4/N4</f>
        <v>46656</v>
      </c>
      <c r="AB4" s="22">
        <f>D4*F4*F4*G4</f>
        <v>29376</v>
      </c>
      <c r="AC4" s="22">
        <f>S4*T4</f>
        <v>29376</v>
      </c>
      <c r="AD4" s="22">
        <v>8</v>
      </c>
      <c r="AE4" s="22">
        <v>4</v>
      </c>
      <c r="AF4" s="22">
        <f>1000000*$H$1/R4</f>
        <v>3665.1234567901233</v>
      </c>
      <c r="AG4" s="22">
        <f>CEILING(AC4*AE4/18000,1) *M4</f>
        <v>476</v>
      </c>
    </row>
    <row r="5" spans="1:34" s="22" customFormat="1" ht="15.75" customHeight="1">
      <c r="A5" s="22">
        <v>2</v>
      </c>
      <c r="B5" s="22" t="s">
        <v>38</v>
      </c>
      <c r="C5" s="22">
        <f t="shared" si="1"/>
        <v>54</v>
      </c>
      <c r="D5" s="22">
        <f t="shared" si="2"/>
        <v>68</v>
      </c>
      <c r="E5" s="22">
        <v>1</v>
      </c>
      <c r="F5" s="22">
        <v>1</v>
      </c>
      <c r="G5" s="22">
        <f>IF(B5="split", D5/2,IF(B5="merge",D5*2,D5))</f>
        <v>34</v>
      </c>
      <c r="H5" s="22">
        <f>IF(B5="pad", C5+2*F5, IF(B5="pool", C5/F5, IF(OR(B5="conv",B5="fc"), (C5-F5+1)/E5,C5)))</f>
        <v>54</v>
      </c>
      <c r="I5" s="22">
        <f t="shared" si="3"/>
        <v>1</v>
      </c>
      <c r="J5" s="22">
        <f t="shared" si="0"/>
        <v>0</v>
      </c>
    </row>
    <row r="6" spans="1:34" s="22" customFormat="1" ht="15.75" customHeight="1">
      <c r="A6" s="22">
        <v>3</v>
      </c>
      <c r="B6" s="22" t="s">
        <v>36</v>
      </c>
      <c r="C6" s="22">
        <f t="shared" si="1"/>
        <v>54</v>
      </c>
      <c r="D6" s="22">
        <f t="shared" si="2"/>
        <v>34</v>
      </c>
      <c r="E6" s="22">
        <v>1</v>
      </c>
      <c r="F6" s="22">
        <v>2</v>
      </c>
      <c r="G6" s="22">
        <f t="shared" ref="G6:G20" si="4">IF(B6="split", D6/2,IF(B6="merge",D6*2,D6))</f>
        <v>34</v>
      </c>
      <c r="H6" s="22">
        <f>IF(B6="pad", C6+2*F6, IF(B6="pool", C6/F6, IF(OR(B6="conv",B6="fc"), (C6-F6+1)/E6,C6)))</f>
        <v>58</v>
      </c>
      <c r="I6" s="22">
        <f t="shared" si="3"/>
        <v>2</v>
      </c>
      <c r="J6" s="22">
        <f t="shared" si="0"/>
        <v>0</v>
      </c>
    </row>
    <row r="7" spans="1:34" s="22" customFormat="1" ht="15.75" customHeight="1">
      <c r="A7" s="22">
        <v>4</v>
      </c>
      <c r="B7" s="22" t="s">
        <v>37</v>
      </c>
      <c r="C7" s="22">
        <f t="shared" si="1"/>
        <v>58</v>
      </c>
      <c r="D7" s="22">
        <f t="shared" si="2"/>
        <v>34</v>
      </c>
      <c r="E7" s="22">
        <v>1</v>
      </c>
      <c r="F7" s="22">
        <v>5</v>
      </c>
      <c r="G7" s="22">
        <v>90</v>
      </c>
      <c r="H7" s="22">
        <f>IF(B7="pad", C7+2*F7, IF(B7="pool", C7/F7, IF(OR(B7="conv",B7="fc"), (C7-F7+1)/E7,C7)))</f>
        <v>54</v>
      </c>
      <c r="I7" s="22">
        <f t="shared" si="3"/>
        <v>2</v>
      </c>
      <c r="J7" s="22">
        <f t="shared" si="0"/>
        <v>892296000</v>
      </c>
      <c r="K7" s="22">
        <f>J7/SUM(J$4:J$23)*100</f>
        <v>40.912672921301692</v>
      </c>
      <c r="L7" s="22">
        <v>34</v>
      </c>
      <c r="M7" s="22">
        <v>45</v>
      </c>
      <c r="N7" s="22">
        <v>3</v>
      </c>
      <c r="O7" s="22">
        <f>G7/M7</f>
        <v>2</v>
      </c>
      <c r="P7" s="22">
        <f>F7*F7*D7*G7/(L7*M7)</f>
        <v>50</v>
      </c>
      <c r="Q7" s="22">
        <f>2*L7*M7*N7</f>
        <v>9180</v>
      </c>
      <c r="R7" s="22">
        <f>J7/(Q7*I7)</f>
        <v>48600</v>
      </c>
      <c r="S7" s="22">
        <f>F7*F7*D7</f>
        <v>850</v>
      </c>
      <c r="T7" s="22">
        <f>G7</f>
        <v>90</v>
      </c>
      <c r="U7" s="22">
        <f>S7/L7</f>
        <v>25</v>
      </c>
      <c r="V7" s="22">
        <f>T7/M7</f>
        <v>2</v>
      </c>
      <c r="W7" s="22">
        <f t="shared" ref="W7:W18" si="5">_xlfn.CEILING.MATH((C7*C7*E7*N7)/(H7*F7*F7))</f>
        <v>8</v>
      </c>
      <c r="X7" s="22">
        <f t="shared" ref="X7:X18" si="6">IF(C7*E7&lt;(H7*F7*F7/N7),E7+F7,F7+E7+W7-C7)</f>
        <v>6</v>
      </c>
      <c r="Y7" s="22">
        <f t="shared" ref="Y5:Y18" si="7">MIN(X7*C7,C7*C7-1)</f>
        <v>348</v>
      </c>
      <c r="Z7" s="22">
        <f t="shared" ref="Z5:Z18" si="8">Y7+(F7*F7*H7*H7)/N7</f>
        <v>24648</v>
      </c>
      <c r="AA7" s="22">
        <f>F7*F7*H7*H7</f>
        <v>72900</v>
      </c>
      <c r="AB7" s="22">
        <f>D7*F7*F7*G7</f>
        <v>76500</v>
      </c>
      <c r="AC7" s="22">
        <f>S7*T7*I7</f>
        <v>153000</v>
      </c>
      <c r="AD7" s="22">
        <v>2</v>
      </c>
      <c r="AE7" s="22">
        <v>1</v>
      </c>
      <c r="AF7" s="22">
        <f>1000000*$H$1/MAX(R7,Z7)</f>
        <v>3518.5185185185187</v>
      </c>
      <c r="AG7" s="22">
        <f>CEILING(AC7*AE7/18000,1) *M7</f>
        <v>405</v>
      </c>
    </row>
    <row r="8" spans="1:34" s="22" customFormat="1" ht="15.75" customHeight="1">
      <c r="A8" s="22">
        <v>5</v>
      </c>
      <c r="B8" s="22" t="s">
        <v>39</v>
      </c>
      <c r="C8" s="22">
        <f t="shared" si="1"/>
        <v>54</v>
      </c>
      <c r="D8" s="22">
        <f t="shared" si="2"/>
        <v>90</v>
      </c>
      <c r="E8" s="22">
        <v>2</v>
      </c>
      <c r="F8" s="22">
        <v>3</v>
      </c>
      <c r="G8" s="22">
        <f t="shared" si="4"/>
        <v>90</v>
      </c>
      <c r="H8" s="22">
        <f t="shared" ref="H8:H18" si="9">IF(B8="pad", C8+2*F8, IF(B8="pool", C8/E8, IF(OR(B8="conv",B8="fc"), (C8-F8+1)/E8,C8)))</f>
        <v>27</v>
      </c>
      <c r="I8" s="22">
        <f t="shared" si="3"/>
        <v>2</v>
      </c>
      <c r="J8" s="22">
        <f t="shared" si="0"/>
        <v>6561</v>
      </c>
    </row>
    <row r="9" spans="1:34" s="22" customFormat="1" ht="15.75" customHeight="1">
      <c r="A9" s="22">
        <v>6</v>
      </c>
      <c r="B9" s="22" t="s">
        <v>40</v>
      </c>
      <c r="C9" s="22">
        <f t="shared" si="1"/>
        <v>27</v>
      </c>
      <c r="D9" s="22">
        <f t="shared" si="2"/>
        <v>90</v>
      </c>
      <c r="E9" s="22">
        <v>1</v>
      </c>
      <c r="F9" s="22">
        <v>1</v>
      </c>
      <c r="G9" s="22">
        <f t="shared" si="4"/>
        <v>180</v>
      </c>
      <c r="H9" s="22">
        <f t="shared" si="9"/>
        <v>27</v>
      </c>
      <c r="I9" s="22">
        <f t="shared" si="3"/>
        <v>2</v>
      </c>
      <c r="J9" s="22">
        <f t="shared" si="0"/>
        <v>0</v>
      </c>
    </row>
    <row r="10" spans="1:34" s="22" customFormat="1" ht="15.75" customHeight="1">
      <c r="A10" s="22">
        <v>7</v>
      </c>
      <c r="B10" s="22" t="s">
        <v>36</v>
      </c>
      <c r="C10" s="22">
        <f t="shared" si="1"/>
        <v>27</v>
      </c>
      <c r="D10" s="22">
        <f t="shared" si="2"/>
        <v>180</v>
      </c>
      <c r="E10" s="22">
        <v>1</v>
      </c>
      <c r="F10" s="22">
        <v>1</v>
      </c>
      <c r="G10" s="22">
        <f t="shared" si="4"/>
        <v>180</v>
      </c>
      <c r="H10" s="22">
        <f t="shared" si="9"/>
        <v>29</v>
      </c>
      <c r="I10" s="22">
        <f t="shared" si="3"/>
        <v>1</v>
      </c>
    </row>
    <row r="11" spans="1:34" s="22" customFormat="1" ht="15.75" customHeight="1">
      <c r="A11" s="22">
        <v>8</v>
      </c>
      <c r="B11" s="22" t="s">
        <v>37</v>
      </c>
      <c r="C11" s="22">
        <f t="shared" si="1"/>
        <v>29</v>
      </c>
      <c r="D11" s="22">
        <f t="shared" si="2"/>
        <v>180</v>
      </c>
      <c r="E11" s="22">
        <v>1</v>
      </c>
      <c r="F11" s="22">
        <v>3</v>
      </c>
      <c r="G11" s="22">
        <v>272</v>
      </c>
      <c r="H11" s="22">
        <f t="shared" si="9"/>
        <v>27</v>
      </c>
      <c r="I11" s="22">
        <f t="shared" si="3"/>
        <v>1</v>
      </c>
      <c r="J11" s="22">
        <f t="shared" ref="J11:J23" si="10">IF(B11="pad", 0, IF(B11="pool", H11*H11*F11*F11, IF(OR(B11="conv",B11="fc"), I11*2*H11*H11*F11*F11*D11*G11,0)))</f>
        <v>642453120</v>
      </c>
      <c r="K11" s="22">
        <f>J11/SUM(J$4:J$23)*100</f>
        <v>29.457124503337219</v>
      </c>
      <c r="L11" s="22">
        <v>45</v>
      </c>
      <c r="M11" s="22">
        <v>68</v>
      </c>
      <c r="N11" s="22">
        <v>3</v>
      </c>
      <c r="O11" s="22">
        <f>G11/M11</f>
        <v>4</v>
      </c>
      <c r="P11" s="22">
        <f>F11*F11*D11*G11/(L11*M11)</f>
        <v>144</v>
      </c>
      <c r="Q11" s="22">
        <f>2*L11*M11*N11</f>
        <v>18360</v>
      </c>
      <c r="R11" s="22">
        <f>J11/(Q11*I11)</f>
        <v>34992</v>
      </c>
      <c r="S11" s="22">
        <f>F11*F11*D11</f>
        <v>1620</v>
      </c>
      <c r="T11" s="22">
        <f>G11</f>
        <v>272</v>
      </c>
      <c r="U11" s="22">
        <f>S11/L11</f>
        <v>36</v>
      </c>
      <c r="V11" s="22">
        <f>T11/M11</f>
        <v>4</v>
      </c>
      <c r="W11" s="22">
        <f t="shared" si="5"/>
        <v>11</v>
      </c>
      <c r="X11" s="22">
        <f t="shared" si="6"/>
        <v>4</v>
      </c>
      <c r="Y11" s="22">
        <f t="shared" si="7"/>
        <v>116</v>
      </c>
      <c r="Z11" s="22">
        <f t="shared" si="8"/>
        <v>2303</v>
      </c>
      <c r="AA11" s="22">
        <f>F11*F11*H11*H11</f>
        <v>6561</v>
      </c>
      <c r="AB11" s="22">
        <f>D11*F11*F11*G11</f>
        <v>440640</v>
      </c>
      <c r="AC11" s="22">
        <f>S11*T11*I11</f>
        <v>440640</v>
      </c>
      <c r="AD11" s="22">
        <v>2</v>
      </c>
      <c r="AE11" s="22">
        <v>1</v>
      </c>
      <c r="AF11" s="22">
        <f>1000000*$H$1/MAX(R11,Z11)</f>
        <v>4886.8312757201647</v>
      </c>
      <c r="AG11" s="22">
        <f>CEILING(AC11*AE11/18000,1) *M11</f>
        <v>1700</v>
      </c>
    </row>
    <row r="12" spans="1:34" s="22" customFormat="1" ht="15.75" customHeight="1">
      <c r="A12" s="22">
        <v>9</v>
      </c>
      <c r="B12" s="22" t="s">
        <v>36</v>
      </c>
      <c r="C12" s="22">
        <f t="shared" si="1"/>
        <v>27</v>
      </c>
      <c r="D12" s="22">
        <f t="shared" si="2"/>
        <v>272</v>
      </c>
      <c r="E12" s="22">
        <v>1</v>
      </c>
      <c r="F12" s="22">
        <v>0.5</v>
      </c>
      <c r="G12" s="22">
        <f t="shared" si="4"/>
        <v>272</v>
      </c>
      <c r="H12" s="22">
        <f t="shared" si="9"/>
        <v>28</v>
      </c>
      <c r="I12" s="22">
        <f t="shared" si="3"/>
        <v>1</v>
      </c>
      <c r="J12" s="22">
        <f t="shared" si="10"/>
        <v>0</v>
      </c>
    </row>
    <row r="13" spans="1:34" s="22" customFormat="1" ht="15.75" customHeight="1">
      <c r="A13" s="22">
        <v>10</v>
      </c>
      <c r="B13" s="22" t="s">
        <v>39</v>
      </c>
      <c r="C13" s="22">
        <f t="shared" si="1"/>
        <v>28</v>
      </c>
      <c r="D13" s="22">
        <f t="shared" si="2"/>
        <v>272</v>
      </c>
      <c r="E13" s="22">
        <v>2</v>
      </c>
      <c r="F13" s="22">
        <v>3</v>
      </c>
      <c r="G13" s="22">
        <f t="shared" si="4"/>
        <v>272</v>
      </c>
      <c r="H13" s="22">
        <f t="shared" si="9"/>
        <v>14</v>
      </c>
      <c r="I13" s="22">
        <f t="shared" si="3"/>
        <v>1</v>
      </c>
      <c r="J13" s="22">
        <f t="shared" si="10"/>
        <v>1764</v>
      </c>
    </row>
    <row r="14" spans="1:34" s="22" customFormat="1" ht="15.75" customHeight="1">
      <c r="A14" s="22">
        <v>11</v>
      </c>
      <c r="B14" s="22" t="s">
        <v>38</v>
      </c>
      <c r="C14" s="22">
        <f t="shared" si="1"/>
        <v>14</v>
      </c>
      <c r="D14" s="22">
        <f t="shared" si="2"/>
        <v>272</v>
      </c>
      <c r="E14" s="22">
        <v>1</v>
      </c>
      <c r="F14" s="22">
        <v>1</v>
      </c>
      <c r="G14" s="22">
        <f t="shared" si="4"/>
        <v>136</v>
      </c>
      <c r="H14" s="22">
        <f t="shared" si="9"/>
        <v>14</v>
      </c>
      <c r="I14" s="22">
        <f t="shared" si="3"/>
        <v>1</v>
      </c>
      <c r="J14" s="22">
        <f t="shared" si="10"/>
        <v>0</v>
      </c>
    </row>
    <row r="15" spans="1:34" s="22" customFormat="1" ht="16.5" customHeight="1">
      <c r="A15" s="22">
        <v>12</v>
      </c>
      <c r="B15" s="22" t="s">
        <v>36</v>
      </c>
      <c r="C15" s="22">
        <f t="shared" si="1"/>
        <v>14</v>
      </c>
      <c r="D15" s="22">
        <f t="shared" si="2"/>
        <v>136</v>
      </c>
      <c r="E15" s="22">
        <v>1</v>
      </c>
      <c r="F15" s="22">
        <v>1</v>
      </c>
      <c r="G15" s="22">
        <f t="shared" si="4"/>
        <v>136</v>
      </c>
      <c r="H15" s="22">
        <f t="shared" si="9"/>
        <v>16</v>
      </c>
      <c r="I15" s="22">
        <f t="shared" si="3"/>
        <v>2</v>
      </c>
      <c r="J15" s="22">
        <f t="shared" si="10"/>
        <v>0</v>
      </c>
    </row>
    <row r="16" spans="1:34" s="22" customFormat="1" ht="15.75" customHeight="1">
      <c r="A16" s="22">
        <v>13</v>
      </c>
      <c r="B16" s="22" t="s">
        <v>37</v>
      </c>
      <c r="C16" s="22">
        <f t="shared" si="1"/>
        <v>16</v>
      </c>
      <c r="D16" s="22">
        <f t="shared" si="2"/>
        <v>136</v>
      </c>
      <c r="E16" s="22">
        <v>1</v>
      </c>
      <c r="F16" s="22">
        <v>3</v>
      </c>
      <c r="G16" s="22">
        <v>192</v>
      </c>
      <c r="H16" s="22">
        <f t="shared" si="9"/>
        <v>14</v>
      </c>
      <c r="I16" s="22">
        <f t="shared" si="3"/>
        <v>2</v>
      </c>
      <c r="J16" s="22">
        <f t="shared" si="10"/>
        <v>184246272</v>
      </c>
      <c r="K16" s="22">
        <f>J16/SUM(J$4:J$23)*100</f>
        <v>8.4478776810668048</v>
      </c>
      <c r="L16" s="22">
        <v>34</v>
      </c>
      <c r="M16" s="22">
        <v>32</v>
      </c>
      <c r="N16" s="22">
        <v>1</v>
      </c>
      <c r="O16" s="22">
        <f>G16/M16</f>
        <v>6</v>
      </c>
      <c r="P16" s="22">
        <f>F16*F16*D16*G16/(L16*M16)</f>
        <v>216</v>
      </c>
      <c r="Q16" s="22">
        <f>2*L16*M16*N16</f>
        <v>2176</v>
      </c>
      <c r="R16" s="22">
        <f>J16/(Q16*I16)</f>
        <v>42336</v>
      </c>
      <c r="S16" s="22">
        <f>F16*F16*D16</f>
        <v>1224</v>
      </c>
      <c r="T16" s="22">
        <f>G16</f>
        <v>192</v>
      </c>
      <c r="U16" s="22">
        <f>S16/L16</f>
        <v>36</v>
      </c>
      <c r="V16" s="22">
        <f>T16/M16</f>
        <v>6</v>
      </c>
      <c r="W16" s="22">
        <f t="shared" si="5"/>
        <v>3</v>
      </c>
      <c r="X16" s="22">
        <f t="shared" si="6"/>
        <v>4</v>
      </c>
      <c r="Y16" s="22">
        <f t="shared" si="7"/>
        <v>64</v>
      </c>
      <c r="Z16" s="22">
        <f t="shared" si="8"/>
        <v>1828</v>
      </c>
      <c r="AA16" s="22">
        <f>F16*F16*H16*H16</f>
        <v>1764</v>
      </c>
      <c r="AB16" s="22">
        <f>D16*F16*F16*G16</f>
        <v>235008</v>
      </c>
      <c r="AC16" s="22">
        <f>S16*T16*I16</f>
        <v>470016</v>
      </c>
      <c r="AD16" s="22">
        <v>2</v>
      </c>
      <c r="AE16" s="22">
        <v>1</v>
      </c>
      <c r="AF16" s="22">
        <f>1000000*$H$1/MAX(R16,Z16)</f>
        <v>4039.1156462585036</v>
      </c>
      <c r="AG16" s="22">
        <f>CEILING(AC16*AE16/18000,1) *M16</f>
        <v>864</v>
      </c>
    </row>
    <row r="17" spans="1:34" s="22" customFormat="1" ht="15.75" customHeight="1">
      <c r="A17" s="22">
        <v>14</v>
      </c>
      <c r="B17" s="22" t="s">
        <v>36</v>
      </c>
      <c r="C17" s="22">
        <f t="shared" si="1"/>
        <v>14</v>
      </c>
      <c r="D17" s="22">
        <f t="shared" si="2"/>
        <v>192</v>
      </c>
      <c r="E17" s="22">
        <v>1</v>
      </c>
      <c r="F17" s="22">
        <v>1</v>
      </c>
      <c r="G17" s="22">
        <f t="shared" si="4"/>
        <v>192</v>
      </c>
      <c r="H17" s="22">
        <f t="shared" si="9"/>
        <v>16</v>
      </c>
      <c r="I17" s="22">
        <f t="shared" si="3"/>
        <v>2</v>
      </c>
      <c r="J17" s="22">
        <f t="shared" si="10"/>
        <v>0</v>
      </c>
    </row>
    <row r="18" spans="1:34" s="22" customFormat="1" ht="15.75" customHeight="1">
      <c r="A18" s="22">
        <v>15</v>
      </c>
      <c r="B18" s="22" t="s">
        <v>37</v>
      </c>
      <c r="C18" s="22">
        <f t="shared" si="1"/>
        <v>16</v>
      </c>
      <c r="D18" s="22">
        <f t="shared" si="2"/>
        <v>192</v>
      </c>
      <c r="E18" s="22">
        <v>1</v>
      </c>
      <c r="F18" s="22">
        <v>3</v>
      </c>
      <c r="G18" s="22">
        <v>128</v>
      </c>
      <c r="H18" s="22">
        <f t="shared" si="9"/>
        <v>14</v>
      </c>
      <c r="I18" s="22">
        <f t="shared" si="3"/>
        <v>2</v>
      </c>
      <c r="J18" s="22">
        <f t="shared" si="10"/>
        <v>173408256</v>
      </c>
      <c r="K18" s="22">
        <f>J18/SUM(J$4:J$23)*100</f>
        <v>7.9509436998275813</v>
      </c>
      <c r="L18" s="22">
        <v>32</v>
      </c>
      <c r="M18" s="22">
        <v>32</v>
      </c>
      <c r="N18" s="22">
        <v>1</v>
      </c>
      <c r="O18" s="22">
        <f>G18/M18</f>
        <v>4</v>
      </c>
      <c r="P18" s="22">
        <f>F18*F18*D18*G18/(L18*M18)</f>
        <v>216</v>
      </c>
      <c r="Q18" s="22">
        <f>2*L18*M18*N18</f>
        <v>2048</v>
      </c>
      <c r="R18" s="22">
        <f>J18/(Q18*I18)</f>
        <v>42336</v>
      </c>
      <c r="S18" s="22">
        <f>F18*F18*D18</f>
        <v>1728</v>
      </c>
      <c r="T18" s="22">
        <f>G18</f>
        <v>128</v>
      </c>
      <c r="U18" s="22">
        <f>S18/L18</f>
        <v>54</v>
      </c>
      <c r="V18" s="22">
        <f>T18/M18</f>
        <v>4</v>
      </c>
      <c r="W18" s="22">
        <f t="shared" si="5"/>
        <v>3</v>
      </c>
      <c r="X18" s="22">
        <f t="shared" si="6"/>
        <v>4</v>
      </c>
      <c r="Y18" s="22">
        <f t="shared" si="7"/>
        <v>64</v>
      </c>
      <c r="Z18" s="22">
        <f t="shared" si="8"/>
        <v>1828</v>
      </c>
      <c r="AA18" s="22">
        <f>F18*F18*H18*H18</f>
        <v>1764</v>
      </c>
      <c r="AB18" s="22">
        <f>D18*F18*F18*G18</f>
        <v>221184</v>
      </c>
      <c r="AC18" s="22">
        <f>S18*T18*I18</f>
        <v>442368</v>
      </c>
      <c r="AD18" s="22">
        <v>2</v>
      </c>
      <c r="AE18" s="22">
        <v>1</v>
      </c>
      <c r="AF18" s="22">
        <f>1000000*$H$1/MAX(R18,Z18)</f>
        <v>4039.1156462585036</v>
      </c>
      <c r="AG18" s="22">
        <f>CEILING(AC18*AE18/18000,1) *M18</f>
        <v>800</v>
      </c>
    </row>
    <row r="19" spans="1:34" s="22" customFormat="1" ht="15.75" customHeight="1">
      <c r="A19" s="22">
        <v>16</v>
      </c>
      <c r="B19" s="22" t="s">
        <v>39</v>
      </c>
      <c r="C19" s="22">
        <f t="shared" si="1"/>
        <v>14</v>
      </c>
      <c r="D19" s="22">
        <f t="shared" si="2"/>
        <v>128</v>
      </c>
      <c r="E19" s="22">
        <v>2</v>
      </c>
      <c r="F19" s="22">
        <v>3</v>
      </c>
      <c r="G19" s="22">
        <f t="shared" si="4"/>
        <v>128</v>
      </c>
      <c r="H19" s="22">
        <v>6</v>
      </c>
      <c r="I19" s="22">
        <f t="shared" si="3"/>
        <v>2</v>
      </c>
      <c r="J19" s="22">
        <f t="shared" si="10"/>
        <v>324</v>
      </c>
    </row>
    <row r="20" spans="1:34" s="22" customFormat="1" ht="15.75" customHeight="1">
      <c r="A20" s="22">
        <v>17</v>
      </c>
      <c r="B20" s="22" t="s">
        <v>40</v>
      </c>
      <c r="C20" s="22">
        <f t="shared" si="1"/>
        <v>6</v>
      </c>
      <c r="D20" s="22">
        <f t="shared" si="2"/>
        <v>128</v>
      </c>
      <c r="E20" s="22">
        <v>1</v>
      </c>
      <c r="F20" s="22">
        <v>1</v>
      </c>
      <c r="G20" s="22">
        <f t="shared" si="4"/>
        <v>256</v>
      </c>
      <c r="H20" s="22">
        <f>IF(B20="pad", C20+2*F20, IF(B20="pool", C20/E20, IF(OR(B20="conv",B20="fc"), (C20-F20+1)/E20,C20)))</f>
        <v>6</v>
      </c>
      <c r="I20" s="22">
        <f t="shared" si="3"/>
        <v>2</v>
      </c>
      <c r="J20" s="22">
        <f t="shared" si="10"/>
        <v>0</v>
      </c>
    </row>
    <row r="21" spans="1:34" s="22" customFormat="1" ht="15.75" customHeight="1">
      <c r="A21" s="22">
        <v>18</v>
      </c>
      <c r="B21" s="22" t="s">
        <v>41</v>
      </c>
      <c r="C21" s="22">
        <v>1</v>
      </c>
      <c r="D21" s="22">
        <f>G20*H20*H20</f>
        <v>9216</v>
      </c>
      <c r="E21" s="22">
        <v>1</v>
      </c>
      <c r="F21" s="22">
        <v>1</v>
      </c>
      <c r="G21" s="22">
        <v>4096</v>
      </c>
      <c r="H21" s="22">
        <v>1</v>
      </c>
      <c r="I21" s="22">
        <f t="shared" si="3"/>
        <v>1</v>
      </c>
      <c r="J21" s="22">
        <f t="shared" si="10"/>
        <v>75497472</v>
      </c>
      <c r="K21" s="22">
        <f>J21/SUM(J$4:J$23)*100</f>
        <v>3.4616353523058856</v>
      </c>
      <c r="L21" s="22">
        <v>64</v>
      </c>
      <c r="M21" s="22">
        <v>32</v>
      </c>
      <c r="N21" s="22">
        <v>1</v>
      </c>
      <c r="O21" s="22">
        <f>G21/M21</f>
        <v>128</v>
      </c>
      <c r="P21" s="22">
        <f>F21*F21*D21*G21/(L21*M21)</f>
        <v>18432</v>
      </c>
      <c r="Q21" s="22">
        <f>2*L21*M21*N21</f>
        <v>4096</v>
      </c>
      <c r="R21" s="22">
        <f>J21/(Q21*I21)</f>
        <v>18432</v>
      </c>
      <c r="S21" s="22">
        <f>F21*F21*D21</f>
        <v>9216</v>
      </c>
      <c r="T21" s="22">
        <f>G21</f>
        <v>4096</v>
      </c>
      <c r="U21" s="22">
        <f t="shared" ref="U21:V23" si="11">S21/L21</f>
        <v>144</v>
      </c>
      <c r="V21" s="22">
        <f t="shared" si="11"/>
        <v>128</v>
      </c>
      <c r="AB21" s="22">
        <f>D21*F21*F21*G21</f>
        <v>37748736</v>
      </c>
      <c r="AC21" s="22">
        <f>S21*T21</f>
        <v>37748736</v>
      </c>
      <c r="AD21" s="22">
        <v>2</v>
      </c>
      <c r="AE21" s="22">
        <v>1</v>
      </c>
      <c r="AF21" s="22">
        <f>1000000*$H$1/MAX(R21,Z21)</f>
        <v>9277.34375</v>
      </c>
      <c r="AG21" s="22">
        <f>CEILING(AC21*AE21/18000,1) *M21</f>
        <v>67136</v>
      </c>
      <c r="AH21" s="22">
        <f>AC21*M$1*AE21*H21*H21/(1024*1024*1024)</f>
        <v>123.69791666666667</v>
      </c>
    </row>
    <row r="22" spans="1:34" s="22" customFormat="1" ht="15.75" customHeight="1">
      <c r="A22" s="22">
        <v>19</v>
      </c>
      <c r="B22" s="22" t="s">
        <v>41</v>
      </c>
      <c r="C22" s="22">
        <f>H21</f>
        <v>1</v>
      </c>
      <c r="D22" s="22">
        <f>G21</f>
        <v>4096</v>
      </c>
      <c r="E22" s="22">
        <v>1</v>
      </c>
      <c r="F22" s="22">
        <v>1</v>
      </c>
      <c r="G22" s="22">
        <v>4096</v>
      </c>
      <c r="H22" s="22">
        <f>IF(B22="pad", C22+2*F22, IF(B22="pool", C22/E22, IF(OR(B22="conv",B22="fc"), (C22-F22+1)/E22,C22)))</f>
        <v>1</v>
      </c>
      <c r="I22" s="22">
        <f t="shared" si="3"/>
        <v>1</v>
      </c>
      <c r="J22" s="22">
        <f t="shared" si="10"/>
        <v>33554432</v>
      </c>
      <c r="K22" s="22">
        <f>J22/SUM(J$4:J$23)*100</f>
        <v>1.538504601024838</v>
      </c>
      <c r="L22" s="22">
        <v>64</v>
      </c>
      <c r="M22" s="22">
        <v>16</v>
      </c>
      <c r="N22" s="22">
        <v>1</v>
      </c>
      <c r="O22" s="22">
        <f>G22/M22</f>
        <v>256</v>
      </c>
      <c r="P22" s="22">
        <f>F22*F22*D22*G22/(L22*M22)</f>
        <v>16384</v>
      </c>
      <c r="Q22" s="22">
        <f>2*L22*M22*N22</f>
        <v>2048</v>
      </c>
      <c r="R22" s="22">
        <f>J22/(Q22*I22)</f>
        <v>16384</v>
      </c>
      <c r="S22" s="22">
        <f>F22*F22*D22</f>
        <v>4096</v>
      </c>
      <c r="T22" s="22">
        <f>G22</f>
        <v>4096</v>
      </c>
      <c r="U22" s="22">
        <f t="shared" si="11"/>
        <v>64</v>
      </c>
      <c r="V22" s="22">
        <f t="shared" si="11"/>
        <v>256</v>
      </c>
      <c r="AB22" s="22">
        <f>D22*F22*F22*G22</f>
        <v>16777216</v>
      </c>
      <c r="AC22" s="22">
        <f>S22*T22</f>
        <v>16777216</v>
      </c>
      <c r="AD22" s="22">
        <v>2</v>
      </c>
      <c r="AE22" s="22">
        <v>1</v>
      </c>
      <c r="AF22" s="22">
        <f>1000000*$H$1/MAX(R22,Z22)</f>
        <v>10437.01171875</v>
      </c>
      <c r="AG22" s="22">
        <f>CEILING(AC22*AE22/18000,1) *M22</f>
        <v>14928</v>
      </c>
      <c r="AH22" s="22">
        <f>AC22*M$1*AE22*H22*H22/(1024*1024*1024)</f>
        <v>54.976851851851855</v>
      </c>
    </row>
    <row r="23" spans="1:34" s="22" customFormat="1" ht="15.75" customHeight="1">
      <c r="A23" s="22">
        <v>20</v>
      </c>
      <c r="B23" s="22" t="s">
        <v>41</v>
      </c>
      <c r="C23" s="22">
        <f>H22</f>
        <v>1</v>
      </c>
      <c r="D23" s="22">
        <f>G22</f>
        <v>4096</v>
      </c>
      <c r="E23" s="22">
        <v>1</v>
      </c>
      <c r="F23" s="22">
        <v>1</v>
      </c>
      <c r="G23" s="22">
        <v>1000</v>
      </c>
      <c r="H23" s="22">
        <f>IF(B23="pad", C23+2*F23, IF(B23="pool", C23/E23, IF(OR(B23="conv",B23="fc"), (C23-F23+1)/E23,C23)))</f>
        <v>1</v>
      </c>
      <c r="I23" s="22">
        <f t="shared" si="3"/>
        <v>1</v>
      </c>
      <c r="J23" s="22">
        <f t="shared" si="10"/>
        <v>8192000</v>
      </c>
      <c r="K23" s="22">
        <f>J23/SUM(J$4:J$23)*100</f>
        <v>0.37561147485957963</v>
      </c>
      <c r="L23" s="22">
        <v>8</v>
      </c>
      <c r="M23" s="22">
        <v>32</v>
      </c>
      <c r="N23" s="22">
        <v>1</v>
      </c>
      <c r="O23" s="22">
        <f>G23/M23</f>
        <v>31.25</v>
      </c>
      <c r="P23" s="22">
        <f>F23*F23*D23*G23/(L23*M23)</f>
        <v>16000</v>
      </c>
      <c r="Q23" s="22">
        <f>2*L23*M23*N23</f>
        <v>512</v>
      </c>
      <c r="R23" s="22">
        <f>J23/(Q23*I23)</f>
        <v>16000</v>
      </c>
      <c r="S23" s="22">
        <f>F23*F23*D23</f>
        <v>4096</v>
      </c>
      <c r="T23" s="22">
        <f>G23</f>
        <v>1000</v>
      </c>
      <c r="U23" s="22">
        <f t="shared" si="11"/>
        <v>512</v>
      </c>
      <c r="V23" s="22">
        <f t="shared" si="11"/>
        <v>31.25</v>
      </c>
      <c r="AB23" s="22">
        <f>D23*F23*F23*G23</f>
        <v>4096000</v>
      </c>
      <c r="AC23" s="22">
        <f>S23*T23</f>
        <v>4096000</v>
      </c>
      <c r="AD23" s="22">
        <v>2</v>
      </c>
      <c r="AE23" s="22">
        <v>4</v>
      </c>
      <c r="AF23" s="22">
        <f>1000000*$H$1/MAX(R23,Z23)</f>
        <v>10687.5</v>
      </c>
      <c r="AG23" s="22">
        <f>CEILING(AC23*AE23/18000,1) *M23</f>
        <v>29152</v>
      </c>
      <c r="AH23" s="22">
        <f>AC23*M$1*AE23*H23*H23/(1024*1024*1024)</f>
        <v>53.688331886574076</v>
      </c>
    </row>
    <row r="27" spans="1:34" ht="15.75" customHeight="1">
      <c r="J27" s="20">
        <f>2168/3874</f>
        <v>0.55962829117191537</v>
      </c>
    </row>
    <row r="28" spans="1:34" ht="15.75" customHeight="1">
      <c r="H28" s="12"/>
    </row>
    <row r="30" spans="1:34" ht="15.75" customHeight="1">
      <c r="E30" s="12"/>
    </row>
    <row r="31" spans="1:34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topLeftCell="O1" workbookViewId="0">
      <selection activeCell="X4" sqref="X4"/>
    </sheetView>
  </sheetViews>
  <sheetFormatPr defaultColWidth="14.42578125" defaultRowHeight="15.75" customHeight="1"/>
  <cols>
    <col min="1" max="1" width="8.7109375" style="20" customWidth="1"/>
    <col min="2" max="2" width="14.42578125" style="20"/>
    <col min="3" max="3" width="6.85546875" style="20" customWidth="1"/>
    <col min="4" max="4" width="11.42578125" style="20" customWidth="1"/>
    <col min="5" max="8" width="14.42578125" style="20"/>
    <col min="9" max="9" width="8.140625" style="20" bestFit="1" customWidth="1"/>
    <col min="10" max="10" width="24.42578125" style="20" customWidth="1"/>
    <col min="11" max="24" width="14.42578125" style="20"/>
    <col min="25" max="25" width="22.140625" style="20" customWidth="1"/>
    <col min="26" max="26" width="16.85546875" style="20" customWidth="1"/>
    <col min="27" max="27" width="16.28515625" style="20" customWidth="1"/>
    <col min="28" max="28" width="14.42578125" style="20" customWidth="1"/>
    <col min="29" max="31" width="16.42578125" style="20" customWidth="1"/>
    <col min="32" max="16384" width="14.42578125" style="20"/>
  </cols>
  <sheetData>
    <row r="1" spans="1:34" ht="15.75" customHeight="1">
      <c r="A1" s="19" t="s">
        <v>0</v>
      </c>
      <c r="B1" s="34" t="s">
        <v>1</v>
      </c>
      <c r="C1" s="35"/>
      <c r="D1" s="35"/>
      <c r="E1" s="35"/>
      <c r="F1" s="35"/>
      <c r="G1" s="19" t="s">
        <v>2</v>
      </c>
      <c r="H1" s="4">
        <v>125</v>
      </c>
      <c r="I1" s="19"/>
      <c r="J1" s="19" t="s">
        <v>3</v>
      </c>
      <c r="K1" s="4">
        <f>MAX(MAX(R4:R20),MAX(W5:W20))</f>
        <v>24300</v>
      </c>
      <c r="L1" s="19" t="s">
        <v>4</v>
      </c>
      <c r="M1" s="4">
        <f>1000000*H1/K1</f>
        <v>5144.0329218106999</v>
      </c>
      <c r="N1" s="11"/>
      <c r="O1" s="11"/>
      <c r="P1" s="11"/>
      <c r="Q1" s="11"/>
      <c r="R1" s="19" t="s">
        <v>5</v>
      </c>
      <c r="S1" s="4">
        <f>SUM(J3:J23)/(C3*C3*D3+G23*2)</f>
        <v>14298.863375904752</v>
      </c>
      <c r="T1" s="11"/>
      <c r="U1" s="11"/>
      <c r="V1" s="11"/>
      <c r="W1" s="11" t="s">
        <v>93</v>
      </c>
      <c r="X1" s="11"/>
      <c r="Y1" s="11"/>
      <c r="Z1" s="11"/>
      <c r="AA1" s="11"/>
      <c r="AB1" s="6"/>
      <c r="AC1" s="11"/>
      <c r="AD1" s="11"/>
      <c r="AE1" s="11"/>
      <c r="AF1" s="33"/>
      <c r="AG1" s="33"/>
      <c r="AH1" s="33"/>
    </row>
    <row r="2" spans="1:34" ht="15.75" customHeight="1">
      <c r="A2" s="19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19" t="s">
        <v>11</v>
      </c>
      <c r="G2" s="19" t="s">
        <v>12</v>
      </c>
      <c r="H2" s="19" t="s">
        <v>13</v>
      </c>
      <c r="I2" s="19" t="s">
        <v>14</v>
      </c>
      <c r="J2" s="19" t="str">
        <f>"ops, total: " &amp; SUM(J3:J113)/1000000 &amp;"M"</f>
        <v>ops, total: 2180.97703355963M</v>
      </c>
      <c r="K2" s="19" t="s">
        <v>15</v>
      </c>
      <c r="L2" s="19" t="s">
        <v>16</v>
      </c>
      <c r="M2" s="19" t="s">
        <v>17</v>
      </c>
      <c r="N2" s="19" t="s">
        <v>18</v>
      </c>
      <c r="O2" s="19" t="s">
        <v>19</v>
      </c>
      <c r="P2" s="19" t="s">
        <v>20</v>
      </c>
      <c r="Q2" s="19" t="s">
        <v>21</v>
      </c>
      <c r="R2" s="19" t="s">
        <v>22</v>
      </c>
      <c r="S2" s="19" t="s">
        <v>23</v>
      </c>
      <c r="T2" s="19" t="s">
        <v>24</v>
      </c>
      <c r="U2" s="19" t="s">
        <v>25</v>
      </c>
      <c r="V2" s="19" t="s">
        <v>26</v>
      </c>
      <c r="W2" s="32" t="s">
        <v>92</v>
      </c>
      <c r="X2" s="32" t="s">
        <v>94</v>
      </c>
      <c r="Y2" s="32" t="s">
        <v>95</v>
      </c>
      <c r="Z2" s="32" t="s">
        <v>27</v>
      </c>
      <c r="AA2" s="32" t="s">
        <v>28</v>
      </c>
      <c r="AB2" s="32" t="s">
        <v>29</v>
      </c>
      <c r="AC2" s="32" t="s">
        <v>30</v>
      </c>
      <c r="AD2" s="32" t="s">
        <v>31</v>
      </c>
      <c r="AE2" s="32" t="s">
        <v>32</v>
      </c>
      <c r="AF2" s="7" t="s">
        <v>33</v>
      </c>
      <c r="AG2" s="7" t="s">
        <v>34</v>
      </c>
      <c r="AH2" s="7" t="s">
        <v>35</v>
      </c>
    </row>
    <row r="3" spans="1:34" ht="15.75" customHeight="1">
      <c r="A3" s="4">
        <v>0</v>
      </c>
      <c r="B3" s="11" t="s">
        <v>36</v>
      </c>
      <c r="C3" s="4">
        <v>224</v>
      </c>
      <c r="D3" s="4">
        <v>3</v>
      </c>
      <c r="E3" s="4">
        <v>1</v>
      </c>
      <c r="F3" s="4">
        <v>1.5</v>
      </c>
      <c r="G3" s="4">
        <v>3</v>
      </c>
      <c r="H3" s="4">
        <f>IF(B3="pad", C3+2*F3, IF(B3="pool", C3/F3, IF(OR(B3="conv",B3="fc"), C3-F3+1,C3)))</f>
        <v>227</v>
      </c>
      <c r="I3" s="4">
        <v>1</v>
      </c>
      <c r="J3" s="4">
        <f t="shared" ref="J3:J9" si="0">IF(B3="pad", 0, IF(B3="pool", H3*H3*F3*F3, IF(OR(B3="conv",B3="fc"), I3*2*H3*H3*F3*F3*D3*G3,0)))</f>
        <v>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4">
        <v>1</v>
      </c>
      <c r="V3" s="11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s="27" customFormat="1" ht="15.75" customHeight="1">
      <c r="A4" s="24">
        <v>1</v>
      </c>
      <c r="B4" s="25" t="s">
        <v>37</v>
      </c>
      <c r="C4" s="24">
        <f t="shared" ref="C4:C20" si="1">H3</f>
        <v>227</v>
      </c>
      <c r="D4" s="24">
        <f t="shared" ref="D4:D20" si="2">G3</f>
        <v>3</v>
      </c>
      <c r="E4" s="24">
        <v>4</v>
      </c>
      <c r="F4" s="24">
        <v>12</v>
      </c>
      <c r="G4" s="24">
        <v>68</v>
      </c>
      <c r="H4" s="24">
        <f>IF(B4="pad", C4+2*F4, IF(B4="pool", C4/F4, IF(OR(B4="conv",B4="fc"), (C4-F4+1)/E4,C4)))</f>
        <v>54</v>
      </c>
      <c r="I4" s="24">
        <f t="shared" ref="I4:I23" si="3">IF(B3="merge", 1, IF(B3="split", 2, I3))</f>
        <v>1</v>
      </c>
      <c r="J4" s="24">
        <f t="shared" si="0"/>
        <v>171320832</v>
      </c>
      <c r="K4" s="26">
        <f>J4/SUM(J$4:J$23)*100</f>
        <v>7.8552332008899244</v>
      </c>
      <c r="L4" s="24">
        <v>3</v>
      </c>
      <c r="M4" s="24">
        <v>68</v>
      </c>
      <c r="N4" s="24">
        <v>18</v>
      </c>
      <c r="O4" s="24">
        <f>G4/M4</f>
        <v>1</v>
      </c>
      <c r="P4" s="24">
        <f>F4*F4*D4*G4/(L4*M4)</f>
        <v>144</v>
      </c>
      <c r="Q4" s="24">
        <f>2*L4*M4*N4</f>
        <v>7344</v>
      </c>
      <c r="R4" s="24">
        <f>J4/(Q4*I4)</f>
        <v>23328</v>
      </c>
      <c r="S4" s="24">
        <f>F4*F4*D4</f>
        <v>432</v>
      </c>
      <c r="T4" s="24">
        <f>G4</f>
        <v>68</v>
      </c>
      <c r="U4" s="24">
        <f>S4/L4</f>
        <v>144</v>
      </c>
      <c r="V4" s="24">
        <f>T4/M4</f>
        <v>1</v>
      </c>
      <c r="W4" s="22">
        <f>_xlfn.CEILING.MATH((C4*C4*E4*N4)/(H4*F4*F4))</f>
        <v>478</v>
      </c>
      <c r="X4" s="22">
        <f>IF(C4*E4&lt;(H4*F4*F4/N4),E4+F4,F4+E4+W4-C4)</f>
        <v>267</v>
      </c>
      <c r="Y4" s="22">
        <f>MIN(X4*C4,C4*C4-1)</f>
        <v>51528</v>
      </c>
      <c r="Z4" s="22">
        <f>Y4+(F4*F4*H4*H4)/N4</f>
        <v>74856</v>
      </c>
      <c r="AA4" s="22">
        <f>F4*F4*H4*H4/N4</f>
        <v>23328</v>
      </c>
      <c r="AB4" s="22">
        <f>D4*F4*F4*G4</f>
        <v>29376</v>
      </c>
      <c r="AC4" s="22">
        <f>S4*T4</f>
        <v>29376</v>
      </c>
      <c r="AD4" s="22">
        <v>8</v>
      </c>
      <c r="AE4" s="22">
        <v>4</v>
      </c>
      <c r="AF4" s="22">
        <f>1000000*$H$1/R4</f>
        <v>5358.3676268861454</v>
      </c>
      <c r="AG4" s="22">
        <f>CEILING(AC4*AE4/18000,1) *M4</f>
        <v>476</v>
      </c>
      <c r="AH4" s="22"/>
    </row>
    <row r="5" spans="1:34" ht="15.75" customHeight="1">
      <c r="A5" s="4">
        <v>2</v>
      </c>
      <c r="B5" s="11" t="s">
        <v>38</v>
      </c>
      <c r="C5" s="4">
        <f t="shared" si="1"/>
        <v>54</v>
      </c>
      <c r="D5" s="4">
        <f t="shared" si="2"/>
        <v>68</v>
      </c>
      <c r="E5" s="4">
        <v>1</v>
      </c>
      <c r="F5" s="4">
        <v>1</v>
      </c>
      <c r="G5" s="4">
        <f>IF(B5="split", D5/2,IF(B5="merge",D5*2,D5))</f>
        <v>34</v>
      </c>
      <c r="H5" s="4">
        <f>IF(B5="pad", C5+2*F5, IF(B5="pool", C5/F5, IF(OR(B5="conv",B5="fc"), (C5-F5+1)/E5,C5)))</f>
        <v>54</v>
      </c>
      <c r="I5" s="4">
        <f t="shared" si="3"/>
        <v>1</v>
      </c>
      <c r="J5" s="4">
        <f t="shared" si="0"/>
        <v>0</v>
      </c>
      <c r="K5" s="10"/>
      <c r="L5" s="11"/>
      <c r="M5" s="11"/>
      <c r="N5" s="11"/>
      <c r="O5" s="4"/>
      <c r="P5" s="4"/>
      <c r="Q5" s="4"/>
      <c r="R5" s="4"/>
      <c r="S5" s="11"/>
      <c r="T5" s="11"/>
      <c r="U5" s="4"/>
      <c r="V5" s="11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5.75" customHeight="1">
      <c r="A6" s="4">
        <v>3</v>
      </c>
      <c r="B6" s="11" t="s">
        <v>36</v>
      </c>
      <c r="C6" s="4">
        <f t="shared" si="1"/>
        <v>54</v>
      </c>
      <c r="D6" s="4">
        <f t="shared" si="2"/>
        <v>34</v>
      </c>
      <c r="E6" s="4">
        <v>1</v>
      </c>
      <c r="F6" s="4">
        <v>2</v>
      </c>
      <c r="G6" s="4">
        <f t="shared" ref="G6:G20" si="4">IF(B6="split", D6/2,IF(B6="merge",D6*2,D6))</f>
        <v>34</v>
      </c>
      <c r="H6" s="4">
        <f>IF(B6="pad", C6+2*F6, IF(B6="pool", C6/F6, IF(OR(B6="conv",B6="fc"), (C6-F6+1)/E6,C6)))</f>
        <v>58</v>
      </c>
      <c r="I6" s="4">
        <f t="shared" si="3"/>
        <v>2</v>
      </c>
      <c r="J6" s="4">
        <f t="shared" si="0"/>
        <v>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s="27" customFormat="1" ht="15.75" customHeight="1">
      <c r="A7" s="24">
        <v>4</v>
      </c>
      <c r="B7" s="25" t="s">
        <v>37</v>
      </c>
      <c r="C7" s="24">
        <f t="shared" si="1"/>
        <v>58</v>
      </c>
      <c r="D7" s="24">
        <f t="shared" si="2"/>
        <v>34</v>
      </c>
      <c r="E7" s="24">
        <v>1</v>
      </c>
      <c r="F7" s="24">
        <v>5</v>
      </c>
      <c r="G7" s="24">
        <v>90</v>
      </c>
      <c r="H7" s="24">
        <f>IF(B7="pad", C7+2*F7, IF(B7="pool", C7/F7, IF(OR(B7="conv",B7="fc"), (C7-F7+1)/E7,C7)))</f>
        <v>54</v>
      </c>
      <c r="I7" s="24">
        <f t="shared" si="3"/>
        <v>2</v>
      </c>
      <c r="J7" s="24">
        <f t="shared" si="0"/>
        <v>892296000</v>
      </c>
      <c r="K7" s="26">
        <f>J7/SUM(J$4:J$23)*100</f>
        <v>40.912672921301692</v>
      </c>
      <c r="L7" s="24">
        <v>34</v>
      </c>
      <c r="M7" s="24">
        <v>90</v>
      </c>
      <c r="N7" s="24">
        <v>3</v>
      </c>
      <c r="O7" s="24">
        <f>G7/M7</f>
        <v>1</v>
      </c>
      <c r="P7" s="24">
        <f>F7*F7*D7*G7/(L7*M7)</f>
        <v>25</v>
      </c>
      <c r="Q7" s="24">
        <f>2*L7*M7*N7</f>
        <v>18360</v>
      </c>
      <c r="R7" s="24">
        <f>J7/(Q7*I7)</f>
        <v>24300</v>
      </c>
      <c r="S7" s="24">
        <f>F7*F7*D7</f>
        <v>850</v>
      </c>
      <c r="T7" s="24">
        <f>G7</f>
        <v>90</v>
      </c>
      <c r="U7" s="24">
        <f>S7/L7</f>
        <v>25</v>
      </c>
      <c r="V7" s="24">
        <f>T7/M7</f>
        <v>1</v>
      </c>
      <c r="W7" s="22">
        <f t="shared" ref="W7:W18" si="5">_xlfn.CEILING.MATH((C7*C7*E7*N7)/(H7*F7*F7))</f>
        <v>8</v>
      </c>
      <c r="X7" s="22">
        <f t="shared" ref="X7:X18" si="6">IF(C7*E7&lt;(H7*F7*F7/N7),E7+F7,F7+E7+W7-C7)</f>
        <v>6</v>
      </c>
      <c r="Y7" s="22">
        <f t="shared" ref="Y7:Y18" si="7">MIN(X7*C7,C7*C7-1)</f>
        <v>348</v>
      </c>
      <c r="Z7" s="22">
        <f t="shared" ref="Z7:Z18" si="8">Y7+(F7*F7*H7*H7)/N7</f>
        <v>24648</v>
      </c>
      <c r="AA7" s="22">
        <f>F7*F7*H7*H7</f>
        <v>72900</v>
      </c>
      <c r="AB7" s="22">
        <f>D7*F7*F7*G7</f>
        <v>76500</v>
      </c>
      <c r="AC7" s="22">
        <f>S7*T7*I7</f>
        <v>153000</v>
      </c>
      <c r="AD7" s="22">
        <v>2</v>
      </c>
      <c r="AE7" s="22">
        <v>1</v>
      </c>
      <c r="AF7" s="22">
        <f>1000000*$H$1/MAX(R7,Z7)</f>
        <v>5071.4053878610839</v>
      </c>
      <c r="AG7" s="22">
        <f>CEILING(AC7*AE7/18000,1) *M7</f>
        <v>810</v>
      </c>
      <c r="AH7" s="22"/>
    </row>
    <row r="8" spans="1:34" ht="15.75" customHeight="1">
      <c r="A8" s="4">
        <v>5</v>
      </c>
      <c r="B8" s="11" t="s">
        <v>39</v>
      </c>
      <c r="C8" s="4">
        <f t="shared" si="1"/>
        <v>54</v>
      </c>
      <c r="D8" s="4">
        <f t="shared" si="2"/>
        <v>90</v>
      </c>
      <c r="E8" s="4">
        <v>2</v>
      </c>
      <c r="F8" s="4">
        <v>3</v>
      </c>
      <c r="G8" s="4">
        <f t="shared" si="4"/>
        <v>90</v>
      </c>
      <c r="H8" s="4">
        <f t="shared" ref="H8:H18" si="9">IF(B8="pad", C8+2*F8, IF(B8="pool", C8/E8, IF(OR(B8="conv",B8="fc"), (C8-F8+1)/E8,C8)))</f>
        <v>27</v>
      </c>
      <c r="I8" s="4">
        <f t="shared" si="3"/>
        <v>2</v>
      </c>
      <c r="J8" s="4">
        <f t="shared" si="0"/>
        <v>6561</v>
      </c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ht="15.75" customHeight="1">
      <c r="A9" s="4">
        <v>6</v>
      </c>
      <c r="B9" s="11" t="s">
        <v>40</v>
      </c>
      <c r="C9" s="4">
        <f t="shared" si="1"/>
        <v>27</v>
      </c>
      <c r="D9" s="4">
        <f t="shared" si="2"/>
        <v>90</v>
      </c>
      <c r="E9" s="4">
        <v>1</v>
      </c>
      <c r="F9" s="4">
        <v>1</v>
      </c>
      <c r="G9" s="4">
        <f t="shared" si="4"/>
        <v>180</v>
      </c>
      <c r="H9" s="4">
        <f t="shared" si="9"/>
        <v>27</v>
      </c>
      <c r="I9" s="4">
        <f t="shared" si="3"/>
        <v>2</v>
      </c>
      <c r="J9" s="4">
        <f t="shared" si="0"/>
        <v>0</v>
      </c>
      <c r="K9" s="10"/>
      <c r="L9" s="11"/>
      <c r="M9" s="11"/>
      <c r="N9" s="11"/>
      <c r="O9" s="4"/>
      <c r="P9" s="4"/>
      <c r="Q9" s="4"/>
      <c r="R9" s="4"/>
      <c r="S9" s="11"/>
      <c r="T9" s="11"/>
      <c r="U9" s="4"/>
      <c r="V9" s="11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5.75" customHeight="1">
      <c r="A10" s="4">
        <v>7</v>
      </c>
      <c r="B10" s="11" t="s">
        <v>36</v>
      </c>
      <c r="C10" s="4">
        <f t="shared" si="1"/>
        <v>27</v>
      </c>
      <c r="D10" s="4">
        <f t="shared" si="2"/>
        <v>180</v>
      </c>
      <c r="E10" s="4">
        <v>1</v>
      </c>
      <c r="F10" s="4">
        <v>1</v>
      </c>
      <c r="G10" s="4">
        <f t="shared" si="4"/>
        <v>180</v>
      </c>
      <c r="H10" s="4">
        <f t="shared" si="9"/>
        <v>29</v>
      </c>
      <c r="I10" s="4">
        <f t="shared" si="3"/>
        <v>1</v>
      </c>
      <c r="J10" s="4"/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s="27" customFormat="1" ht="15.75" customHeight="1">
      <c r="A11" s="24">
        <v>8</v>
      </c>
      <c r="B11" s="25" t="s">
        <v>37</v>
      </c>
      <c r="C11" s="24">
        <f t="shared" si="1"/>
        <v>29</v>
      </c>
      <c r="D11" s="24">
        <f t="shared" si="2"/>
        <v>180</v>
      </c>
      <c r="E11" s="24">
        <v>1</v>
      </c>
      <c r="F11" s="24">
        <v>3</v>
      </c>
      <c r="G11" s="24">
        <v>272</v>
      </c>
      <c r="H11" s="24">
        <f t="shared" si="9"/>
        <v>27</v>
      </c>
      <c r="I11" s="24">
        <f t="shared" si="3"/>
        <v>1</v>
      </c>
      <c r="J11" s="24">
        <f t="shared" ref="J11:J23" si="10">IF(B11="pad", 0, IF(B11="pool", H11*H11*F11*F11, IF(OR(B11="conv",B11="fc"), I11*2*H11*H11*F11*F11*D11*G11,0)))</f>
        <v>642453120</v>
      </c>
      <c r="K11" s="26">
        <f>J11/SUM(J$4:J$23)*100</f>
        <v>29.457124503337219</v>
      </c>
      <c r="L11" s="24">
        <v>45</v>
      </c>
      <c r="M11" s="24">
        <v>136</v>
      </c>
      <c r="N11" s="24">
        <v>3</v>
      </c>
      <c r="O11" s="24">
        <f>G11/M11</f>
        <v>2</v>
      </c>
      <c r="P11" s="24">
        <f>F11*F11*D11*G11/(L11*M11)</f>
        <v>72</v>
      </c>
      <c r="Q11" s="24">
        <f>2*L11*M11*N11</f>
        <v>36720</v>
      </c>
      <c r="R11" s="24">
        <f>J11/(Q11*I11)</f>
        <v>17496</v>
      </c>
      <c r="S11" s="24">
        <f>F11*F11*D11</f>
        <v>1620</v>
      </c>
      <c r="T11" s="24">
        <f>G11</f>
        <v>272</v>
      </c>
      <c r="U11" s="24">
        <f>S11/L11</f>
        <v>36</v>
      </c>
      <c r="V11" s="24">
        <f>T11/M11</f>
        <v>2</v>
      </c>
      <c r="W11" s="22">
        <f t="shared" si="5"/>
        <v>11</v>
      </c>
      <c r="X11" s="22">
        <f t="shared" si="6"/>
        <v>4</v>
      </c>
      <c r="Y11" s="22">
        <f t="shared" si="7"/>
        <v>116</v>
      </c>
      <c r="Z11" s="22">
        <f t="shared" si="8"/>
        <v>2303</v>
      </c>
      <c r="AA11" s="22">
        <f>F11*F11*H11*H11</f>
        <v>6561</v>
      </c>
      <c r="AB11" s="22">
        <f>D11*F11*F11*G11</f>
        <v>440640</v>
      </c>
      <c r="AC11" s="22">
        <f>S11*T11*I11</f>
        <v>440640</v>
      </c>
      <c r="AD11" s="22">
        <v>2</v>
      </c>
      <c r="AE11" s="22">
        <v>1</v>
      </c>
      <c r="AF11" s="22">
        <f>1000000*$H$1/MAX(R11,Z11)</f>
        <v>7144.4901691815276</v>
      </c>
      <c r="AG11" s="22">
        <f>CEILING(AC11*AE11/18000,1) *M11</f>
        <v>3400</v>
      </c>
      <c r="AH11" s="22"/>
    </row>
    <row r="12" spans="1:34" ht="15.75" customHeight="1">
      <c r="A12" s="4">
        <v>9</v>
      </c>
      <c r="B12" s="11" t="s">
        <v>36</v>
      </c>
      <c r="C12" s="4">
        <f t="shared" si="1"/>
        <v>27</v>
      </c>
      <c r="D12" s="4">
        <f t="shared" si="2"/>
        <v>272</v>
      </c>
      <c r="E12" s="4">
        <v>1</v>
      </c>
      <c r="F12" s="4">
        <v>0.5</v>
      </c>
      <c r="G12" s="4">
        <f t="shared" si="4"/>
        <v>272</v>
      </c>
      <c r="H12" s="4">
        <f t="shared" si="9"/>
        <v>28</v>
      </c>
      <c r="I12" s="4">
        <f t="shared" si="3"/>
        <v>1</v>
      </c>
      <c r="J12" s="4">
        <f t="shared" si="10"/>
        <v>0</v>
      </c>
      <c r="K12" s="10"/>
      <c r="L12" s="11"/>
      <c r="M12" s="11"/>
      <c r="N12" s="11"/>
      <c r="O12" s="4"/>
      <c r="P12" s="4"/>
      <c r="Q12" s="4"/>
      <c r="R12" s="4"/>
      <c r="S12" s="11"/>
      <c r="T12" s="11"/>
      <c r="U12" s="4"/>
      <c r="V12" s="11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15.75" customHeight="1">
      <c r="A13" s="4">
        <v>10</v>
      </c>
      <c r="B13" s="11" t="s">
        <v>39</v>
      </c>
      <c r="C13" s="4">
        <f t="shared" si="1"/>
        <v>28</v>
      </c>
      <c r="D13" s="4">
        <f t="shared" si="2"/>
        <v>272</v>
      </c>
      <c r="E13" s="4">
        <v>2</v>
      </c>
      <c r="F13" s="4">
        <v>3</v>
      </c>
      <c r="G13" s="4">
        <f t="shared" si="4"/>
        <v>272</v>
      </c>
      <c r="H13" s="4">
        <f t="shared" si="9"/>
        <v>14</v>
      </c>
      <c r="I13" s="4">
        <f t="shared" si="3"/>
        <v>1</v>
      </c>
      <c r="J13" s="4">
        <f t="shared" si="10"/>
        <v>1764</v>
      </c>
      <c r="K13" s="10"/>
      <c r="L13" s="11"/>
      <c r="M13" s="11"/>
      <c r="N13" s="11"/>
      <c r="O13" s="4"/>
      <c r="P13" s="4"/>
      <c r="Q13" s="4"/>
      <c r="R13" s="4"/>
      <c r="S13" s="11"/>
      <c r="T13" s="11"/>
      <c r="U13" s="4"/>
      <c r="V13" s="11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15.75" customHeight="1">
      <c r="A14" s="4">
        <v>11</v>
      </c>
      <c r="B14" s="11" t="s">
        <v>38</v>
      </c>
      <c r="C14" s="4">
        <f t="shared" si="1"/>
        <v>14</v>
      </c>
      <c r="D14" s="4">
        <f t="shared" si="2"/>
        <v>272</v>
      </c>
      <c r="E14" s="4">
        <v>1</v>
      </c>
      <c r="F14" s="4">
        <v>1</v>
      </c>
      <c r="G14" s="4">
        <f t="shared" si="4"/>
        <v>136</v>
      </c>
      <c r="H14" s="4">
        <f t="shared" si="9"/>
        <v>14</v>
      </c>
      <c r="I14" s="4">
        <f t="shared" si="3"/>
        <v>1</v>
      </c>
      <c r="J14" s="4">
        <f t="shared" si="10"/>
        <v>0</v>
      </c>
      <c r="K14" s="10"/>
      <c r="L14" s="11"/>
      <c r="M14" s="11"/>
      <c r="N14" s="11"/>
      <c r="O14" s="4"/>
      <c r="P14" s="4"/>
      <c r="Q14" s="4"/>
      <c r="R14" s="4"/>
      <c r="S14" s="11"/>
      <c r="T14" s="11"/>
      <c r="U14" s="4"/>
      <c r="V14" s="11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16.5" customHeight="1">
      <c r="A15" s="4">
        <v>12</v>
      </c>
      <c r="B15" s="11" t="s">
        <v>36</v>
      </c>
      <c r="C15" s="4">
        <f t="shared" si="1"/>
        <v>14</v>
      </c>
      <c r="D15" s="4">
        <f t="shared" si="2"/>
        <v>136</v>
      </c>
      <c r="E15" s="4">
        <v>1</v>
      </c>
      <c r="F15" s="4">
        <v>1</v>
      </c>
      <c r="G15" s="4">
        <f t="shared" si="4"/>
        <v>136</v>
      </c>
      <c r="H15" s="4">
        <f t="shared" si="9"/>
        <v>16</v>
      </c>
      <c r="I15" s="4">
        <f t="shared" si="3"/>
        <v>2</v>
      </c>
      <c r="J15" s="4">
        <f t="shared" si="10"/>
        <v>0</v>
      </c>
      <c r="K15" s="10"/>
      <c r="L15" s="11"/>
      <c r="M15" s="11"/>
      <c r="N15" s="11"/>
      <c r="O15" s="4"/>
      <c r="P15" s="4"/>
      <c r="Q15" s="4"/>
      <c r="R15" s="4"/>
      <c r="S15" s="11"/>
      <c r="T15" s="11"/>
      <c r="U15" s="4"/>
      <c r="V15" s="1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s="27" customFormat="1" ht="15.75" customHeight="1">
      <c r="A16" s="24">
        <v>13</v>
      </c>
      <c r="B16" s="25" t="s">
        <v>37</v>
      </c>
      <c r="C16" s="24">
        <f t="shared" si="1"/>
        <v>16</v>
      </c>
      <c r="D16" s="24">
        <f t="shared" si="2"/>
        <v>136</v>
      </c>
      <c r="E16" s="24">
        <v>1</v>
      </c>
      <c r="F16" s="24">
        <v>3</v>
      </c>
      <c r="G16" s="24">
        <v>192</v>
      </c>
      <c r="H16" s="24">
        <f t="shared" si="9"/>
        <v>14</v>
      </c>
      <c r="I16" s="24">
        <f t="shared" si="3"/>
        <v>2</v>
      </c>
      <c r="J16" s="24">
        <f t="shared" si="10"/>
        <v>184246272</v>
      </c>
      <c r="K16" s="26">
        <f>J16/SUM(J$4:J$23)*100</f>
        <v>8.4478776810668048</v>
      </c>
      <c r="L16" s="24">
        <v>34</v>
      </c>
      <c r="M16" s="24">
        <v>64</v>
      </c>
      <c r="N16" s="24">
        <v>1</v>
      </c>
      <c r="O16" s="24">
        <f>G16/M16</f>
        <v>3</v>
      </c>
      <c r="P16" s="24">
        <f>F16*F16*D16*G16/(L16*M16)</f>
        <v>108</v>
      </c>
      <c r="Q16" s="24">
        <f>2*L16*M16*N16</f>
        <v>4352</v>
      </c>
      <c r="R16" s="24">
        <f>J16/(Q16*I16)</f>
        <v>21168</v>
      </c>
      <c r="S16" s="24">
        <f>F16*F16*D16</f>
        <v>1224</v>
      </c>
      <c r="T16" s="24">
        <f>G16</f>
        <v>192</v>
      </c>
      <c r="U16" s="24">
        <f>S16/L16</f>
        <v>36</v>
      </c>
      <c r="V16" s="24">
        <f>T16/M16</f>
        <v>3</v>
      </c>
      <c r="W16" s="22">
        <f t="shared" si="5"/>
        <v>3</v>
      </c>
      <c r="X16" s="22">
        <f t="shared" si="6"/>
        <v>4</v>
      </c>
      <c r="Y16" s="22">
        <f t="shared" si="7"/>
        <v>64</v>
      </c>
      <c r="Z16" s="22">
        <f t="shared" si="8"/>
        <v>1828</v>
      </c>
      <c r="AA16" s="22">
        <f>F16*F16*H16*H16</f>
        <v>1764</v>
      </c>
      <c r="AB16" s="22">
        <f>D16*F16*F16*G16</f>
        <v>235008</v>
      </c>
      <c r="AC16" s="22">
        <f>S16*T16*I16</f>
        <v>470016</v>
      </c>
      <c r="AD16" s="22">
        <v>2</v>
      </c>
      <c r="AE16" s="22">
        <v>1</v>
      </c>
      <c r="AF16" s="22">
        <f>1000000*$H$1/MAX(R16,Z16)</f>
        <v>5905.1398337112623</v>
      </c>
      <c r="AG16" s="22">
        <f>CEILING(AC16*AE16/18000,1) *M16</f>
        <v>1728</v>
      </c>
      <c r="AH16" s="22"/>
    </row>
    <row r="17" spans="1:34" ht="15.75" customHeight="1">
      <c r="A17" s="4">
        <v>14</v>
      </c>
      <c r="B17" s="11" t="s">
        <v>36</v>
      </c>
      <c r="C17" s="4">
        <f t="shared" si="1"/>
        <v>14</v>
      </c>
      <c r="D17" s="4">
        <f t="shared" si="2"/>
        <v>192</v>
      </c>
      <c r="E17" s="4">
        <v>1</v>
      </c>
      <c r="F17" s="4">
        <v>1</v>
      </c>
      <c r="G17" s="4">
        <f t="shared" si="4"/>
        <v>192</v>
      </c>
      <c r="H17" s="4">
        <f t="shared" si="9"/>
        <v>16</v>
      </c>
      <c r="I17" s="4">
        <f t="shared" si="3"/>
        <v>2</v>
      </c>
      <c r="J17" s="4">
        <f t="shared" si="10"/>
        <v>0</v>
      </c>
      <c r="K17" s="10"/>
      <c r="L17" s="11"/>
      <c r="M17" s="11"/>
      <c r="N17" s="11"/>
      <c r="O17" s="4"/>
      <c r="P17" s="4"/>
      <c r="Q17" s="4"/>
      <c r="R17" s="4"/>
      <c r="S17" s="11"/>
      <c r="T17" s="11"/>
      <c r="U17" s="4"/>
      <c r="V17" s="1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s="27" customFormat="1" ht="15.75" customHeight="1">
      <c r="A18" s="24">
        <v>15</v>
      </c>
      <c r="B18" s="25" t="s">
        <v>37</v>
      </c>
      <c r="C18" s="24">
        <f t="shared" si="1"/>
        <v>16</v>
      </c>
      <c r="D18" s="24">
        <f t="shared" si="2"/>
        <v>192</v>
      </c>
      <c r="E18" s="24">
        <v>1</v>
      </c>
      <c r="F18" s="24">
        <v>3</v>
      </c>
      <c r="G18" s="24">
        <v>128</v>
      </c>
      <c r="H18" s="24">
        <f t="shared" si="9"/>
        <v>14</v>
      </c>
      <c r="I18" s="24">
        <f t="shared" si="3"/>
        <v>2</v>
      </c>
      <c r="J18" s="24">
        <f t="shared" si="10"/>
        <v>173408256</v>
      </c>
      <c r="K18" s="26">
        <f>J18/SUM(J$4:J$23)*100</f>
        <v>7.9509436998275813</v>
      </c>
      <c r="L18" s="24">
        <v>64</v>
      </c>
      <c r="M18" s="24">
        <v>32</v>
      </c>
      <c r="N18" s="24">
        <v>1</v>
      </c>
      <c r="O18" s="24">
        <f>G18/M18</f>
        <v>4</v>
      </c>
      <c r="P18" s="24">
        <f>F18*F18*D18*G18/(L18*M18)</f>
        <v>108</v>
      </c>
      <c r="Q18" s="24">
        <f>2*L18*M18*N18</f>
        <v>4096</v>
      </c>
      <c r="R18" s="24">
        <f>J18/(Q18*I18)</f>
        <v>21168</v>
      </c>
      <c r="S18" s="24">
        <f>F18*F18*D18</f>
        <v>1728</v>
      </c>
      <c r="T18" s="24">
        <f>G18</f>
        <v>128</v>
      </c>
      <c r="U18" s="24">
        <f>S18/L18</f>
        <v>27</v>
      </c>
      <c r="V18" s="24">
        <f>T18/M18</f>
        <v>4</v>
      </c>
      <c r="W18" s="22">
        <f t="shared" si="5"/>
        <v>3</v>
      </c>
      <c r="X18" s="22">
        <f t="shared" si="6"/>
        <v>4</v>
      </c>
      <c r="Y18" s="22">
        <f t="shared" si="7"/>
        <v>64</v>
      </c>
      <c r="Z18" s="22">
        <f t="shared" si="8"/>
        <v>1828</v>
      </c>
      <c r="AA18" s="22">
        <f>F18*F18*H18*H18</f>
        <v>1764</v>
      </c>
      <c r="AB18" s="22">
        <f>D18*F18*F18*G18</f>
        <v>221184</v>
      </c>
      <c r="AC18" s="22">
        <f>S18*T18*I18</f>
        <v>442368</v>
      </c>
      <c r="AD18" s="22">
        <v>2</v>
      </c>
      <c r="AE18" s="22">
        <v>1</v>
      </c>
      <c r="AF18" s="22">
        <f>1000000*$H$1/MAX(R18,Z18)</f>
        <v>5905.1398337112623</v>
      </c>
      <c r="AG18" s="22">
        <f>CEILING(AC18*AE18/18000,1) *M18</f>
        <v>800</v>
      </c>
      <c r="AH18" s="22"/>
    </row>
    <row r="19" spans="1:34" ht="15.75" customHeight="1">
      <c r="A19" s="4">
        <v>16</v>
      </c>
      <c r="B19" s="11" t="s">
        <v>39</v>
      </c>
      <c r="C19" s="4">
        <f t="shared" si="1"/>
        <v>14</v>
      </c>
      <c r="D19" s="4">
        <f t="shared" si="2"/>
        <v>128</v>
      </c>
      <c r="E19" s="4">
        <v>2</v>
      </c>
      <c r="F19" s="4">
        <v>3</v>
      </c>
      <c r="G19" s="4">
        <f t="shared" si="4"/>
        <v>128</v>
      </c>
      <c r="H19" s="4">
        <v>6</v>
      </c>
      <c r="I19" s="4">
        <f t="shared" si="3"/>
        <v>2</v>
      </c>
      <c r="J19" s="4">
        <f t="shared" si="10"/>
        <v>324</v>
      </c>
      <c r="K19" s="10"/>
      <c r="L19" s="11"/>
      <c r="M19" s="11"/>
      <c r="N19" s="11"/>
      <c r="O19" s="4"/>
      <c r="P19" s="4"/>
      <c r="Q19" s="4"/>
      <c r="R19" s="4"/>
      <c r="S19" s="11"/>
      <c r="T19" s="11"/>
      <c r="U19" s="4"/>
      <c r="V19" s="11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15.75" customHeight="1">
      <c r="A20" s="4">
        <v>17</v>
      </c>
      <c r="B20" s="11" t="s">
        <v>40</v>
      </c>
      <c r="C20" s="4">
        <f t="shared" si="1"/>
        <v>6</v>
      </c>
      <c r="D20" s="4">
        <f t="shared" si="2"/>
        <v>128</v>
      </c>
      <c r="E20" s="4">
        <v>1</v>
      </c>
      <c r="F20" s="4">
        <v>1</v>
      </c>
      <c r="G20" s="4">
        <f t="shared" si="4"/>
        <v>256</v>
      </c>
      <c r="H20" s="4">
        <f>IF(B20="pad", C20+2*F20, IF(B20="pool", C20/E20, IF(OR(B20="conv",B20="fc"), (C20-F20+1)/E20,C20)))</f>
        <v>6</v>
      </c>
      <c r="I20" s="4">
        <f t="shared" si="3"/>
        <v>2</v>
      </c>
      <c r="J20" s="4">
        <f t="shared" si="10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15.75" customHeight="1">
      <c r="A21" s="4">
        <v>18</v>
      </c>
      <c r="B21" s="11" t="s">
        <v>41</v>
      </c>
      <c r="C21" s="4">
        <v>1</v>
      </c>
      <c r="D21" s="4">
        <f>G20*H20*H20</f>
        <v>9216</v>
      </c>
      <c r="E21" s="4">
        <v>1</v>
      </c>
      <c r="F21" s="4">
        <v>1</v>
      </c>
      <c r="G21" s="4">
        <v>4096</v>
      </c>
      <c r="H21" s="4">
        <v>1</v>
      </c>
      <c r="I21" s="4">
        <f t="shared" si="3"/>
        <v>1</v>
      </c>
      <c r="J21" s="4">
        <f t="shared" si="10"/>
        <v>75497472</v>
      </c>
      <c r="K21" s="10">
        <f>J21/SUM(J$4:J$23)*100</f>
        <v>3.4616353523058856</v>
      </c>
      <c r="L21" s="4">
        <v>64</v>
      </c>
      <c r="M21" s="4">
        <v>32</v>
      </c>
      <c r="N21" s="4">
        <v>1</v>
      </c>
      <c r="O21" s="4">
        <f>G21/M21</f>
        <v>128</v>
      </c>
      <c r="P21" s="4">
        <f>F21*F21*D21*G21/(L21*M21)</f>
        <v>18432</v>
      </c>
      <c r="Q21" s="4">
        <f>2*L21*M21*N21</f>
        <v>4096</v>
      </c>
      <c r="R21" s="4">
        <f>J21/(Q21*I21)</f>
        <v>18432</v>
      </c>
      <c r="S21" s="4">
        <f>F21*F21*D21</f>
        <v>9216</v>
      </c>
      <c r="T21" s="4">
        <f>G21</f>
        <v>4096</v>
      </c>
      <c r="U21" s="4">
        <f t="shared" ref="U21:V23" si="11">S21/L21</f>
        <v>144</v>
      </c>
      <c r="V21" s="4">
        <f t="shared" si="11"/>
        <v>128</v>
      </c>
      <c r="W21" s="22"/>
      <c r="X21" s="22"/>
      <c r="Y21" s="22"/>
      <c r="Z21" s="22"/>
      <c r="AA21" s="22"/>
      <c r="AB21" s="22">
        <f>D21*F21*F21*G21</f>
        <v>37748736</v>
      </c>
      <c r="AC21" s="22">
        <f>S21*T21</f>
        <v>37748736</v>
      </c>
      <c r="AD21" s="22">
        <v>2</v>
      </c>
      <c r="AE21" s="22">
        <v>1</v>
      </c>
      <c r="AF21" s="22">
        <f>1000000*$H$1/MAX(R21,Z21)</f>
        <v>6781.6840277777774</v>
      </c>
      <c r="AG21" s="22">
        <f>CEILING(AC21*AE21/18000,1) *M21</f>
        <v>67136</v>
      </c>
      <c r="AH21" s="22">
        <f>AC21*M$1*AE21*H21*H21/(1024*1024*1024)</f>
        <v>180.84490740740742</v>
      </c>
    </row>
    <row r="22" spans="1:34" ht="15.75" customHeight="1">
      <c r="A22" s="4">
        <v>19</v>
      </c>
      <c r="B22" s="11" t="s">
        <v>41</v>
      </c>
      <c r="C22" s="4">
        <f>H21</f>
        <v>1</v>
      </c>
      <c r="D22" s="4">
        <f>G21</f>
        <v>4096</v>
      </c>
      <c r="E22" s="4">
        <v>1</v>
      </c>
      <c r="F22" s="4">
        <v>1</v>
      </c>
      <c r="G22" s="4">
        <v>4096</v>
      </c>
      <c r="H22" s="4">
        <f>IF(B22="pad", C22+2*F22, IF(B22="pool", C22/E22, IF(OR(B22="conv",B22="fc"), (C22-F22+1)/E22,C22)))</f>
        <v>1</v>
      </c>
      <c r="I22" s="4">
        <f t="shared" si="3"/>
        <v>1</v>
      </c>
      <c r="J22" s="4">
        <f t="shared" si="10"/>
        <v>33554432</v>
      </c>
      <c r="K22" s="10">
        <f>J22/SUM(J$4:J$23)*100</f>
        <v>1.538504601024838</v>
      </c>
      <c r="L22" s="4">
        <v>64</v>
      </c>
      <c r="M22" s="4">
        <v>16</v>
      </c>
      <c r="N22" s="4">
        <v>1</v>
      </c>
      <c r="O22" s="4">
        <f>G22/M22</f>
        <v>256</v>
      </c>
      <c r="P22" s="4">
        <f>F22*F22*D22*G22/(L22*M22)</f>
        <v>16384</v>
      </c>
      <c r="Q22" s="4">
        <f>2*L22*M22*N22</f>
        <v>2048</v>
      </c>
      <c r="R22" s="4">
        <f>J22/(Q22*I22)</f>
        <v>16384</v>
      </c>
      <c r="S22" s="4">
        <f>F22*F22*D22</f>
        <v>4096</v>
      </c>
      <c r="T22" s="4">
        <f>G22</f>
        <v>4096</v>
      </c>
      <c r="U22" s="4">
        <f t="shared" si="11"/>
        <v>64</v>
      </c>
      <c r="V22" s="4">
        <f t="shared" si="11"/>
        <v>256</v>
      </c>
      <c r="W22" s="22"/>
      <c r="X22" s="22"/>
      <c r="Y22" s="22"/>
      <c r="Z22" s="22"/>
      <c r="AA22" s="22"/>
      <c r="AB22" s="22">
        <f>D22*F22*F22*G22</f>
        <v>16777216</v>
      </c>
      <c r="AC22" s="22">
        <f>S22*T22</f>
        <v>16777216</v>
      </c>
      <c r="AD22" s="22">
        <v>2</v>
      </c>
      <c r="AE22" s="22">
        <v>1</v>
      </c>
      <c r="AF22" s="22">
        <f>1000000*$H$1/MAX(R22,Z22)</f>
        <v>7629.39453125</v>
      </c>
      <c r="AG22" s="22">
        <f>CEILING(AC22*AE22/18000,1) *M22</f>
        <v>14928</v>
      </c>
      <c r="AH22" s="22">
        <f>AC22*M$1*AE22*H22*H22/(1024*1024*1024)</f>
        <v>80.375514403292186</v>
      </c>
    </row>
    <row r="23" spans="1:34" ht="15.75" customHeight="1">
      <c r="A23" s="4">
        <v>20</v>
      </c>
      <c r="B23" s="11" t="s">
        <v>41</v>
      </c>
      <c r="C23" s="4">
        <f>H22</f>
        <v>1</v>
      </c>
      <c r="D23" s="4">
        <f>G22</f>
        <v>4096</v>
      </c>
      <c r="E23" s="4">
        <v>1</v>
      </c>
      <c r="F23" s="4">
        <v>1</v>
      </c>
      <c r="G23" s="4">
        <v>1000</v>
      </c>
      <c r="H23" s="4">
        <f>IF(B23="pad", C23+2*F23, IF(B23="pool", C23/E23, IF(OR(B23="conv",B23="fc"), (C23-F23+1)/E23,C23)))</f>
        <v>1</v>
      </c>
      <c r="I23" s="4">
        <f t="shared" si="3"/>
        <v>1</v>
      </c>
      <c r="J23" s="4">
        <f t="shared" si="10"/>
        <v>8192000</v>
      </c>
      <c r="K23" s="10">
        <f>J23/SUM(J$4:J$23)*100</f>
        <v>0.37561147485957963</v>
      </c>
      <c r="L23" s="4">
        <v>8</v>
      </c>
      <c r="M23" s="4">
        <v>32</v>
      </c>
      <c r="N23" s="4">
        <v>1</v>
      </c>
      <c r="O23" s="4">
        <f>G23/M23</f>
        <v>31.25</v>
      </c>
      <c r="P23" s="4">
        <f>F23*F23*D23*G23/(L23*M23)</f>
        <v>16000</v>
      </c>
      <c r="Q23" s="4">
        <f>2*L23*M23*N23</f>
        <v>512</v>
      </c>
      <c r="R23" s="4">
        <f>J23/(Q23*I23)</f>
        <v>16000</v>
      </c>
      <c r="S23" s="4">
        <f>F23*F23*D23</f>
        <v>4096</v>
      </c>
      <c r="T23" s="4">
        <f>G23</f>
        <v>1000</v>
      </c>
      <c r="U23" s="4">
        <f t="shared" si="11"/>
        <v>512</v>
      </c>
      <c r="V23" s="4">
        <f t="shared" si="11"/>
        <v>31.25</v>
      </c>
      <c r="W23" s="22"/>
      <c r="X23" s="22"/>
      <c r="Y23" s="22"/>
      <c r="Z23" s="22"/>
      <c r="AA23" s="22"/>
      <c r="AB23" s="22">
        <f>D23*F23*F23*G23</f>
        <v>4096000</v>
      </c>
      <c r="AC23" s="22">
        <f>S23*T23</f>
        <v>4096000</v>
      </c>
      <c r="AD23" s="22">
        <v>2</v>
      </c>
      <c r="AE23" s="22">
        <v>4</v>
      </c>
      <c r="AF23" s="22">
        <f>1000000*$H$1/MAX(R23,Z23)</f>
        <v>7812.5</v>
      </c>
      <c r="AG23" s="22">
        <f>CEILING(AC23*AE23/18000,1) *M23</f>
        <v>29152</v>
      </c>
      <c r="AH23" s="22">
        <f>AC23*M$1*AE23*H23*H23/(1024*1024*1024)</f>
        <v>78.491713284465021</v>
      </c>
    </row>
    <row r="27" spans="1:34" ht="15.75" customHeight="1">
      <c r="J27" s="20">
        <f>2168/3874</f>
        <v>0.55962829117191537</v>
      </c>
    </row>
    <row r="28" spans="1:34" ht="15.75" customHeight="1">
      <c r="H28" s="12"/>
    </row>
    <row r="30" spans="1:34" ht="15.75" customHeight="1">
      <c r="E30" s="12"/>
    </row>
    <row r="31" spans="1:34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opLeftCell="U1" workbookViewId="0">
      <selection activeCell="W4" sqref="W4"/>
    </sheetView>
  </sheetViews>
  <sheetFormatPr defaultColWidth="14.42578125" defaultRowHeight="15.75" customHeight="1"/>
  <cols>
    <col min="1" max="1" width="8.7109375" style="20" customWidth="1"/>
    <col min="2" max="2" width="14.42578125" style="20"/>
    <col min="3" max="3" width="6.85546875" style="20" customWidth="1"/>
    <col min="4" max="4" width="11.42578125" style="20" customWidth="1"/>
    <col min="5" max="8" width="14.42578125" style="20"/>
    <col min="9" max="9" width="8.140625" style="20" bestFit="1" customWidth="1"/>
    <col min="10" max="10" width="24.42578125" style="20" customWidth="1"/>
    <col min="11" max="24" width="14.42578125" style="20"/>
    <col min="25" max="25" width="22.140625" style="20" customWidth="1"/>
    <col min="26" max="26" width="16.85546875" style="20" customWidth="1"/>
    <col min="27" max="27" width="16.28515625" style="20" customWidth="1"/>
    <col min="28" max="28" width="14.42578125" style="20" customWidth="1"/>
    <col min="29" max="31" width="16.42578125" style="20" customWidth="1"/>
    <col min="32" max="16384" width="14.42578125" style="20"/>
  </cols>
  <sheetData>
    <row r="1" spans="1:31" ht="15.75" customHeight="1">
      <c r="A1" s="19" t="s">
        <v>0</v>
      </c>
      <c r="B1" s="34" t="s">
        <v>1</v>
      </c>
      <c r="C1" s="35"/>
      <c r="D1" s="35"/>
      <c r="E1" s="35"/>
      <c r="F1" s="35"/>
      <c r="G1" s="19" t="s">
        <v>2</v>
      </c>
      <c r="H1" s="4">
        <v>180</v>
      </c>
      <c r="I1" s="19"/>
      <c r="J1" s="19" t="s">
        <v>3</v>
      </c>
      <c r="K1" s="4">
        <f>MAX(MAX(R4:R20),MAX(W8:W20))</f>
        <v>24300</v>
      </c>
      <c r="L1" s="19" t="s">
        <v>4</v>
      </c>
      <c r="M1" s="4">
        <f>1000000*H1/K1</f>
        <v>7407.4074074074078</v>
      </c>
      <c r="N1" s="11"/>
      <c r="O1" s="11"/>
      <c r="P1" s="11"/>
      <c r="Q1" s="11"/>
      <c r="R1" s="19" t="s">
        <v>5</v>
      </c>
      <c r="S1" s="4">
        <f>SUM(J3:J23)/(C3*C3*D3+G23*2)</f>
        <v>11332.012856655827</v>
      </c>
      <c r="T1" s="11"/>
      <c r="U1" s="11"/>
      <c r="V1" s="11"/>
      <c r="W1" s="11"/>
      <c r="X1" s="11"/>
      <c r="Y1" s="6"/>
      <c r="Z1" s="11"/>
      <c r="AA1" s="11"/>
      <c r="AB1" s="11"/>
    </row>
    <row r="2" spans="1:31" ht="15.75" customHeight="1">
      <c r="A2" s="19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19" t="s">
        <v>11</v>
      </c>
      <c r="G2" s="19" t="s">
        <v>12</v>
      </c>
      <c r="H2" s="19" t="s">
        <v>13</v>
      </c>
      <c r="I2" s="19" t="s">
        <v>14</v>
      </c>
      <c r="J2" s="19" t="str">
        <f>"ops, total: " &amp; SUM(J3:J113)/1000000 &amp;"M"</f>
        <v>ops, total: 1728.44925755963M</v>
      </c>
      <c r="K2" s="19" t="s">
        <v>15</v>
      </c>
      <c r="L2" s="19" t="s">
        <v>16</v>
      </c>
      <c r="M2" s="19" t="s">
        <v>17</v>
      </c>
      <c r="N2" s="19" t="s">
        <v>18</v>
      </c>
      <c r="O2" s="19" t="s">
        <v>19</v>
      </c>
      <c r="P2" s="19" t="s">
        <v>20</v>
      </c>
      <c r="Q2" s="19" t="s">
        <v>21</v>
      </c>
      <c r="R2" s="19" t="s">
        <v>22</v>
      </c>
      <c r="S2" s="19" t="s">
        <v>23</v>
      </c>
      <c r="T2" s="19" t="s">
        <v>24</v>
      </c>
      <c r="U2" s="19" t="s">
        <v>25</v>
      </c>
      <c r="V2" s="19" t="s">
        <v>26</v>
      </c>
      <c r="W2" s="19" t="s">
        <v>27</v>
      </c>
      <c r="X2" s="19" t="s">
        <v>28</v>
      </c>
      <c r="Y2" s="19" t="s">
        <v>29</v>
      </c>
      <c r="Z2" s="19" t="s">
        <v>30</v>
      </c>
      <c r="AA2" s="19" t="s">
        <v>31</v>
      </c>
      <c r="AB2" s="19" t="s">
        <v>32</v>
      </c>
      <c r="AC2" s="7" t="s">
        <v>33</v>
      </c>
      <c r="AD2" s="7" t="s">
        <v>34</v>
      </c>
      <c r="AE2" s="7" t="s">
        <v>35</v>
      </c>
    </row>
    <row r="3" spans="1:31" ht="15.75" customHeight="1">
      <c r="A3" s="4">
        <v>0</v>
      </c>
      <c r="B3" s="11" t="s">
        <v>36</v>
      </c>
      <c r="C3" s="4">
        <v>224</v>
      </c>
      <c r="D3" s="4">
        <v>3</v>
      </c>
      <c r="E3" s="4">
        <v>1</v>
      </c>
      <c r="F3" s="4">
        <v>1.5</v>
      </c>
      <c r="G3" s="4">
        <v>3</v>
      </c>
      <c r="H3" s="4">
        <f>IF(B3="pad", C3+2*F3, IF(B3="pool", C3/F3, IF(OR(B3="conv",B3="fc"), C3-F3+1,C3)))</f>
        <v>227</v>
      </c>
      <c r="I3" s="4">
        <v>1</v>
      </c>
      <c r="J3" s="4">
        <f t="shared" ref="J3:J9" si="0">IF(B3="pad", 0, IF(B3="pool", H3*H3*F3*F3, IF(OR(B3="conv",B3="fc"), I3*2*H3*H3*F3*F3*D3*G3,0)))</f>
        <v>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4">
        <v>1</v>
      </c>
      <c r="V3" s="11"/>
      <c r="W3" s="11"/>
      <c r="X3" s="11"/>
      <c r="Y3" s="11"/>
      <c r="Z3" s="11"/>
      <c r="AA3" s="11"/>
      <c r="AB3" s="11"/>
    </row>
    <row r="4" spans="1:31" s="27" customFormat="1" ht="15.75" customHeight="1">
      <c r="A4" s="24">
        <v>1</v>
      </c>
      <c r="B4" s="25" t="s">
        <v>37</v>
      </c>
      <c r="C4" s="24">
        <f t="shared" ref="C4:C20" si="1">H3</f>
        <v>227</v>
      </c>
      <c r="D4" s="24">
        <f t="shared" ref="D4:D20" si="2">G3</f>
        <v>3</v>
      </c>
      <c r="E4" s="24">
        <v>4</v>
      </c>
      <c r="F4" s="24">
        <v>12</v>
      </c>
      <c r="G4" s="24">
        <v>58</v>
      </c>
      <c r="H4" s="24">
        <f>IF(B4="pad", C4+2*F4, IF(B4="pool", C4/F4, IF(OR(B4="conv",B4="fc"), (C4-F4+1)/E4,C4)))</f>
        <v>54</v>
      </c>
      <c r="I4" s="24">
        <f t="shared" ref="I4:I23" si="3">IF(B3="merge", 1, IF(B3="split", 2, I3))</f>
        <v>1</v>
      </c>
      <c r="J4" s="24">
        <f t="shared" si="0"/>
        <v>146126592</v>
      </c>
      <c r="K4" s="26">
        <f>J4/SUM(J$4:J$23)*100</f>
        <v>8.4542020200017944</v>
      </c>
      <c r="L4" s="24">
        <v>3</v>
      </c>
      <c r="M4" s="24">
        <v>58</v>
      </c>
      <c r="N4" s="24">
        <v>18</v>
      </c>
      <c r="O4" s="24">
        <f>G4/M4</f>
        <v>1</v>
      </c>
      <c r="P4" s="24">
        <f>F4*F4*D4*G4/(L4*M4)</f>
        <v>144</v>
      </c>
      <c r="Q4" s="24">
        <f>2*L4*M4*N4</f>
        <v>6264</v>
      </c>
      <c r="R4" s="24">
        <f>J4/(Q4*I4)</f>
        <v>23328</v>
      </c>
      <c r="S4" s="24">
        <f>F4*F4*D4</f>
        <v>432</v>
      </c>
      <c r="T4" s="24">
        <f>G4</f>
        <v>58</v>
      </c>
      <c r="U4" s="24">
        <f>S4/L4</f>
        <v>144</v>
      </c>
      <c r="V4" s="24">
        <f>T4/M4</f>
        <v>1</v>
      </c>
      <c r="W4" s="24">
        <f>C4*C4+(F4*F4*H4*H4)/N4</f>
        <v>74857</v>
      </c>
      <c r="X4" s="24">
        <f>F4*F4*H4*H4/N4</f>
        <v>23328</v>
      </c>
      <c r="Y4" s="24">
        <f>D4*F4*F4*G4</f>
        <v>25056</v>
      </c>
      <c r="Z4" s="24">
        <f>S4*T4</f>
        <v>25056</v>
      </c>
      <c r="AA4" s="24">
        <v>8</v>
      </c>
      <c r="AB4" s="24">
        <v>4</v>
      </c>
      <c r="AC4" s="27">
        <f>1000000*$H$1/R4</f>
        <v>7716.049382716049</v>
      </c>
      <c r="AD4" s="27">
        <f>CEILING(Z4*AB4/18000,1) *M4</f>
        <v>348</v>
      </c>
    </row>
    <row r="5" spans="1:31" ht="15.75" customHeight="1">
      <c r="A5" s="4">
        <v>2</v>
      </c>
      <c r="B5" s="11" t="s">
        <v>38</v>
      </c>
      <c r="C5" s="4">
        <f t="shared" si="1"/>
        <v>54</v>
      </c>
      <c r="D5" s="4">
        <f t="shared" si="2"/>
        <v>58</v>
      </c>
      <c r="E5" s="4">
        <v>1</v>
      </c>
      <c r="F5" s="4">
        <v>1</v>
      </c>
      <c r="G5" s="4">
        <f>IF(B5="split", D5/2,IF(B5="merge",D5*2,D5))</f>
        <v>29</v>
      </c>
      <c r="H5" s="4">
        <f>IF(B5="pad", C5+2*F5, IF(B5="pool", C5/F5, IF(OR(B5="conv",B5="fc"), (C5-F5+1)/E5,C5)))</f>
        <v>54</v>
      </c>
      <c r="I5" s="4">
        <f t="shared" si="3"/>
        <v>1</v>
      </c>
      <c r="J5" s="4">
        <f t="shared" si="0"/>
        <v>0</v>
      </c>
      <c r="K5" s="10"/>
      <c r="L5" s="11"/>
      <c r="M5" s="11"/>
      <c r="N5" s="11"/>
      <c r="O5" s="4"/>
      <c r="P5" s="4"/>
      <c r="Q5" s="4"/>
      <c r="R5" s="4"/>
      <c r="S5" s="11"/>
      <c r="T5" s="11"/>
      <c r="U5" s="4"/>
      <c r="V5" s="11"/>
      <c r="W5" s="4"/>
      <c r="X5" s="11"/>
      <c r="Y5" s="11"/>
      <c r="Z5" s="11"/>
      <c r="AA5" s="11"/>
      <c r="AB5" s="11"/>
    </row>
    <row r="6" spans="1:31" ht="15.75" customHeight="1">
      <c r="A6" s="4">
        <v>3</v>
      </c>
      <c r="B6" s="11" t="s">
        <v>36</v>
      </c>
      <c r="C6" s="4">
        <f t="shared" si="1"/>
        <v>54</v>
      </c>
      <c r="D6" s="4">
        <f t="shared" si="2"/>
        <v>29</v>
      </c>
      <c r="E6" s="4">
        <v>1</v>
      </c>
      <c r="F6" s="4">
        <v>2</v>
      </c>
      <c r="G6" s="4">
        <f t="shared" ref="G6:G20" si="4">IF(B6="split", D6/2,IF(B6="merge",D6*2,D6))</f>
        <v>29</v>
      </c>
      <c r="H6" s="4">
        <f>IF(B6="pad", C6+2*F6, IF(B6="pool", C6/F6, IF(OR(B6="conv",B6="fc"), (C6-F6+1)/E6,C6)))</f>
        <v>58</v>
      </c>
      <c r="I6" s="4">
        <f t="shared" si="3"/>
        <v>2</v>
      </c>
      <c r="J6" s="4">
        <f t="shared" si="0"/>
        <v>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1" s="27" customFormat="1" ht="15.75" customHeight="1">
      <c r="A7" s="24">
        <v>4</v>
      </c>
      <c r="B7" s="25" t="s">
        <v>37</v>
      </c>
      <c r="C7" s="24">
        <f t="shared" si="1"/>
        <v>58</v>
      </c>
      <c r="D7" s="24">
        <f t="shared" si="2"/>
        <v>29</v>
      </c>
      <c r="E7" s="24">
        <v>1</v>
      </c>
      <c r="F7" s="24">
        <v>5</v>
      </c>
      <c r="G7" s="24">
        <v>78</v>
      </c>
      <c r="H7" s="24">
        <f>IF(B7="pad", C7+2*F7, IF(B7="pool", C7/F7, IF(OR(B7="conv",B7="fc"), (C7-F7+1)/E7,C7)))</f>
        <v>54</v>
      </c>
      <c r="I7" s="24">
        <f t="shared" si="3"/>
        <v>2</v>
      </c>
      <c r="J7" s="24">
        <f t="shared" si="0"/>
        <v>659599200</v>
      </c>
      <c r="K7" s="26">
        <f>J7/SUM(J$4:J$23)*100</f>
        <v>38.161328562508096</v>
      </c>
      <c r="L7" s="24">
        <v>29</v>
      </c>
      <c r="M7" s="24">
        <v>78</v>
      </c>
      <c r="N7" s="24">
        <v>3</v>
      </c>
      <c r="O7" s="24">
        <f>G7/M7</f>
        <v>1</v>
      </c>
      <c r="P7" s="24">
        <f>F7*F7*D7*G7/(L7*M7)</f>
        <v>25</v>
      </c>
      <c r="Q7" s="24">
        <f>2*L7*M7*N7</f>
        <v>13572</v>
      </c>
      <c r="R7" s="24">
        <f>J7/(Q7*I7)</f>
        <v>24300</v>
      </c>
      <c r="S7" s="24">
        <f>F7*F7*D7</f>
        <v>725</v>
      </c>
      <c r="T7" s="24">
        <f>G7</f>
        <v>78</v>
      </c>
      <c r="U7" s="24">
        <f>S7/L7</f>
        <v>25</v>
      </c>
      <c r="V7" s="24">
        <f>T7/M7</f>
        <v>1</v>
      </c>
      <c r="W7" s="24">
        <f>C7*C7+(F7*F7*H7*H7)/N7</f>
        <v>27664</v>
      </c>
      <c r="X7" s="24">
        <f>F7*F7*H7*H7</f>
        <v>72900</v>
      </c>
      <c r="Y7" s="24">
        <f>D7*F7*F7*G7</f>
        <v>56550</v>
      </c>
      <c r="Z7" s="24">
        <f>S7*T7*I7</f>
        <v>113100</v>
      </c>
      <c r="AA7" s="24">
        <v>2</v>
      </c>
      <c r="AB7" s="24">
        <v>1</v>
      </c>
      <c r="AC7" s="27">
        <f>1000000*$H$1/MAX(R7,W7)</f>
        <v>6506.6512434933484</v>
      </c>
      <c r="AD7" s="27">
        <f>CEILING(Z7*AB7/18000,1) *M7</f>
        <v>546</v>
      </c>
    </row>
    <row r="8" spans="1:31" ht="15.75" customHeight="1">
      <c r="A8" s="4">
        <v>5</v>
      </c>
      <c r="B8" s="11" t="s">
        <v>39</v>
      </c>
      <c r="C8" s="4">
        <f t="shared" si="1"/>
        <v>54</v>
      </c>
      <c r="D8" s="4">
        <f t="shared" si="2"/>
        <v>78</v>
      </c>
      <c r="E8" s="4">
        <v>2</v>
      </c>
      <c r="F8" s="4">
        <v>3</v>
      </c>
      <c r="G8" s="4">
        <f t="shared" si="4"/>
        <v>78</v>
      </c>
      <c r="H8" s="4">
        <f t="shared" ref="H8:H18" si="5">IF(B8="pad", C8+2*F8, IF(B8="pool", C8/E8, IF(OR(B8="conv",B8="fc"), (C8-F8+1)/E8,C8)))</f>
        <v>27</v>
      </c>
      <c r="I8" s="4">
        <f t="shared" si="3"/>
        <v>2</v>
      </c>
      <c r="J8" s="4">
        <f t="shared" si="0"/>
        <v>6561</v>
      </c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1"/>
      <c r="Y8" s="11"/>
      <c r="Z8" s="4"/>
      <c r="AA8" s="11"/>
      <c r="AB8" s="11"/>
    </row>
    <row r="9" spans="1:31" ht="15.75" customHeight="1">
      <c r="A9" s="4">
        <v>6</v>
      </c>
      <c r="B9" s="11" t="s">
        <v>40</v>
      </c>
      <c r="C9" s="4">
        <f t="shared" si="1"/>
        <v>27</v>
      </c>
      <c r="D9" s="4">
        <f t="shared" si="2"/>
        <v>78</v>
      </c>
      <c r="E9" s="4">
        <v>1</v>
      </c>
      <c r="F9" s="4">
        <v>1</v>
      </c>
      <c r="G9" s="4">
        <f t="shared" si="4"/>
        <v>156</v>
      </c>
      <c r="H9" s="4">
        <f t="shared" si="5"/>
        <v>27</v>
      </c>
      <c r="I9" s="4">
        <f t="shared" si="3"/>
        <v>2</v>
      </c>
      <c r="J9" s="4">
        <f t="shared" si="0"/>
        <v>0</v>
      </c>
      <c r="K9" s="10"/>
      <c r="L9" s="11"/>
      <c r="M9" s="11"/>
      <c r="N9" s="11"/>
      <c r="O9" s="4"/>
      <c r="P9" s="4"/>
      <c r="Q9" s="4"/>
      <c r="R9" s="4"/>
      <c r="S9" s="11"/>
      <c r="T9" s="11"/>
      <c r="U9" s="4"/>
      <c r="V9" s="11"/>
      <c r="W9" s="4"/>
      <c r="X9" s="11"/>
      <c r="Y9" s="11"/>
      <c r="Z9" s="4"/>
      <c r="AA9" s="11"/>
      <c r="AB9" s="11"/>
    </row>
    <row r="10" spans="1:31" ht="15.75" customHeight="1">
      <c r="A10" s="4">
        <v>7</v>
      </c>
      <c r="B10" s="11" t="s">
        <v>36</v>
      </c>
      <c r="C10" s="4">
        <f t="shared" si="1"/>
        <v>27</v>
      </c>
      <c r="D10" s="4">
        <f t="shared" si="2"/>
        <v>156</v>
      </c>
      <c r="E10" s="4">
        <v>1</v>
      </c>
      <c r="F10" s="4">
        <v>1</v>
      </c>
      <c r="G10" s="4">
        <f t="shared" si="4"/>
        <v>156</v>
      </c>
      <c r="H10" s="4">
        <f t="shared" si="5"/>
        <v>29</v>
      </c>
      <c r="I10" s="4">
        <f t="shared" si="3"/>
        <v>1</v>
      </c>
      <c r="J10" s="4"/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31" s="27" customFormat="1" ht="15.75" customHeight="1">
      <c r="A11" s="24">
        <v>8</v>
      </c>
      <c r="B11" s="25" t="s">
        <v>37</v>
      </c>
      <c r="C11" s="24">
        <f t="shared" si="1"/>
        <v>29</v>
      </c>
      <c r="D11" s="24">
        <f t="shared" si="2"/>
        <v>156</v>
      </c>
      <c r="E11" s="24">
        <v>1</v>
      </c>
      <c r="F11" s="24">
        <v>3</v>
      </c>
      <c r="G11" s="24">
        <v>232</v>
      </c>
      <c r="H11" s="24">
        <f t="shared" si="5"/>
        <v>27</v>
      </c>
      <c r="I11" s="24">
        <f t="shared" si="3"/>
        <v>1</v>
      </c>
      <c r="J11" s="24">
        <f t="shared" ref="J11:J23" si="6">IF(B11="pad", 0, IF(B11="pool", H11*H11*F11*F11, IF(OR(B11="conv",B11="fc"), I11*2*H11*H11*F11*F11*D11*G11,0)))</f>
        <v>474911424</v>
      </c>
      <c r="K11" s="26">
        <f>J11/SUM(J$4:J$23)*100</f>
        <v>27.476156565005834</v>
      </c>
      <c r="L11" s="24">
        <v>78</v>
      </c>
      <c r="M11" s="24">
        <v>58</v>
      </c>
      <c r="N11" s="24">
        <v>3</v>
      </c>
      <c r="O11" s="24">
        <f>G11/M11</f>
        <v>4</v>
      </c>
      <c r="P11" s="24">
        <f>F11*F11*D11*G11/(L11*M11)</f>
        <v>72</v>
      </c>
      <c r="Q11" s="24">
        <f>2*L11*M11*N11</f>
        <v>27144</v>
      </c>
      <c r="R11" s="24">
        <f>J11/(Q11*I11)</f>
        <v>17496</v>
      </c>
      <c r="S11" s="24">
        <f>F11*F11*D11</f>
        <v>1404</v>
      </c>
      <c r="T11" s="24">
        <f>G11</f>
        <v>232</v>
      </c>
      <c r="U11" s="24">
        <f>S11/L11</f>
        <v>18</v>
      </c>
      <c r="V11" s="24">
        <f>T11/M11</f>
        <v>4</v>
      </c>
      <c r="W11" s="24">
        <f>C11*C11+(F11*F11*H11*H11)/N11</f>
        <v>3028</v>
      </c>
      <c r="X11" s="24">
        <f>F11*F11*H11*H11</f>
        <v>6561</v>
      </c>
      <c r="Y11" s="24">
        <f>D11*F11*F11*G11</f>
        <v>325728</v>
      </c>
      <c r="Z11" s="24">
        <f>S11*T11*I11</f>
        <v>325728</v>
      </c>
      <c r="AA11" s="24">
        <v>2</v>
      </c>
      <c r="AB11" s="24">
        <v>1</v>
      </c>
      <c r="AC11" s="27">
        <f>1000000*$H$1/MAX(R11,W11)</f>
        <v>10288.0658436214</v>
      </c>
      <c r="AD11" s="27">
        <f>CEILING(Z11*AB11/18000,1) *M11</f>
        <v>1102</v>
      </c>
    </row>
    <row r="12" spans="1:31" ht="15.75" customHeight="1">
      <c r="A12" s="4">
        <v>9</v>
      </c>
      <c r="B12" s="11" t="s">
        <v>36</v>
      </c>
      <c r="C12" s="4">
        <f t="shared" si="1"/>
        <v>27</v>
      </c>
      <c r="D12" s="4">
        <f t="shared" si="2"/>
        <v>232</v>
      </c>
      <c r="E12" s="4">
        <v>1</v>
      </c>
      <c r="F12" s="4">
        <v>0.5</v>
      </c>
      <c r="G12" s="4">
        <f t="shared" si="4"/>
        <v>232</v>
      </c>
      <c r="H12" s="4">
        <f t="shared" si="5"/>
        <v>28</v>
      </c>
      <c r="I12" s="4">
        <f t="shared" si="3"/>
        <v>1</v>
      </c>
      <c r="J12" s="4">
        <f t="shared" si="6"/>
        <v>0</v>
      </c>
      <c r="K12" s="10"/>
      <c r="L12" s="11"/>
      <c r="M12" s="11"/>
      <c r="N12" s="11"/>
      <c r="O12" s="4"/>
      <c r="P12" s="4"/>
      <c r="Q12" s="4"/>
      <c r="R12" s="4"/>
      <c r="S12" s="11"/>
      <c r="T12" s="11"/>
      <c r="U12" s="4"/>
      <c r="V12" s="11"/>
      <c r="W12" s="4"/>
      <c r="X12" s="11"/>
      <c r="Y12" s="11"/>
      <c r="Z12" s="4"/>
      <c r="AA12" s="11"/>
      <c r="AB12" s="11"/>
    </row>
    <row r="13" spans="1:31" ht="15.75" customHeight="1">
      <c r="A13" s="4">
        <v>10</v>
      </c>
      <c r="B13" s="11" t="s">
        <v>39</v>
      </c>
      <c r="C13" s="4">
        <f t="shared" si="1"/>
        <v>28</v>
      </c>
      <c r="D13" s="4">
        <f t="shared" si="2"/>
        <v>232</v>
      </c>
      <c r="E13" s="4">
        <v>2</v>
      </c>
      <c r="F13" s="4">
        <v>3</v>
      </c>
      <c r="G13" s="4">
        <f t="shared" si="4"/>
        <v>232</v>
      </c>
      <c r="H13" s="4">
        <f t="shared" si="5"/>
        <v>14</v>
      </c>
      <c r="I13" s="4">
        <f t="shared" si="3"/>
        <v>1</v>
      </c>
      <c r="J13" s="4">
        <f t="shared" si="6"/>
        <v>1764</v>
      </c>
      <c r="K13" s="10"/>
      <c r="L13" s="11"/>
      <c r="M13" s="11"/>
      <c r="N13" s="11"/>
      <c r="O13" s="4"/>
      <c r="P13" s="4"/>
      <c r="Q13" s="4"/>
      <c r="R13" s="4"/>
      <c r="S13" s="11"/>
      <c r="T13" s="11"/>
      <c r="U13" s="4"/>
      <c r="V13" s="11"/>
      <c r="W13" s="4"/>
      <c r="X13" s="11"/>
      <c r="Y13" s="11"/>
      <c r="Z13" s="4"/>
      <c r="AA13" s="11"/>
      <c r="AB13" s="11"/>
    </row>
    <row r="14" spans="1:31" ht="15.75" customHeight="1">
      <c r="A14" s="4">
        <v>11</v>
      </c>
      <c r="B14" s="11" t="s">
        <v>38</v>
      </c>
      <c r="C14" s="4">
        <f t="shared" si="1"/>
        <v>14</v>
      </c>
      <c r="D14" s="4">
        <f t="shared" si="2"/>
        <v>232</v>
      </c>
      <c r="E14" s="4">
        <v>1</v>
      </c>
      <c r="F14" s="4">
        <v>1</v>
      </c>
      <c r="G14" s="4">
        <f t="shared" si="4"/>
        <v>116</v>
      </c>
      <c r="H14" s="4">
        <f t="shared" si="5"/>
        <v>14</v>
      </c>
      <c r="I14" s="4">
        <f t="shared" si="3"/>
        <v>1</v>
      </c>
      <c r="J14" s="4">
        <f t="shared" si="6"/>
        <v>0</v>
      </c>
      <c r="K14" s="10"/>
      <c r="L14" s="11"/>
      <c r="M14" s="11"/>
      <c r="N14" s="11"/>
      <c r="O14" s="4"/>
      <c r="P14" s="4"/>
      <c r="Q14" s="4"/>
      <c r="R14" s="4"/>
      <c r="S14" s="11"/>
      <c r="T14" s="11"/>
      <c r="U14" s="4"/>
      <c r="V14" s="11"/>
      <c r="W14" s="4"/>
      <c r="X14" s="11"/>
      <c r="Y14" s="11"/>
      <c r="Z14" s="4"/>
      <c r="AA14" s="11"/>
      <c r="AB14" s="11"/>
    </row>
    <row r="15" spans="1:31" ht="16.5" customHeight="1">
      <c r="A15" s="4">
        <v>12</v>
      </c>
      <c r="B15" s="11" t="s">
        <v>36</v>
      </c>
      <c r="C15" s="4">
        <f t="shared" si="1"/>
        <v>14</v>
      </c>
      <c r="D15" s="4">
        <f t="shared" si="2"/>
        <v>116</v>
      </c>
      <c r="E15" s="4">
        <v>1</v>
      </c>
      <c r="F15" s="4">
        <v>1</v>
      </c>
      <c r="G15" s="4">
        <f t="shared" si="4"/>
        <v>116</v>
      </c>
      <c r="H15" s="4">
        <f t="shared" si="5"/>
        <v>16</v>
      </c>
      <c r="I15" s="4">
        <f t="shared" si="3"/>
        <v>2</v>
      </c>
      <c r="J15" s="4">
        <f t="shared" si="6"/>
        <v>0</v>
      </c>
      <c r="K15" s="10"/>
      <c r="L15" s="11"/>
      <c r="M15" s="11"/>
      <c r="N15" s="11"/>
      <c r="O15" s="4"/>
      <c r="P15" s="4"/>
      <c r="Q15" s="4"/>
      <c r="R15" s="4"/>
      <c r="S15" s="11"/>
      <c r="T15" s="11"/>
      <c r="U15" s="4"/>
      <c r="V15" s="11"/>
      <c r="W15" s="4"/>
      <c r="X15" s="11"/>
      <c r="Y15" s="11"/>
      <c r="Z15" s="4"/>
      <c r="AA15" s="11"/>
      <c r="AB15" s="11"/>
    </row>
    <row r="16" spans="1:31" s="27" customFormat="1" ht="15.75" customHeight="1">
      <c r="A16" s="24">
        <v>13</v>
      </c>
      <c r="B16" s="25" t="s">
        <v>37</v>
      </c>
      <c r="C16" s="24">
        <f t="shared" si="1"/>
        <v>16</v>
      </c>
      <c r="D16" s="24">
        <f t="shared" si="2"/>
        <v>116</v>
      </c>
      <c r="E16" s="24">
        <v>1</v>
      </c>
      <c r="F16" s="24">
        <v>3</v>
      </c>
      <c r="G16" s="24">
        <v>192</v>
      </c>
      <c r="H16" s="24">
        <f t="shared" si="5"/>
        <v>14</v>
      </c>
      <c r="I16" s="24">
        <f t="shared" si="3"/>
        <v>2</v>
      </c>
      <c r="J16" s="24">
        <f t="shared" si="6"/>
        <v>157151232</v>
      </c>
      <c r="K16" s="26">
        <f>J16/SUM(J$4:J$23)*100</f>
        <v>9.0920361916068675</v>
      </c>
      <c r="L16" s="24">
        <v>29</v>
      </c>
      <c r="M16" s="24">
        <v>64</v>
      </c>
      <c r="N16" s="24">
        <v>1</v>
      </c>
      <c r="O16" s="24">
        <f>G16/M16</f>
        <v>3</v>
      </c>
      <c r="P16" s="24">
        <f>F16*F16*D16*G16/(L16*M16)</f>
        <v>108</v>
      </c>
      <c r="Q16" s="24">
        <f>2*L16*M16*N16</f>
        <v>3712</v>
      </c>
      <c r="R16" s="24">
        <f>J16/(Q16*I16)</f>
        <v>21168</v>
      </c>
      <c r="S16" s="24">
        <f>F16*F16*D16</f>
        <v>1044</v>
      </c>
      <c r="T16" s="24">
        <f>G16</f>
        <v>192</v>
      </c>
      <c r="U16" s="24">
        <f>S16/L16</f>
        <v>36</v>
      </c>
      <c r="V16" s="24">
        <f>T16/M16</f>
        <v>3</v>
      </c>
      <c r="W16" s="24">
        <f>C16*C16+(F16*F16*H16*H16)/N16</f>
        <v>2020</v>
      </c>
      <c r="X16" s="24">
        <f>F16*F16*H16*H16</f>
        <v>1764</v>
      </c>
      <c r="Y16" s="24">
        <f>D16*F16*F16*G16</f>
        <v>200448</v>
      </c>
      <c r="Z16" s="24">
        <f>S16*T16*I16</f>
        <v>400896</v>
      </c>
      <c r="AA16" s="24">
        <v>2</v>
      </c>
      <c r="AB16" s="24">
        <v>1</v>
      </c>
      <c r="AC16" s="27">
        <f>1000000*$H$1/MAX(R16,W16)</f>
        <v>8503.4013605442178</v>
      </c>
      <c r="AD16" s="27">
        <f>CEILING(Z16*AB16/18000,1) *M16</f>
        <v>1472</v>
      </c>
    </row>
    <row r="17" spans="1:31" ht="15.75" customHeight="1">
      <c r="A17" s="4">
        <v>14</v>
      </c>
      <c r="B17" s="11" t="s">
        <v>36</v>
      </c>
      <c r="C17" s="4">
        <f t="shared" si="1"/>
        <v>14</v>
      </c>
      <c r="D17" s="4">
        <f t="shared" si="2"/>
        <v>192</v>
      </c>
      <c r="E17" s="4">
        <v>1</v>
      </c>
      <c r="F17" s="4">
        <v>1</v>
      </c>
      <c r="G17" s="4">
        <f t="shared" si="4"/>
        <v>192</v>
      </c>
      <c r="H17" s="4">
        <f t="shared" si="5"/>
        <v>16</v>
      </c>
      <c r="I17" s="4">
        <f t="shared" si="3"/>
        <v>2</v>
      </c>
      <c r="J17" s="4">
        <f t="shared" si="6"/>
        <v>0</v>
      </c>
      <c r="K17" s="10"/>
      <c r="L17" s="11"/>
      <c r="M17" s="11"/>
      <c r="N17" s="11"/>
      <c r="O17" s="4"/>
      <c r="P17" s="4"/>
      <c r="Q17" s="4"/>
      <c r="R17" s="4"/>
      <c r="S17" s="11"/>
      <c r="T17" s="11"/>
      <c r="U17" s="4"/>
      <c r="V17" s="11"/>
      <c r="W17" s="4"/>
      <c r="X17" s="11"/>
      <c r="Y17" s="11"/>
      <c r="Z17" s="4"/>
      <c r="AA17" s="11"/>
      <c r="AB17" s="11"/>
    </row>
    <row r="18" spans="1:31" s="27" customFormat="1" ht="15.75" customHeight="1">
      <c r="A18" s="24">
        <v>15</v>
      </c>
      <c r="B18" s="25" t="s">
        <v>37</v>
      </c>
      <c r="C18" s="24">
        <f t="shared" si="1"/>
        <v>16</v>
      </c>
      <c r="D18" s="24">
        <f t="shared" si="2"/>
        <v>192</v>
      </c>
      <c r="E18" s="24">
        <v>1</v>
      </c>
      <c r="F18" s="24">
        <v>3</v>
      </c>
      <c r="G18" s="24">
        <v>128</v>
      </c>
      <c r="H18" s="24">
        <f t="shared" si="5"/>
        <v>14</v>
      </c>
      <c r="I18" s="24">
        <f t="shared" si="3"/>
        <v>2</v>
      </c>
      <c r="J18" s="24">
        <f t="shared" si="6"/>
        <v>173408256</v>
      </c>
      <c r="K18" s="26">
        <f>J18/SUM(J$4:J$23)*100</f>
        <v>10.03259165970413</v>
      </c>
      <c r="L18" s="24">
        <v>64</v>
      </c>
      <c r="M18" s="24">
        <v>32</v>
      </c>
      <c r="N18" s="24">
        <v>1</v>
      </c>
      <c r="O18" s="24">
        <f>G18/M18</f>
        <v>4</v>
      </c>
      <c r="P18" s="24">
        <f>F18*F18*D18*G18/(L18*M18)</f>
        <v>108</v>
      </c>
      <c r="Q18" s="24">
        <f>2*L18*M18*N18</f>
        <v>4096</v>
      </c>
      <c r="R18" s="24">
        <f>J18/(Q18*I18)</f>
        <v>21168</v>
      </c>
      <c r="S18" s="24">
        <f>F18*F18*D18</f>
        <v>1728</v>
      </c>
      <c r="T18" s="24">
        <f>G18</f>
        <v>128</v>
      </c>
      <c r="U18" s="24">
        <f>S18/L18</f>
        <v>27</v>
      </c>
      <c r="V18" s="24">
        <f>T18/M18</f>
        <v>4</v>
      </c>
      <c r="W18" s="24">
        <f>C18*C18+(F18*F18*H18*H18)/N18</f>
        <v>2020</v>
      </c>
      <c r="X18" s="24">
        <f>F18*F18*H18*H18</f>
        <v>1764</v>
      </c>
      <c r="Y18" s="24">
        <f>D18*F18*F18*G18</f>
        <v>221184</v>
      </c>
      <c r="Z18" s="24">
        <f>S18*T18*I18</f>
        <v>442368</v>
      </c>
      <c r="AA18" s="24">
        <v>2</v>
      </c>
      <c r="AB18" s="24">
        <v>1</v>
      </c>
      <c r="AC18" s="27">
        <f>1000000*$H$1/MAX(R18,W18)</f>
        <v>8503.4013605442178</v>
      </c>
      <c r="AD18" s="27">
        <f>CEILING(Z18*AB18/18000,1) *M18</f>
        <v>800</v>
      </c>
    </row>
    <row r="19" spans="1:31" ht="15.75" customHeight="1">
      <c r="A19" s="4">
        <v>16</v>
      </c>
      <c r="B19" s="11" t="s">
        <v>39</v>
      </c>
      <c r="C19" s="4">
        <f t="shared" si="1"/>
        <v>14</v>
      </c>
      <c r="D19" s="4">
        <f t="shared" si="2"/>
        <v>128</v>
      </c>
      <c r="E19" s="4">
        <v>2</v>
      </c>
      <c r="F19" s="4">
        <v>3</v>
      </c>
      <c r="G19" s="4">
        <f t="shared" si="4"/>
        <v>128</v>
      </c>
      <c r="H19" s="4">
        <v>6</v>
      </c>
      <c r="I19" s="4">
        <f t="shared" si="3"/>
        <v>2</v>
      </c>
      <c r="J19" s="4">
        <f t="shared" si="6"/>
        <v>324</v>
      </c>
      <c r="K19" s="10"/>
      <c r="L19" s="11"/>
      <c r="M19" s="11"/>
      <c r="N19" s="11"/>
      <c r="O19" s="4"/>
      <c r="P19" s="4"/>
      <c r="Q19" s="4"/>
      <c r="R19" s="4"/>
      <c r="S19" s="11"/>
      <c r="T19" s="11"/>
      <c r="U19" s="4"/>
      <c r="V19" s="11"/>
      <c r="W19" s="11"/>
      <c r="X19" s="11"/>
      <c r="Y19" s="11"/>
      <c r="Z19" s="11"/>
      <c r="AA19" s="11"/>
      <c r="AB19" s="11"/>
    </row>
    <row r="20" spans="1:31" ht="15.75" customHeight="1">
      <c r="A20" s="4">
        <v>17</v>
      </c>
      <c r="B20" s="11" t="s">
        <v>40</v>
      </c>
      <c r="C20" s="4">
        <f t="shared" si="1"/>
        <v>6</v>
      </c>
      <c r="D20" s="4">
        <f t="shared" si="2"/>
        <v>128</v>
      </c>
      <c r="E20" s="4">
        <v>1</v>
      </c>
      <c r="F20" s="4">
        <v>1</v>
      </c>
      <c r="G20" s="4">
        <f t="shared" si="4"/>
        <v>256</v>
      </c>
      <c r="H20" s="4">
        <f>IF(B20="pad", C20+2*F20, IF(B20="pool", C20/E20, IF(OR(B20="conv",B20="fc"), (C20-F20+1)/E20,C20)))</f>
        <v>6</v>
      </c>
      <c r="I20" s="4">
        <f t="shared" si="3"/>
        <v>2</v>
      </c>
      <c r="J20" s="4">
        <f t="shared" si="6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1"/>
      <c r="X20" s="11"/>
      <c r="Y20" s="4"/>
      <c r="Z20" s="4"/>
      <c r="AA20" s="4"/>
      <c r="AB20" s="4"/>
    </row>
    <row r="21" spans="1:31" ht="15.75" customHeight="1">
      <c r="A21" s="4">
        <v>18</v>
      </c>
      <c r="B21" s="11" t="s">
        <v>41</v>
      </c>
      <c r="C21" s="4">
        <v>1</v>
      </c>
      <c r="D21" s="4">
        <f>G20*H20*H20</f>
        <v>9216</v>
      </c>
      <c r="E21" s="4">
        <v>1</v>
      </c>
      <c r="F21" s="4">
        <v>1</v>
      </c>
      <c r="G21" s="4">
        <v>4096</v>
      </c>
      <c r="H21" s="4">
        <v>1</v>
      </c>
      <c r="I21" s="4">
        <f t="shared" si="3"/>
        <v>1</v>
      </c>
      <c r="J21" s="4">
        <f t="shared" si="6"/>
        <v>75497472</v>
      </c>
      <c r="K21" s="10">
        <f>J21/SUM(J$4:J$23)*100</f>
        <v>4.3679310627283288</v>
      </c>
      <c r="L21" s="4">
        <v>64</v>
      </c>
      <c r="M21" s="4">
        <v>32</v>
      </c>
      <c r="N21" s="4">
        <v>1</v>
      </c>
      <c r="O21" s="4">
        <f>G21/M21</f>
        <v>128</v>
      </c>
      <c r="P21" s="4">
        <f>F21*F21*D21*G21/(L21*M21)</f>
        <v>18432</v>
      </c>
      <c r="Q21" s="4">
        <f>2*L21*M21*N21</f>
        <v>4096</v>
      </c>
      <c r="R21" s="4">
        <f>J21/(Q21*I21)</f>
        <v>18432</v>
      </c>
      <c r="S21" s="4">
        <f>F21*F21*D21</f>
        <v>9216</v>
      </c>
      <c r="T21" s="4">
        <f>G21</f>
        <v>4096</v>
      </c>
      <c r="U21" s="4">
        <f t="shared" ref="U21:V23" si="7">S21/L21</f>
        <v>144</v>
      </c>
      <c r="V21" s="4">
        <f t="shared" si="7"/>
        <v>128</v>
      </c>
      <c r="W21" s="11"/>
      <c r="X21" s="11"/>
      <c r="Y21" s="4">
        <f>D21*F21*F21*G21</f>
        <v>37748736</v>
      </c>
      <c r="Z21" s="4">
        <f>S21*T21</f>
        <v>37748736</v>
      </c>
      <c r="AA21" s="4">
        <v>2</v>
      </c>
      <c r="AB21" s="4">
        <v>1</v>
      </c>
      <c r="AC21" s="20">
        <f>1000000*$H$1/MAX(R21,W21)</f>
        <v>9765.625</v>
      </c>
      <c r="AD21" s="20">
        <f>CEILING(Z21*AB21/18000,1) *M21</f>
        <v>67136</v>
      </c>
      <c r="AE21" s="20">
        <f>Z21*M$1*AB21*H21*H21/(1024*1024*1024)</f>
        <v>260.41666666666669</v>
      </c>
    </row>
    <row r="22" spans="1:31" ht="15.75" customHeight="1">
      <c r="A22" s="4">
        <v>19</v>
      </c>
      <c r="B22" s="11" t="s">
        <v>41</v>
      </c>
      <c r="C22" s="4">
        <f>H21</f>
        <v>1</v>
      </c>
      <c r="D22" s="4">
        <f>G21</f>
        <v>4096</v>
      </c>
      <c r="E22" s="4">
        <v>1</v>
      </c>
      <c r="F22" s="4">
        <v>1</v>
      </c>
      <c r="G22" s="4">
        <v>4096</v>
      </c>
      <c r="H22" s="4">
        <f>IF(B22="pad", C22+2*F22, IF(B22="pool", C22/E22, IF(OR(B22="conv",B22="fc"), (C22-F22+1)/E22,C22)))</f>
        <v>1</v>
      </c>
      <c r="I22" s="4">
        <f t="shared" si="3"/>
        <v>1</v>
      </c>
      <c r="J22" s="4">
        <f t="shared" si="6"/>
        <v>33554432</v>
      </c>
      <c r="K22" s="10">
        <f>J22/SUM(J$4:J$23)*100</f>
        <v>1.9413026945459237</v>
      </c>
      <c r="L22" s="4">
        <v>64</v>
      </c>
      <c r="M22" s="4">
        <v>16</v>
      </c>
      <c r="N22" s="4">
        <v>1</v>
      </c>
      <c r="O22" s="4">
        <f>G22/M22</f>
        <v>256</v>
      </c>
      <c r="P22" s="4">
        <f>F22*F22*D22*G22/(L22*M22)</f>
        <v>16384</v>
      </c>
      <c r="Q22" s="4">
        <f>2*L22*M22*N22</f>
        <v>2048</v>
      </c>
      <c r="R22" s="4">
        <f>J22/(Q22*I22)</f>
        <v>16384</v>
      </c>
      <c r="S22" s="4">
        <f>F22*F22*D22</f>
        <v>4096</v>
      </c>
      <c r="T22" s="4">
        <f>G22</f>
        <v>4096</v>
      </c>
      <c r="U22" s="4">
        <f t="shared" si="7"/>
        <v>64</v>
      </c>
      <c r="V22" s="4">
        <f t="shared" si="7"/>
        <v>256</v>
      </c>
      <c r="W22" s="11"/>
      <c r="X22" s="11"/>
      <c r="Y22" s="4">
        <f>D22*F22*F22*G22</f>
        <v>16777216</v>
      </c>
      <c r="Z22" s="4">
        <f>S22*T22</f>
        <v>16777216</v>
      </c>
      <c r="AA22" s="4">
        <v>2</v>
      </c>
      <c r="AB22" s="4">
        <v>1</v>
      </c>
      <c r="AC22" s="20">
        <f>1000000*$H$1/MAX(R22,W22)</f>
        <v>10986.328125</v>
      </c>
      <c r="AD22" s="20">
        <f>CEILING(Z22*AB22/18000,1) *M22</f>
        <v>14928</v>
      </c>
      <c r="AE22" s="20">
        <f>Z22*M$1*AB22*H22*H22/(1024*1024*1024)</f>
        <v>115.74074074074075</v>
      </c>
    </row>
    <row r="23" spans="1:31" ht="15.75" customHeight="1">
      <c r="A23" s="4">
        <v>20</v>
      </c>
      <c r="B23" s="11" t="s">
        <v>41</v>
      </c>
      <c r="C23" s="4">
        <f>H22</f>
        <v>1</v>
      </c>
      <c r="D23" s="4">
        <f>G22</f>
        <v>4096</v>
      </c>
      <c r="E23" s="4">
        <v>1</v>
      </c>
      <c r="F23" s="4">
        <v>1</v>
      </c>
      <c r="G23" s="4">
        <v>1000</v>
      </c>
      <c r="H23" s="4">
        <f>IF(B23="pad", C23+2*F23, IF(B23="pool", C23/E23, IF(OR(B23="conv",B23="fc"), (C23-F23+1)/E23,C23)))</f>
        <v>1</v>
      </c>
      <c r="I23" s="4">
        <f t="shared" si="3"/>
        <v>1</v>
      </c>
      <c r="J23" s="4">
        <f t="shared" si="6"/>
        <v>8192000</v>
      </c>
      <c r="K23" s="10">
        <f>J23/SUM(J$4:J$23)*100</f>
        <v>0.47395085316062591</v>
      </c>
      <c r="L23" s="4">
        <v>8</v>
      </c>
      <c r="M23" s="4">
        <v>32</v>
      </c>
      <c r="N23" s="4">
        <v>1</v>
      </c>
      <c r="O23" s="4">
        <f>G23/M23</f>
        <v>31.25</v>
      </c>
      <c r="P23" s="4">
        <f>F23*F23*D23*G23/(L23*M23)</f>
        <v>16000</v>
      </c>
      <c r="Q23" s="4">
        <f>2*L23*M23*N23</f>
        <v>512</v>
      </c>
      <c r="R23" s="4">
        <f>J23/(Q23*I23)</f>
        <v>16000</v>
      </c>
      <c r="S23" s="4">
        <f>F23*F23*D23</f>
        <v>4096</v>
      </c>
      <c r="T23" s="4">
        <f>G23</f>
        <v>1000</v>
      </c>
      <c r="U23" s="4">
        <f t="shared" si="7"/>
        <v>512</v>
      </c>
      <c r="V23" s="4">
        <f t="shared" si="7"/>
        <v>31.25</v>
      </c>
      <c r="W23" s="11"/>
      <c r="X23" s="11"/>
      <c r="Y23" s="4">
        <f>D23*F23*F23*G23</f>
        <v>4096000</v>
      </c>
      <c r="Z23" s="4">
        <f>S23*T23</f>
        <v>4096000</v>
      </c>
      <c r="AA23" s="4">
        <v>2</v>
      </c>
      <c r="AB23" s="4">
        <v>4</v>
      </c>
      <c r="AC23" s="20">
        <f>1000000*$H$1/MAX(R23,W23)</f>
        <v>11250</v>
      </c>
      <c r="AD23" s="20">
        <f>CEILING(Z23*AB23/18000,1) *M23</f>
        <v>29152</v>
      </c>
      <c r="AE23" s="20">
        <f>Z23*M$1*AB23*H23*H23/(1024*1024*1024)</f>
        <v>113.02806712962963</v>
      </c>
    </row>
    <row r="27" spans="1:31" ht="15.75" customHeight="1">
      <c r="J27" s="20">
        <f>2168/3874</f>
        <v>0.55962829117191537</v>
      </c>
    </row>
    <row r="28" spans="1:31" ht="15.75" customHeight="1">
      <c r="H28" s="12"/>
    </row>
    <row r="30" spans="1:31" ht="15.75" customHeight="1">
      <c r="E30" s="12"/>
    </row>
    <row r="31" spans="1:31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N7" sqref="N7"/>
    </sheetView>
  </sheetViews>
  <sheetFormatPr defaultColWidth="14.42578125" defaultRowHeight="15.75" customHeight="1"/>
  <cols>
    <col min="1" max="1" width="8.7109375" style="20" customWidth="1"/>
    <col min="2" max="2" width="14.42578125" style="20"/>
    <col min="3" max="3" width="6.85546875" style="20" customWidth="1"/>
    <col min="4" max="4" width="11.42578125" style="20" customWidth="1"/>
    <col min="5" max="8" width="14.42578125" style="20"/>
    <col min="9" max="9" width="8.140625" style="20" bestFit="1" customWidth="1"/>
    <col min="10" max="10" width="24.42578125" style="20" customWidth="1"/>
    <col min="11" max="24" width="14.42578125" style="20"/>
    <col min="25" max="25" width="22.140625" style="20" customWidth="1"/>
    <col min="26" max="26" width="16.85546875" style="20" customWidth="1"/>
    <col min="27" max="27" width="16.28515625" style="20" customWidth="1"/>
    <col min="28" max="28" width="14.42578125" style="20" customWidth="1"/>
    <col min="29" max="31" width="16.42578125" style="20" customWidth="1"/>
    <col min="32" max="16384" width="14.42578125" style="20"/>
  </cols>
  <sheetData>
    <row r="1" spans="1:31" ht="15.75" customHeight="1">
      <c r="A1" s="19" t="s">
        <v>0</v>
      </c>
      <c r="B1" s="34" t="s">
        <v>1</v>
      </c>
      <c r="C1" s="35"/>
      <c r="D1" s="35"/>
      <c r="E1" s="35"/>
      <c r="F1" s="35"/>
      <c r="G1" s="19" t="s">
        <v>2</v>
      </c>
      <c r="H1" s="4">
        <v>180</v>
      </c>
      <c r="I1" s="19"/>
      <c r="J1" s="19" t="s">
        <v>3</v>
      </c>
      <c r="K1" s="4">
        <f>MAX(MAX(R4:R20),MAX(W8:W20))</f>
        <v>24300</v>
      </c>
      <c r="L1" s="19" t="s">
        <v>4</v>
      </c>
      <c r="M1" s="4">
        <f>1000000*H1/K1</f>
        <v>7407.4074074074078</v>
      </c>
      <c r="N1" s="11"/>
      <c r="O1" s="11"/>
      <c r="P1" s="11"/>
      <c r="Q1" s="11"/>
      <c r="R1" s="19" t="s">
        <v>5</v>
      </c>
      <c r="S1" s="4">
        <f>SUM(J3:J23)/(C3*C3*D3+G23*2)</f>
        <v>8601.9171889751397</v>
      </c>
      <c r="T1" s="11"/>
      <c r="U1" s="11"/>
      <c r="V1" s="11"/>
      <c r="W1" s="11"/>
      <c r="X1" s="11"/>
      <c r="Y1" s="6"/>
      <c r="Z1" s="11"/>
      <c r="AA1" s="11"/>
      <c r="AB1" s="11"/>
    </row>
    <row r="2" spans="1:31" ht="15.75" customHeight="1">
      <c r="A2" s="19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19" t="s">
        <v>11</v>
      </c>
      <c r="G2" s="19" t="s">
        <v>12</v>
      </c>
      <c r="H2" s="19" t="s">
        <v>13</v>
      </c>
      <c r="I2" s="19" t="s">
        <v>14</v>
      </c>
      <c r="J2" s="19" t="str">
        <f>"ops, total: " &amp; SUM(J3:J113)/1000000 &amp;"M"</f>
        <v>ops, total: 1312.03322555963M</v>
      </c>
      <c r="K2" s="19" t="s">
        <v>15</v>
      </c>
      <c r="L2" s="19" t="s">
        <v>16</v>
      </c>
      <c r="M2" s="19" t="s">
        <v>17</v>
      </c>
      <c r="N2" s="19" t="s">
        <v>18</v>
      </c>
      <c r="O2" s="19" t="s">
        <v>19</v>
      </c>
      <c r="P2" s="19" t="s">
        <v>20</v>
      </c>
      <c r="Q2" s="19" t="s">
        <v>21</v>
      </c>
      <c r="R2" s="19" t="s">
        <v>22</v>
      </c>
      <c r="S2" s="19" t="s">
        <v>23</v>
      </c>
      <c r="T2" s="19" t="s">
        <v>24</v>
      </c>
      <c r="U2" s="19" t="s">
        <v>25</v>
      </c>
      <c r="V2" s="19" t="s">
        <v>26</v>
      </c>
      <c r="W2" s="19" t="s">
        <v>27</v>
      </c>
      <c r="X2" s="19" t="s">
        <v>28</v>
      </c>
      <c r="Y2" s="19" t="s">
        <v>29</v>
      </c>
      <c r="Z2" s="19" t="s">
        <v>30</v>
      </c>
      <c r="AA2" s="19" t="s">
        <v>31</v>
      </c>
      <c r="AB2" s="19" t="s">
        <v>32</v>
      </c>
      <c r="AC2" s="7" t="s">
        <v>33</v>
      </c>
      <c r="AD2" s="7" t="s">
        <v>34</v>
      </c>
      <c r="AE2" s="7" t="s">
        <v>35</v>
      </c>
    </row>
    <row r="3" spans="1:31" ht="15.75" customHeight="1">
      <c r="A3" s="4">
        <v>0</v>
      </c>
      <c r="B3" s="11" t="s">
        <v>36</v>
      </c>
      <c r="C3" s="4">
        <v>224</v>
      </c>
      <c r="D3" s="4">
        <v>3</v>
      </c>
      <c r="E3" s="4">
        <v>1</v>
      </c>
      <c r="F3" s="4">
        <v>1.5</v>
      </c>
      <c r="G3" s="4">
        <v>3</v>
      </c>
      <c r="H3" s="4">
        <f>IF(B3="pad", C3+2*F3, IF(B3="pool", C3/F3, IF(OR(B3="conv",B3="fc"), C3-F3+1,C3)))</f>
        <v>227</v>
      </c>
      <c r="I3" s="4">
        <v>1</v>
      </c>
      <c r="J3" s="4">
        <f t="shared" ref="J3:J9" si="0">IF(B3="pad", 0, IF(B3="pool", H3*H3*F3*F3, IF(OR(B3="conv",B3="fc"), I3*2*H3*H3*F3*F3*D3*G3,0)))</f>
        <v>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4">
        <v>1</v>
      </c>
      <c r="V3" s="11"/>
      <c r="W3" s="11"/>
      <c r="X3" s="11"/>
      <c r="Y3" s="11"/>
      <c r="Z3" s="11"/>
      <c r="AA3" s="11"/>
      <c r="AB3" s="11"/>
    </row>
    <row r="4" spans="1:31" s="27" customFormat="1" ht="15.75" customHeight="1">
      <c r="A4" s="24">
        <v>1</v>
      </c>
      <c r="B4" s="25" t="s">
        <v>37</v>
      </c>
      <c r="C4" s="24">
        <f t="shared" ref="C4:C20" si="1">H3</f>
        <v>227</v>
      </c>
      <c r="D4" s="24">
        <f t="shared" ref="D4:D20" si="2">G3</f>
        <v>3</v>
      </c>
      <c r="E4" s="24">
        <v>4</v>
      </c>
      <c r="F4" s="24">
        <v>12</v>
      </c>
      <c r="G4" s="24">
        <v>48</v>
      </c>
      <c r="H4" s="24">
        <f>IF(B4="pad", C4+2*F4, IF(B4="pool", C4/F4, IF(OR(B4="conv",B4="fc"), (C4-F4+1)/E4,C4)))</f>
        <v>54</v>
      </c>
      <c r="I4" s="24">
        <f t="shared" ref="I4:I23" si="3">IF(B3="merge", 1, IF(B3="split", 2, I3))</f>
        <v>1</v>
      </c>
      <c r="J4" s="24">
        <f t="shared" si="0"/>
        <v>120932352</v>
      </c>
      <c r="K4" s="26">
        <f>J4/SUM(J$4:J$23)*100</f>
        <v>9.2171714630168768</v>
      </c>
      <c r="L4" s="24">
        <v>3</v>
      </c>
      <c r="M4" s="24">
        <v>48</v>
      </c>
      <c r="N4" s="24">
        <v>18</v>
      </c>
      <c r="O4" s="24">
        <f>G4/M4</f>
        <v>1</v>
      </c>
      <c r="P4" s="24">
        <f>F4*F4*D4*G4/(L4*M4)</f>
        <v>144</v>
      </c>
      <c r="Q4" s="24">
        <f>2*L4*M4*N4</f>
        <v>5184</v>
      </c>
      <c r="R4" s="24">
        <f>J4/(Q4*I4)</f>
        <v>23328</v>
      </c>
      <c r="S4" s="24">
        <f>F4*F4*D4</f>
        <v>432</v>
      </c>
      <c r="T4" s="24">
        <f>G4</f>
        <v>48</v>
      </c>
      <c r="U4" s="24">
        <f>S4/L4</f>
        <v>144</v>
      </c>
      <c r="V4" s="24">
        <f>T4/M4</f>
        <v>1</v>
      </c>
      <c r="W4" s="24">
        <f>C4*C4+(F4*F4*H4*H4)/N4</f>
        <v>74857</v>
      </c>
      <c r="X4" s="24">
        <f>F4*F4*H4*H4/N4</f>
        <v>23328</v>
      </c>
      <c r="Y4" s="24">
        <f>D4*F4*F4*G4</f>
        <v>20736</v>
      </c>
      <c r="Z4" s="24">
        <f>S4*T4</f>
        <v>20736</v>
      </c>
      <c r="AA4" s="24">
        <v>8</v>
      </c>
      <c r="AB4" s="24">
        <v>4</v>
      </c>
      <c r="AC4" s="27">
        <f>1000000*$H$1/R4</f>
        <v>7716.049382716049</v>
      </c>
      <c r="AD4" s="27">
        <f>CEILING(Z4*AB4/18000,1) *M4</f>
        <v>240</v>
      </c>
    </row>
    <row r="5" spans="1:31" ht="15.75" customHeight="1">
      <c r="A5" s="4">
        <v>2</v>
      </c>
      <c r="B5" s="11" t="s">
        <v>38</v>
      </c>
      <c r="C5" s="4">
        <f t="shared" si="1"/>
        <v>54</v>
      </c>
      <c r="D5" s="4">
        <f t="shared" si="2"/>
        <v>48</v>
      </c>
      <c r="E5" s="4">
        <v>1</v>
      </c>
      <c r="F5" s="4">
        <v>1</v>
      </c>
      <c r="G5" s="4">
        <f>IF(B5="split", D5/2,IF(B5="merge",D5*2,D5))</f>
        <v>24</v>
      </c>
      <c r="H5" s="4">
        <f>IF(B5="pad", C5+2*F5, IF(B5="pool", C5/F5, IF(OR(B5="conv",B5="fc"), (C5-F5+1)/E5,C5)))</f>
        <v>54</v>
      </c>
      <c r="I5" s="4">
        <f t="shared" si="3"/>
        <v>1</v>
      </c>
      <c r="J5" s="4">
        <f t="shared" si="0"/>
        <v>0</v>
      </c>
      <c r="K5" s="10"/>
      <c r="L5" s="11"/>
      <c r="M5" s="11"/>
      <c r="N5" s="11"/>
      <c r="O5" s="4"/>
      <c r="P5" s="4"/>
      <c r="Q5" s="4"/>
      <c r="R5" s="4"/>
      <c r="S5" s="11"/>
      <c r="T5" s="11"/>
      <c r="U5" s="4"/>
      <c r="V5" s="11"/>
      <c r="W5" s="4"/>
      <c r="X5" s="11"/>
      <c r="Y5" s="11"/>
      <c r="Z5" s="11"/>
      <c r="AA5" s="11"/>
      <c r="AB5" s="11"/>
    </row>
    <row r="6" spans="1:31" ht="15.75" customHeight="1">
      <c r="A6" s="4">
        <v>3</v>
      </c>
      <c r="B6" s="11" t="s">
        <v>36</v>
      </c>
      <c r="C6" s="4">
        <f t="shared" si="1"/>
        <v>54</v>
      </c>
      <c r="D6" s="4">
        <f t="shared" si="2"/>
        <v>24</v>
      </c>
      <c r="E6" s="4">
        <v>1</v>
      </c>
      <c r="F6" s="4">
        <v>2</v>
      </c>
      <c r="G6" s="4">
        <f t="shared" ref="G6:G20" si="4">IF(B6="split", D6/2,IF(B6="merge",D6*2,D6))</f>
        <v>24</v>
      </c>
      <c r="H6" s="4">
        <f>IF(B6="pad", C6+2*F6, IF(B6="pool", C6/F6, IF(OR(B6="conv",B6="fc"), (C6-F6+1)/E6,C6)))</f>
        <v>58</v>
      </c>
      <c r="I6" s="4">
        <f t="shared" si="3"/>
        <v>2</v>
      </c>
      <c r="J6" s="4">
        <f t="shared" si="0"/>
        <v>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1" s="27" customFormat="1" ht="15.75" customHeight="1">
      <c r="A7" s="24">
        <v>4</v>
      </c>
      <c r="B7" s="25" t="s">
        <v>37</v>
      </c>
      <c r="C7" s="24">
        <f t="shared" si="1"/>
        <v>58</v>
      </c>
      <c r="D7" s="24">
        <f t="shared" si="2"/>
        <v>24</v>
      </c>
      <c r="E7" s="24">
        <v>1</v>
      </c>
      <c r="F7" s="24">
        <v>5</v>
      </c>
      <c r="G7" s="24">
        <v>64</v>
      </c>
      <c r="H7" s="24">
        <f>IF(B7="pad", C7+2*F7, IF(B7="pool", C7/F7, IF(OR(B7="conv",B7="fc"), (C7-F7+1)/E7,C7)))</f>
        <v>54</v>
      </c>
      <c r="I7" s="24">
        <f t="shared" si="3"/>
        <v>2</v>
      </c>
      <c r="J7" s="24">
        <f t="shared" si="0"/>
        <v>447897600</v>
      </c>
      <c r="K7" s="26">
        <f>J7/SUM(J$4:J$23)*100</f>
        <v>34.137672085247686</v>
      </c>
      <c r="L7" s="24">
        <v>24</v>
      </c>
      <c r="M7" s="24">
        <v>64</v>
      </c>
      <c r="N7" s="24">
        <v>3</v>
      </c>
      <c r="O7" s="24">
        <f>G7/M7</f>
        <v>1</v>
      </c>
      <c r="P7" s="24">
        <f>F7*F7*D7*G7/(L7*M7)</f>
        <v>25</v>
      </c>
      <c r="Q7" s="24">
        <f>2*L7*M7*N7</f>
        <v>9216</v>
      </c>
      <c r="R7" s="24">
        <f>J7/(Q7*I7)</f>
        <v>24300</v>
      </c>
      <c r="S7" s="24">
        <f>F7*F7*D7</f>
        <v>600</v>
      </c>
      <c r="T7" s="24">
        <f>G7</f>
        <v>64</v>
      </c>
      <c r="U7" s="24">
        <f>S7/L7</f>
        <v>25</v>
      </c>
      <c r="V7" s="24">
        <f>T7/M7</f>
        <v>1</v>
      </c>
      <c r="W7" s="24">
        <f>C7*C7+(F7*F7*H7*H7)/N7</f>
        <v>27664</v>
      </c>
      <c r="X7" s="24">
        <f>F7*F7*H7*H7</f>
        <v>72900</v>
      </c>
      <c r="Y7" s="24">
        <f>D7*F7*F7*G7</f>
        <v>38400</v>
      </c>
      <c r="Z7" s="24">
        <f>S7*T7*I7</f>
        <v>76800</v>
      </c>
      <c r="AA7" s="24">
        <v>2</v>
      </c>
      <c r="AB7" s="24">
        <v>1</v>
      </c>
      <c r="AC7" s="27">
        <f>1000000*$H$1/MAX(R7,W7)</f>
        <v>6506.6512434933484</v>
      </c>
      <c r="AD7" s="27">
        <f>CEILING(Z7*AB7/18000,1) *M7</f>
        <v>320</v>
      </c>
    </row>
    <row r="8" spans="1:31" ht="15.75" customHeight="1">
      <c r="A8" s="4">
        <v>5</v>
      </c>
      <c r="B8" s="11" t="s">
        <v>39</v>
      </c>
      <c r="C8" s="4">
        <f t="shared" si="1"/>
        <v>54</v>
      </c>
      <c r="D8" s="4">
        <f t="shared" si="2"/>
        <v>64</v>
      </c>
      <c r="E8" s="4">
        <v>2</v>
      </c>
      <c r="F8" s="4">
        <v>3</v>
      </c>
      <c r="G8" s="4">
        <f t="shared" si="4"/>
        <v>64</v>
      </c>
      <c r="H8" s="4">
        <f t="shared" ref="H8:H18" si="5">IF(B8="pad", C8+2*F8, IF(B8="pool", C8/E8, IF(OR(B8="conv",B8="fc"), (C8-F8+1)/E8,C8)))</f>
        <v>27</v>
      </c>
      <c r="I8" s="4">
        <f t="shared" si="3"/>
        <v>2</v>
      </c>
      <c r="J8" s="4">
        <f t="shared" si="0"/>
        <v>6561</v>
      </c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1"/>
      <c r="Y8" s="11"/>
      <c r="Z8" s="4"/>
      <c r="AA8" s="11"/>
      <c r="AB8" s="11"/>
    </row>
    <row r="9" spans="1:31" ht="15.75" customHeight="1">
      <c r="A9" s="4">
        <v>6</v>
      </c>
      <c r="B9" s="11" t="s">
        <v>40</v>
      </c>
      <c r="C9" s="4">
        <f t="shared" si="1"/>
        <v>27</v>
      </c>
      <c r="D9" s="4">
        <f t="shared" si="2"/>
        <v>64</v>
      </c>
      <c r="E9" s="4">
        <v>1</v>
      </c>
      <c r="F9" s="4">
        <v>1</v>
      </c>
      <c r="G9" s="4">
        <f t="shared" si="4"/>
        <v>128</v>
      </c>
      <c r="H9" s="4">
        <f t="shared" si="5"/>
        <v>27</v>
      </c>
      <c r="I9" s="4">
        <f t="shared" si="3"/>
        <v>2</v>
      </c>
      <c r="J9" s="4">
        <f t="shared" si="0"/>
        <v>0</v>
      </c>
      <c r="K9" s="10"/>
      <c r="L9" s="11"/>
      <c r="M9" s="11"/>
      <c r="N9" s="11"/>
      <c r="O9" s="4"/>
      <c r="P9" s="4"/>
      <c r="Q9" s="4"/>
      <c r="R9" s="4"/>
      <c r="S9" s="11"/>
      <c r="T9" s="11"/>
      <c r="U9" s="4"/>
      <c r="V9" s="11"/>
      <c r="W9" s="4"/>
      <c r="X9" s="11"/>
      <c r="Y9" s="11"/>
      <c r="Z9" s="4"/>
      <c r="AA9" s="11"/>
      <c r="AB9" s="11"/>
    </row>
    <row r="10" spans="1:31" ht="15.75" customHeight="1">
      <c r="A10" s="4">
        <v>7</v>
      </c>
      <c r="B10" s="11" t="s">
        <v>36</v>
      </c>
      <c r="C10" s="4">
        <f t="shared" si="1"/>
        <v>27</v>
      </c>
      <c r="D10" s="4">
        <f t="shared" si="2"/>
        <v>128</v>
      </c>
      <c r="E10" s="4">
        <v>1</v>
      </c>
      <c r="F10" s="4">
        <v>1</v>
      </c>
      <c r="G10" s="4">
        <f t="shared" si="4"/>
        <v>128</v>
      </c>
      <c r="H10" s="4">
        <f t="shared" si="5"/>
        <v>29</v>
      </c>
      <c r="I10" s="4">
        <f t="shared" si="3"/>
        <v>1</v>
      </c>
      <c r="J10" s="4"/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31" s="27" customFormat="1" ht="15.75" customHeight="1">
      <c r="A11" s="24">
        <v>8</v>
      </c>
      <c r="B11" s="25" t="s">
        <v>37</v>
      </c>
      <c r="C11" s="24">
        <f t="shared" si="1"/>
        <v>29</v>
      </c>
      <c r="D11" s="24">
        <f t="shared" si="2"/>
        <v>128</v>
      </c>
      <c r="E11" s="24">
        <v>1</v>
      </c>
      <c r="F11" s="24">
        <v>3</v>
      </c>
      <c r="G11" s="24">
        <v>192</v>
      </c>
      <c r="H11" s="24">
        <f t="shared" si="5"/>
        <v>27</v>
      </c>
      <c r="I11" s="24">
        <f t="shared" si="3"/>
        <v>1</v>
      </c>
      <c r="J11" s="24">
        <f t="shared" ref="J11:J23" si="6">IF(B11="pad", 0, IF(B11="pool", H11*H11*F11*F11, IF(OR(B11="conv",B11="fc"), I11*2*H11*H11*F11*F11*D11*G11,0)))</f>
        <v>322486272</v>
      </c>
      <c r="K11" s="26">
        <f>J11/SUM(J$4:J$23)*100</f>
        <v>24.579123901378335</v>
      </c>
      <c r="L11" s="24">
        <v>64</v>
      </c>
      <c r="M11" s="24">
        <v>64</v>
      </c>
      <c r="N11" s="24">
        <v>3</v>
      </c>
      <c r="O11" s="24">
        <f>G11/M11</f>
        <v>3</v>
      </c>
      <c r="P11" s="24">
        <f>F11*F11*D11*G11/(L11*M11)</f>
        <v>54</v>
      </c>
      <c r="Q11" s="24">
        <f>2*L11*M11*N11</f>
        <v>24576</v>
      </c>
      <c r="R11" s="24">
        <f>J11/(Q11*I11)</f>
        <v>13122</v>
      </c>
      <c r="S11" s="24">
        <f>F11*F11*D11</f>
        <v>1152</v>
      </c>
      <c r="T11" s="24">
        <f>G11</f>
        <v>192</v>
      </c>
      <c r="U11" s="24">
        <f>S11/L11</f>
        <v>18</v>
      </c>
      <c r="V11" s="24">
        <f>T11/M11</f>
        <v>3</v>
      </c>
      <c r="W11" s="24">
        <f>C11*C11+(F11*F11*H11*H11)/N11</f>
        <v>3028</v>
      </c>
      <c r="X11" s="24">
        <f>F11*F11*H11*H11</f>
        <v>6561</v>
      </c>
      <c r="Y11" s="24">
        <f>D11*F11*F11*G11</f>
        <v>221184</v>
      </c>
      <c r="Z11" s="24">
        <f>S11*T11*I11</f>
        <v>221184</v>
      </c>
      <c r="AA11" s="24">
        <v>2</v>
      </c>
      <c r="AB11" s="24">
        <v>1</v>
      </c>
      <c r="AC11" s="27">
        <f>1000000*$H$1/MAX(R11,W11)</f>
        <v>13717.421124828532</v>
      </c>
      <c r="AD11" s="27">
        <f>CEILING(Z11*AB11/18000,1) *M11</f>
        <v>832</v>
      </c>
    </row>
    <row r="12" spans="1:31" ht="15.75" customHeight="1">
      <c r="A12" s="4">
        <v>9</v>
      </c>
      <c r="B12" s="11" t="s">
        <v>36</v>
      </c>
      <c r="C12" s="4">
        <f t="shared" si="1"/>
        <v>27</v>
      </c>
      <c r="D12" s="4">
        <f t="shared" si="2"/>
        <v>192</v>
      </c>
      <c r="E12" s="4">
        <v>1</v>
      </c>
      <c r="F12" s="4">
        <v>0.5</v>
      </c>
      <c r="G12" s="4">
        <f t="shared" si="4"/>
        <v>192</v>
      </c>
      <c r="H12" s="4">
        <f t="shared" si="5"/>
        <v>28</v>
      </c>
      <c r="I12" s="4">
        <f t="shared" si="3"/>
        <v>1</v>
      </c>
      <c r="J12" s="4">
        <f t="shared" si="6"/>
        <v>0</v>
      </c>
      <c r="K12" s="10"/>
      <c r="L12" s="11"/>
      <c r="M12" s="11"/>
      <c r="N12" s="11"/>
      <c r="O12" s="4"/>
      <c r="P12" s="4"/>
      <c r="Q12" s="4"/>
      <c r="R12" s="4"/>
      <c r="S12" s="11"/>
      <c r="T12" s="11"/>
      <c r="U12" s="4"/>
      <c r="V12" s="11"/>
      <c r="W12" s="4"/>
      <c r="X12" s="11"/>
      <c r="Y12" s="11"/>
      <c r="Z12" s="4"/>
      <c r="AA12" s="11"/>
      <c r="AB12" s="11"/>
    </row>
    <row r="13" spans="1:31" ht="15.75" customHeight="1">
      <c r="A13" s="4">
        <v>10</v>
      </c>
      <c r="B13" s="11" t="s">
        <v>39</v>
      </c>
      <c r="C13" s="4">
        <f t="shared" si="1"/>
        <v>28</v>
      </c>
      <c r="D13" s="4">
        <f t="shared" si="2"/>
        <v>192</v>
      </c>
      <c r="E13" s="4">
        <v>2</v>
      </c>
      <c r="F13" s="4">
        <v>3</v>
      </c>
      <c r="G13" s="4">
        <f t="shared" si="4"/>
        <v>192</v>
      </c>
      <c r="H13" s="4">
        <f t="shared" si="5"/>
        <v>14</v>
      </c>
      <c r="I13" s="4">
        <f t="shared" si="3"/>
        <v>1</v>
      </c>
      <c r="J13" s="4">
        <f t="shared" si="6"/>
        <v>1764</v>
      </c>
      <c r="K13" s="10"/>
      <c r="L13" s="11"/>
      <c r="M13" s="11"/>
      <c r="N13" s="11"/>
      <c r="O13" s="4"/>
      <c r="P13" s="4"/>
      <c r="Q13" s="4"/>
      <c r="R13" s="4"/>
      <c r="S13" s="11"/>
      <c r="T13" s="11"/>
      <c r="U13" s="4"/>
      <c r="V13" s="11"/>
      <c r="W13" s="4"/>
      <c r="X13" s="11"/>
      <c r="Y13" s="11"/>
      <c r="Z13" s="4"/>
      <c r="AA13" s="11"/>
      <c r="AB13" s="11"/>
    </row>
    <row r="14" spans="1:31" ht="15.75" customHeight="1">
      <c r="A14" s="4">
        <v>11</v>
      </c>
      <c r="B14" s="11" t="s">
        <v>38</v>
      </c>
      <c r="C14" s="4">
        <f t="shared" si="1"/>
        <v>14</v>
      </c>
      <c r="D14" s="4">
        <f t="shared" si="2"/>
        <v>192</v>
      </c>
      <c r="E14" s="4">
        <v>1</v>
      </c>
      <c r="F14" s="4">
        <v>1</v>
      </c>
      <c r="G14" s="4">
        <f t="shared" si="4"/>
        <v>96</v>
      </c>
      <c r="H14" s="4">
        <f t="shared" si="5"/>
        <v>14</v>
      </c>
      <c r="I14" s="4">
        <f t="shared" si="3"/>
        <v>1</v>
      </c>
      <c r="J14" s="4">
        <f t="shared" si="6"/>
        <v>0</v>
      </c>
      <c r="K14" s="10"/>
      <c r="L14" s="11"/>
      <c r="M14" s="11"/>
      <c r="N14" s="11"/>
      <c r="O14" s="4"/>
      <c r="P14" s="4"/>
      <c r="Q14" s="4"/>
      <c r="R14" s="4"/>
      <c r="S14" s="11"/>
      <c r="T14" s="11"/>
      <c r="U14" s="4"/>
      <c r="V14" s="11"/>
      <c r="W14" s="4"/>
      <c r="X14" s="11"/>
      <c r="Y14" s="11"/>
      <c r="Z14" s="4"/>
      <c r="AA14" s="11"/>
      <c r="AB14" s="11"/>
    </row>
    <row r="15" spans="1:31" ht="16.5" customHeight="1">
      <c r="A15" s="4">
        <v>12</v>
      </c>
      <c r="B15" s="11" t="s">
        <v>36</v>
      </c>
      <c r="C15" s="4">
        <f t="shared" si="1"/>
        <v>14</v>
      </c>
      <c r="D15" s="4">
        <f t="shared" si="2"/>
        <v>96</v>
      </c>
      <c r="E15" s="4">
        <v>1</v>
      </c>
      <c r="F15" s="4">
        <v>1</v>
      </c>
      <c r="G15" s="4">
        <f t="shared" si="4"/>
        <v>96</v>
      </c>
      <c r="H15" s="4">
        <f t="shared" si="5"/>
        <v>16</v>
      </c>
      <c r="I15" s="4">
        <f t="shared" si="3"/>
        <v>2</v>
      </c>
      <c r="J15" s="4">
        <f t="shared" si="6"/>
        <v>0</v>
      </c>
      <c r="K15" s="10"/>
      <c r="L15" s="11"/>
      <c r="M15" s="11"/>
      <c r="N15" s="11"/>
      <c r="O15" s="4"/>
      <c r="P15" s="4"/>
      <c r="Q15" s="4"/>
      <c r="R15" s="4"/>
      <c r="S15" s="11"/>
      <c r="T15" s="11"/>
      <c r="U15" s="4"/>
      <c r="V15" s="11"/>
      <c r="W15" s="4"/>
      <c r="X15" s="11"/>
      <c r="Y15" s="11"/>
      <c r="Z15" s="4"/>
      <c r="AA15" s="11"/>
      <c r="AB15" s="11"/>
    </row>
    <row r="16" spans="1:31" s="27" customFormat="1" ht="15.75" customHeight="1">
      <c r="A16" s="24">
        <v>13</v>
      </c>
      <c r="B16" s="25" t="s">
        <v>37</v>
      </c>
      <c r="C16" s="24">
        <f t="shared" si="1"/>
        <v>16</v>
      </c>
      <c r="D16" s="24">
        <f t="shared" si="2"/>
        <v>96</v>
      </c>
      <c r="E16" s="24">
        <v>1</v>
      </c>
      <c r="F16" s="24">
        <v>3</v>
      </c>
      <c r="G16" s="24">
        <v>192</v>
      </c>
      <c r="H16" s="24">
        <f t="shared" si="5"/>
        <v>14</v>
      </c>
      <c r="I16" s="24">
        <f t="shared" si="3"/>
        <v>2</v>
      </c>
      <c r="J16" s="24">
        <f t="shared" si="6"/>
        <v>130056192</v>
      </c>
      <c r="K16" s="26">
        <f>J16/SUM(J$4:J$23)*100</f>
        <v>9.9125684869756263</v>
      </c>
      <c r="L16" s="24">
        <v>32</v>
      </c>
      <c r="M16" s="24">
        <v>64</v>
      </c>
      <c r="N16" s="24">
        <v>1</v>
      </c>
      <c r="O16" s="24">
        <f>G16/M16</f>
        <v>3</v>
      </c>
      <c r="P16" s="24">
        <f>F16*F16*D16*G16/(L16*M16)</f>
        <v>81</v>
      </c>
      <c r="Q16" s="24">
        <f>2*L16*M16*N16</f>
        <v>4096</v>
      </c>
      <c r="R16" s="24">
        <f>J16/(Q16*I16)</f>
        <v>15876</v>
      </c>
      <c r="S16" s="24">
        <f>F16*F16*D16</f>
        <v>864</v>
      </c>
      <c r="T16" s="24">
        <f>G16</f>
        <v>192</v>
      </c>
      <c r="U16" s="24">
        <f>S16/L16</f>
        <v>27</v>
      </c>
      <c r="V16" s="24">
        <f>T16/M16</f>
        <v>3</v>
      </c>
      <c r="W16" s="24">
        <f>C16*C16+(F16*F16*H16*H16)/N16</f>
        <v>2020</v>
      </c>
      <c r="X16" s="24">
        <f>F16*F16*H16*H16</f>
        <v>1764</v>
      </c>
      <c r="Y16" s="24">
        <f>D16*F16*F16*G16</f>
        <v>165888</v>
      </c>
      <c r="Z16" s="24">
        <f>S16*T16*I16</f>
        <v>331776</v>
      </c>
      <c r="AA16" s="24">
        <v>2</v>
      </c>
      <c r="AB16" s="24">
        <v>1</v>
      </c>
      <c r="AC16" s="27">
        <f>1000000*$H$1/MAX(R16,W16)</f>
        <v>11337.868480725623</v>
      </c>
      <c r="AD16" s="27">
        <f>CEILING(Z16*AB16/18000,1) *M16</f>
        <v>1216</v>
      </c>
    </row>
    <row r="17" spans="1:31" ht="15.75" customHeight="1">
      <c r="A17" s="4">
        <v>14</v>
      </c>
      <c r="B17" s="11" t="s">
        <v>36</v>
      </c>
      <c r="C17" s="4">
        <f t="shared" si="1"/>
        <v>14</v>
      </c>
      <c r="D17" s="4">
        <f t="shared" si="2"/>
        <v>192</v>
      </c>
      <c r="E17" s="4">
        <v>1</v>
      </c>
      <c r="F17" s="4">
        <v>1</v>
      </c>
      <c r="G17" s="4">
        <f t="shared" si="4"/>
        <v>192</v>
      </c>
      <c r="H17" s="4">
        <f t="shared" si="5"/>
        <v>16</v>
      </c>
      <c r="I17" s="4">
        <f t="shared" si="3"/>
        <v>2</v>
      </c>
      <c r="J17" s="4">
        <f t="shared" si="6"/>
        <v>0</v>
      </c>
      <c r="K17" s="10"/>
      <c r="L17" s="11"/>
      <c r="M17" s="11"/>
      <c r="N17" s="11"/>
      <c r="O17" s="4"/>
      <c r="P17" s="4"/>
      <c r="Q17" s="4"/>
      <c r="R17" s="4"/>
      <c r="S17" s="11"/>
      <c r="T17" s="11"/>
      <c r="U17" s="4"/>
      <c r="V17" s="11"/>
      <c r="W17" s="4"/>
      <c r="X17" s="11"/>
      <c r="Y17" s="11"/>
      <c r="Z17" s="4"/>
      <c r="AA17" s="11"/>
      <c r="AB17" s="11"/>
    </row>
    <row r="18" spans="1:31" s="27" customFormat="1" ht="15.75" customHeight="1">
      <c r="A18" s="24">
        <v>15</v>
      </c>
      <c r="B18" s="25" t="s">
        <v>37</v>
      </c>
      <c r="C18" s="24">
        <f t="shared" si="1"/>
        <v>16</v>
      </c>
      <c r="D18" s="24">
        <f t="shared" si="2"/>
        <v>192</v>
      </c>
      <c r="E18" s="24">
        <v>1</v>
      </c>
      <c r="F18" s="24">
        <v>3</v>
      </c>
      <c r="G18" s="24">
        <v>128</v>
      </c>
      <c r="H18" s="24">
        <f t="shared" si="5"/>
        <v>14</v>
      </c>
      <c r="I18" s="24">
        <f t="shared" si="3"/>
        <v>2</v>
      </c>
      <c r="J18" s="24">
        <f t="shared" si="6"/>
        <v>173408256</v>
      </c>
      <c r="K18" s="26">
        <f>J18/SUM(J$4:J$23)*100</f>
        <v>13.216757982634167</v>
      </c>
      <c r="L18" s="24">
        <v>64</v>
      </c>
      <c r="M18" s="24">
        <v>32</v>
      </c>
      <c r="N18" s="24">
        <v>1</v>
      </c>
      <c r="O18" s="24">
        <f>G18/M18</f>
        <v>4</v>
      </c>
      <c r="P18" s="24">
        <f>F18*F18*D18*G18/(L18*M18)</f>
        <v>108</v>
      </c>
      <c r="Q18" s="24">
        <f>2*L18*M18*N18</f>
        <v>4096</v>
      </c>
      <c r="R18" s="24">
        <f>J18/(Q18*I18)</f>
        <v>21168</v>
      </c>
      <c r="S18" s="24">
        <f>F18*F18*D18</f>
        <v>1728</v>
      </c>
      <c r="T18" s="24">
        <f>G18</f>
        <v>128</v>
      </c>
      <c r="U18" s="24">
        <f>S18/L18</f>
        <v>27</v>
      </c>
      <c r="V18" s="24">
        <f>T18/M18</f>
        <v>4</v>
      </c>
      <c r="W18" s="24">
        <f>C18*C18+(F18*F18*H18*H18)/N18</f>
        <v>2020</v>
      </c>
      <c r="X18" s="24">
        <f>F18*F18*H18*H18</f>
        <v>1764</v>
      </c>
      <c r="Y18" s="24">
        <f>D18*F18*F18*G18</f>
        <v>221184</v>
      </c>
      <c r="Z18" s="24">
        <f>S18*T18*I18</f>
        <v>442368</v>
      </c>
      <c r="AA18" s="24">
        <v>2</v>
      </c>
      <c r="AB18" s="24">
        <v>1</v>
      </c>
      <c r="AC18" s="27">
        <f>1000000*$H$1/MAX(R18,W18)</f>
        <v>8503.4013605442178</v>
      </c>
      <c r="AD18" s="27">
        <f>CEILING(Z18*AB18/18000,1) *M18</f>
        <v>800</v>
      </c>
    </row>
    <row r="19" spans="1:31" ht="15.75" customHeight="1">
      <c r="A19" s="4">
        <v>16</v>
      </c>
      <c r="B19" s="11" t="s">
        <v>39</v>
      </c>
      <c r="C19" s="4">
        <f t="shared" si="1"/>
        <v>14</v>
      </c>
      <c r="D19" s="4">
        <f t="shared" si="2"/>
        <v>128</v>
      </c>
      <c r="E19" s="4">
        <v>2</v>
      </c>
      <c r="F19" s="4">
        <v>3</v>
      </c>
      <c r="G19" s="4">
        <f t="shared" si="4"/>
        <v>128</v>
      </c>
      <c r="H19" s="4">
        <v>6</v>
      </c>
      <c r="I19" s="4">
        <f t="shared" si="3"/>
        <v>2</v>
      </c>
      <c r="J19" s="4">
        <f t="shared" si="6"/>
        <v>324</v>
      </c>
      <c r="K19" s="10"/>
      <c r="L19" s="11"/>
      <c r="M19" s="11"/>
      <c r="N19" s="11"/>
      <c r="O19" s="4"/>
      <c r="P19" s="4"/>
      <c r="Q19" s="4"/>
      <c r="R19" s="4"/>
      <c r="S19" s="11"/>
      <c r="T19" s="11"/>
      <c r="U19" s="4"/>
      <c r="V19" s="11"/>
      <c r="W19" s="11"/>
      <c r="X19" s="11"/>
      <c r="Y19" s="11"/>
      <c r="Z19" s="11"/>
      <c r="AA19" s="11"/>
      <c r="AB19" s="11"/>
    </row>
    <row r="20" spans="1:31" ht="15.75" customHeight="1">
      <c r="A20" s="4">
        <v>17</v>
      </c>
      <c r="B20" s="11" t="s">
        <v>40</v>
      </c>
      <c r="C20" s="4">
        <f t="shared" si="1"/>
        <v>6</v>
      </c>
      <c r="D20" s="4">
        <f t="shared" si="2"/>
        <v>128</v>
      </c>
      <c r="E20" s="4">
        <v>1</v>
      </c>
      <c r="F20" s="4">
        <v>1</v>
      </c>
      <c r="G20" s="4">
        <f t="shared" si="4"/>
        <v>256</v>
      </c>
      <c r="H20" s="4">
        <f>IF(B20="pad", C20+2*F20, IF(B20="pool", C20/E20, IF(OR(B20="conv",B20="fc"), (C20-F20+1)/E20,C20)))</f>
        <v>6</v>
      </c>
      <c r="I20" s="4">
        <f t="shared" si="3"/>
        <v>2</v>
      </c>
      <c r="J20" s="4">
        <f t="shared" si="6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1"/>
      <c r="X20" s="11"/>
      <c r="Y20" s="4"/>
      <c r="Z20" s="4"/>
      <c r="AA20" s="4"/>
      <c r="AB20" s="4"/>
    </row>
    <row r="21" spans="1:31" ht="15.75" customHeight="1">
      <c r="A21" s="4">
        <v>18</v>
      </c>
      <c r="B21" s="11" t="s">
        <v>41</v>
      </c>
      <c r="C21" s="4">
        <v>1</v>
      </c>
      <c r="D21" s="4">
        <f>G20*H20*H20</f>
        <v>9216</v>
      </c>
      <c r="E21" s="4">
        <v>1</v>
      </c>
      <c r="F21" s="4">
        <v>1</v>
      </c>
      <c r="G21" s="4">
        <v>4096</v>
      </c>
      <c r="H21" s="4">
        <v>1</v>
      </c>
      <c r="I21" s="4">
        <f t="shared" si="3"/>
        <v>1</v>
      </c>
      <c r="J21" s="4">
        <f t="shared" si="6"/>
        <v>75497472</v>
      </c>
      <c r="K21" s="10">
        <f>J21/SUM(J$4:J$23)*100</f>
        <v>5.7542347679495691</v>
      </c>
      <c r="L21" s="4">
        <v>64</v>
      </c>
      <c r="M21" s="4">
        <v>32</v>
      </c>
      <c r="N21" s="4">
        <v>1</v>
      </c>
      <c r="O21" s="4">
        <f>G21/M21</f>
        <v>128</v>
      </c>
      <c r="P21" s="4">
        <f>F21*F21*D21*G21/(L21*M21)</f>
        <v>18432</v>
      </c>
      <c r="Q21" s="4">
        <f>2*L21*M21*N21</f>
        <v>4096</v>
      </c>
      <c r="R21" s="4">
        <f>J21/(Q21*I21)</f>
        <v>18432</v>
      </c>
      <c r="S21" s="4">
        <f>F21*F21*D21</f>
        <v>9216</v>
      </c>
      <c r="T21" s="4">
        <f>G21</f>
        <v>4096</v>
      </c>
      <c r="U21" s="4">
        <f t="shared" ref="U21:V23" si="7">S21/L21</f>
        <v>144</v>
      </c>
      <c r="V21" s="4">
        <f t="shared" si="7"/>
        <v>128</v>
      </c>
      <c r="W21" s="11"/>
      <c r="X21" s="11"/>
      <c r="Y21" s="4">
        <f>D21*F21*F21*G21</f>
        <v>37748736</v>
      </c>
      <c r="Z21" s="4">
        <f>S21*T21</f>
        <v>37748736</v>
      </c>
      <c r="AA21" s="4">
        <v>2</v>
      </c>
      <c r="AB21" s="4">
        <v>1</v>
      </c>
      <c r="AC21" s="20">
        <f>1000000*$H$1/MAX(R21,W21)</f>
        <v>9765.625</v>
      </c>
      <c r="AD21" s="20">
        <f>CEILING(Z21*AB21/18000,1) *M21</f>
        <v>67136</v>
      </c>
      <c r="AE21" s="20">
        <f>Z21*M$1*AB21*H21*H21/(1024*1024*1024)</f>
        <v>260.41666666666669</v>
      </c>
    </row>
    <row r="22" spans="1:31" ht="15.75" customHeight="1">
      <c r="A22" s="4">
        <v>19</v>
      </c>
      <c r="B22" s="11" t="s">
        <v>41</v>
      </c>
      <c r="C22" s="4">
        <f>H21</f>
        <v>1</v>
      </c>
      <c r="D22" s="4">
        <f>G21</f>
        <v>4096</v>
      </c>
      <c r="E22" s="4">
        <v>1</v>
      </c>
      <c r="F22" s="4">
        <v>1</v>
      </c>
      <c r="G22" s="4">
        <v>4096</v>
      </c>
      <c r="H22" s="4">
        <f>IF(B22="pad", C22+2*F22, IF(B22="pool", C22/E22, IF(OR(B22="conv",B22="fc"), (C22-F22+1)/E22,C22)))</f>
        <v>1</v>
      </c>
      <c r="I22" s="4">
        <f t="shared" si="3"/>
        <v>1</v>
      </c>
      <c r="J22" s="4">
        <f t="shared" si="6"/>
        <v>33554432</v>
      </c>
      <c r="K22" s="10">
        <f>J22/SUM(J$4:J$23)*100</f>
        <v>2.5574376746442526</v>
      </c>
      <c r="L22" s="4">
        <v>64</v>
      </c>
      <c r="M22" s="4">
        <v>16</v>
      </c>
      <c r="N22" s="4">
        <v>1</v>
      </c>
      <c r="O22" s="4">
        <f>G22/M22</f>
        <v>256</v>
      </c>
      <c r="P22" s="4">
        <f>F22*F22*D22*G22/(L22*M22)</f>
        <v>16384</v>
      </c>
      <c r="Q22" s="4">
        <f>2*L22*M22*N22</f>
        <v>2048</v>
      </c>
      <c r="R22" s="4">
        <f>J22/(Q22*I22)</f>
        <v>16384</v>
      </c>
      <c r="S22" s="4">
        <f>F22*F22*D22</f>
        <v>4096</v>
      </c>
      <c r="T22" s="4">
        <f>G22</f>
        <v>4096</v>
      </c>
      <c r="U22" s="4">
        <f t="shared" si="7"/>
        <v>64</v>
      </c>
      <c r="V22" s="4">
        <f t="shared" si="7"/>
        <v>256</v>
      </c>
      <c r="W22" s="11"/>
      <c r="X22" s="11"/>
      <c r="Y22" s="4">
        <f>D22*F22*F22*G22</f>
        <v>16777216</v>
      </c>
      <c r="Z22" s="4">
        <f>S22*T22</f>
        <v>16777216</v>
      </c>
      <c r="AA22" s="4">
        <v>2</v>
      </c>
      <c r="AB22" s="4">
        <v>1</v>
      </c>
      <c r="AC22" s="20">
        <f>1000000*$H$1/MAX(R22,W22)</f>
        <v>10986.328125</v>
      </c>
      <c r="AD22" s="20">
        <f>CEILING(Z22*AB22/18000,1) *M22</f>
        <v>14928</v>
      </c>
      <c r="AE22" s="20">
        <f>Z22*M$1*AB22*H22*H22/(1024*1024*1024)</f>
        <v>115.74074074074075</v>
      </c>
    </row>
    <row r="23" spans="1:31" ht="15.75" customHeight="1">
      <c r="A23" s="4">
        <v>20</v>
      </c>
      <c r="B23" s="11" t="s">
        <v>41</v>
      </c>
      <c r="C23" s="4">
        <f>H22</f>
        <v>1</v>
      </c>
      <c r="D23" s="4">
        <f>G22</f>
        <v>4096</v>
      </c>
      <c r="E23" s="4">
        <v>1</v>
      </c>
      <c r="F23" s="4">
        <v>1</v>
      </c>
      <c r="G23" s="4">
        <v>1000</v>
      </c>
      <c r="H23" s="4">
        <f>IF(B23="pad", C23+2*F23, IF(B23="pool", C23/E23, IF(OR(B23="conv",B23="fc"), (C23-F23+1)/E23,C23)))</f>
        <v>1</v>
      </c>
      <c r="I23" s="4">
        <f t="shared" si="3"/>
        <v>1</v>
      </c>
      <c r="J23" s="4">
        <f t="shared" si="6"/>
        <v>8192000</v>
      </c>
      <c r="K23" s="10">
        <f>J23/SUM(J$4:J$23)*100</f>
        <v>0.6243744322861946</v>
      </c>
      <c r="L23" s="4">
        <v>8</v>
      </c>
      <c r="M23" s="4">
        <v>32</v>
      </c>
      <c r="N23" s="4">
        <v>1</v>
      </c>
      <c r="O23" s="4">
        <f>G23/M23</f>
        <v>31.25</v>
      </c>
      <c r="P23" s="4">
        <f>F23*F23*D23*G23/(L23*M23)</f>
        <v>16000</v>
      </c>
      <c r="Q23" s="4">
        <f>2*L23*M23*N23</f>
        <v>512</v>
      </c>
      <c r="R23" s="4">
        <f>J23/(Q23*I23)</f>
        <v>16000</v>
      </c>
      <c r="S23" s="4">
        <f>F23*F23*D23</f>
        <v>4096</v>
      </c>
      <c r="T23" s="4">
        <f>G23</f>
        <v>1000</v>
      </c>
      <c r="U23" s="4">
        <f t="shared" si="7"/>
        <v>512</v>
      </c>
      <c r="V23" s="4">
        <f t="shared" si="7"/>
        <v>31.25</v>
      </c>
      <c r="W23" s="11"/>
      <c r="X23" s="11"/>
      <c r="Y23" s="4">
        <f>D23*F23*F23*G23</f>
        <v>4096000</v>
      </c>
      <c r="Z23" s="4">
        <f>S23*T23</f>
        <v>4096000</v>
      </c>
      <c r="AA23" s="4">
        <v>2</v>
      </c>
      <c r="AB23" s="4">
        <v>4</v>
      </c>
      <c r="AC23" s="20">
        <f>1000000*$H$1/MAX(R23,W23)</f>
        <v>11250</v>
      </c>
      <c r="AD23" s="20">
        <f>CEILING(Z23*AB23/18000,1) *M23</f>
        <v>29152</v>
      </c>
      <c r="AE23" s="20">
        <f>Z23*M$1*AB23*H23*H23/(1024*1024*1024)</f>
        <v>113.02806712962963</v>
      </c>
    </row>
    <row r="27" spans="1:31" ht="15.75" customHeight="1">
      <c r="J27" s="20">
        <f>2168/3874</f>
        <v>0.55962829117191537</v>
      </c>
    </row>
    <row r="28" spans="1:31" ht="15.75" customHeight="1">
      <c r="H28" s="12"/>
    </row>
    <row r="30" spans="1:31" ht="15.75" customHeight="1">
      <c r="E30" s="12"/>
    </row>
    <row r="31" spans="1:31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A4" sqref="A4"/>
    </sheetView>
  </sheetViews>
  <sheetFormatPr defaultColWidth="14.42578125" defaultRowHeight="15.75" customHeight="1"/>
  <cols>
    <col min="1" max="1" width="15.140625" customWidth="1"/>
    <col min="3" max="3" width="6.85546875" customWidth="1"/>
    <col min="4" max="4" width="11.42578125" customWidth="1"/>
    <col min="9" max="9" width="17.42578125" customWidth="1"/>
    <col min="10" max="11" width="24.42578125" customWidth="1"/>
    <col min="13" max="13" width="16.28515625" customWidth="1"/>
    <col min="14" max="14" width="14.42578125" customWidth="1"/>
    <col min="15" max="15" width="19.28515625" customWidth="1"/>
    <col min="16" max="17" width="14.42578125" customWidth="1"/>
  </cols>
  <sheetData>
    <row r="1" spans="1:17" ht="15.75" customHeight="1">
      <c r="A1" s="34" t="s">
        <v>44</v>
      </c>
      <c r="B1" s="35"/>
      <c r="C1" s="34">
        <f>SUM(Q4:Q25)/100</f>
        <v>7.6479071381433643</v>
      </c>
      <c r="D1" s="35"/>
      <c r="E1" s="34" t="s">
        <v>45</v>
      </c>
      <c r="F1" s="35"/>
      <c r="G1" s="1">
        <f>B25*B26*B27/(C1*1000)</f>
        <v>15179.054596651651</v>
      </c>
      <c r="H1" s="3"/>
      <c r="I1" s="2" t="s">
        <v>46</v>
      </c>
      <c r="J1" s="2">
        <f>G1/(SUM(J3:J114)/1000000000)</f>
        <v>12951.177578792853</v>
      </c>
      <c r="K1" s="2"/>
      <c r="L1" s="4"/>
      <c r="M1" s="5"/>
      <c r="N1" s="5"/>
      <c r="O1" s="5"/>
      <c r="P1" s="5"/>
      <c r="Q1" s="5"/>
    </row>
    <row r="2" spans="1:17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SUM(J3:J114)/1000000 &amp;"M"</f>
        <v>ops, total: 1172.021193M</v>
      </c>
      <c r="K2" s="2" t="s">
        <v>47</v>
      </c>
      <c r="L2" s="1" t="s">
        <v>15</v>
      </c>
      <c r="M2" s="2" t="s">
        <v>31</v>
      </c>
      <c r="N2" s="2" t="s">
        <v>32</v>
      </c>
      <c r="O2" s="2" t="s">
        <v>48</v>
      </c>
      <c r="P2" s="2" t="s">
        <v>49</v>
      </c>
      <c r="Q2" s="2"/>
    </row>
    <row r="3" spans="1:17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4"/>
      <c r="L3" s="5"/>
      <c r="M3" s="5"/>
      <c r="N3" s="5"/>
      <c r="O3" s="5"/>
      <c r="P3" s="4">
        <v>3</v>
      </c>
      <c r="Q3" s="5"/>
    </row>
    <row r="4" spans="1:17" ht="15.75" customHeight="1">
      <c r="A4" s="4">
        <v>1</v>
      </c>
      <c r="B4" s="9" t="s">
        <v>37</v>
      </c>
      <c r="C4" s="4">
        <f t="shared" ref="C4:C20" si="1">H3</f>
        <v>227</v>
      </c>
      <c r="D4" s="4">
        <f>G3</f>
        <v>3</v>
      </c>
      <c r="E4" s="3">
        <v>4</v>
      </c>
      <c r="F4" s="3">
        <v>12</v>
      </c>
      <c r="G4" s="3" t="s">
        <v>79</v>
      </c>
      <c r="H4" s="4">
        <f>IF(B4="pad", C4+2*F4, IF(B4="pool", C4/F4, IF(OR(B4="conv",B4="fc"), (C4-F4+1)/E4,C4)))</f>
        <v>54</v>
      </c>
      <c r="I4" s="4">
        <f>IF(B3="merge", 1, IF(B3="split", 2, I3))</f>
        <v>1</v>
      </c>
      <c r="J4" s="4">
        <f t="shared" si="0"/>
        <v>120932352</v>
      </c>
      <c r="K4" s="4">
        <f>J4*B38</f>
        <v>3083774976</v>
      </c>
      <c r="L4" s="10">
        <f>J4/SUM(J$4:J$23)*100</f>
        <v>10.318273485349851</v>
      </c>
      <c r="M4" s="3">
        <v>8</v>
      </c>
      <c r="N4" s="3">
        <v>4</v>
      </c>
      <c r="O4" s="3">
        <v>25.5</v>
      </c>
      <c r="P4" s="3">
        <v>96</v>
      </c>
      <c r="Q4" s="3">
        <f t="shared" ref="Q4:Q23" si="2">O4*L4</f>
        <v>263.11597387642121</v>
      </c>
    </row>
    <row r="5" spans="1:17" ht="15.75" customHeight="1">
      <c r="A5" s="4">
        <v>2</v>
      </c>
      <c r="B5" s="8" t="s">
        <v>38</v>
      </c>
      <c r="C5" s="4">
        <f t="shared" si="1"/>
        <v>54</v>
      </c>
      <c r="D5" s="4" t="str">
        <f>G4</f>
        <v>48</v>
      </c>
      <c r="E5" s="3">
        <v>1</v>
      </c>
      <c r="F5" s="4">
        <v>1</v>
      </c>
      <c r="G5" s="3" t="s">
        <v>80</v>
      </c>
      <c r="H5" s="4">
        <f>IF(B5="pad", C5+2*F5, IF(B5="pool", C5/F5, IF(OR(B5="conv",B5="fc"), (C5-F5+1)/E5,C5)))</f>
        <v>54</v>
      </c>
      <c r="I5" s="4">
        <f>IF(B4="merge", 1, IF(B4="split", 2, I4))</f>
        <v>1</v>
      </c>
      <c r="J5" s="4">
        <f t="shared" si="0"/>
        <v>0</v>
      </c>
      <c r="K5" s="4"/>
      <c r="L5" s="10"/>
      <c r="M5" s="5"/>
      <c r="N5" s="5"/>
      <c r="O5" s="5"/>
      <c r="P5" s="3">
        <v>48</v>
      </c>
      <c r="Q5" s="3">
        <f t="shared" si="2"/>
        <v>0</v>
      </c>
    </row>
    <row r="6" spans="1:17" ht="15.75" customHeight="1">
      <c r="A6" s="4">
        <v>3</v>
      </c>
      <c r="B6" s="8" t="s">
        <v>36</v>
      </c>
      <c r="C6" s="4">
        <f t="shared" si="1"/>
        <v>54</v>
      </c>
      <c r="D6" s="4" t="str">
        <f>G5</f>
        <v>24</v>
      </c>
      <c r="E6" s="3">
        <v>1</v>
      </c>
      <c r="F6" s="3">
        <v>2</v>
      </c>
      <c r="G6" s="3" t="s">
        <v>80</v>
      </c>
      <c r="H6" s="4">
        <f>IF(B6="pad", C6+2*F6, IF(B6="pool", C6/F6, IF(OR(B6="conv",B6="fc"), (C6-F6+1)/E6,C6)))</f>
        <v>58</v>
      </c>
      <c r="I6" s="4">
        <f>IF(B5="merge", 1, IF(B5="split", 2, I5))</f>
        <v>2</v>
      </c>
      <c r="J6" s="4">
        <f t="shared" si="0"/>
        <v>0</v>
      </c>
      <c r="K6" s="4"/>
      <c r="L6" s="10"/>
      <c r="M6" s="4"/>
      <c r="N6" s="4"/>
      <c r="O6" s="4"/>
      <c r="P6" s="3">
        <v>48</v>
      </c>
      <c r="Q6" s="3">
        <f t="shared" si="2"/>
        <v>0</v>
      </c>
    </row>
    <row r="7" spans="1:17" ht="15.75" customHeight="1">
      <c r="A7" s="4">
        <v>4</v>
      </c>
      <c r="B7" s="9" t="s">
        <v>37</v>
      </c>
      <c r="C7" s="4">
        <f t="shared" si="1"/>
        <v>58</v>
      </c>
      <c r="D7" s="4" t="str">
        <f>G5</f>
        <v>24</v>
      </c>
      <c r="E7" s="3">
        <v>1</v>
      </c>
      <c r="F7" s="3">
        <v>5</v>
      </c>
      <c r="G7" s="3" t="s">
        <v>81</v>
      </c>
      <c r="H7" s="4">
        <f>IF(B7="pad", C7+2*F7, IF(B7="pool", C7/F7, IF(OR(B7="conv",B7="fc"), (C7-F7+1)/E7,C7)))</f>
        <v>54</v>
      </c>
      <c r="I7" s="3">
        <v>2</v>
      </c>
      <c r="J7" s="4">
        <f t="shared" si="0"/>
        <v>223948800</v>
      </c>
      <c r="K7" s="4">
        <f t="shared" ref="K7:K22" si="3">J7*B$39</f>
        <v>1343692800</v>
      </c>
      <c r="L7" s="10">
        <f>J7/SUM(J$4:J$23)*100</f>
        <v>19.107913861758981</v>
      </c>
      <c r="M7" s="3">
        <v>2</v>
      </c>
      <c r="N7" s="3">
        <v>1</v>
      </c>
      <c r="O7" s="3">
        <v>6</v>
      </c>
      <c r="P7" s="3">
        <v>64</v>
      </c>
      <c r="Q7" s="3">
        <f t="shared" si="2"/>
        <v>114.64748317055388</v>
      </c>
    </row>
    <row r="8" spans="1:17" ht="15.75" customHeight="1">
      <c r="A8" s="4">
        <v>5</v>
      </c>
      <c r="B8" s="9" t="s">
        <v>39</v>
      </c>
      <c r="C8" s="4">
        <f t="shared" si="1"/>
        <v>54</v>
      </c>
      <c r="D8" s="4" t="str">
        <f>G7</f>
        <v>32</v>
      </c>
      <c r="E8" s="3">
        <v>2</v>
      </c>
      <c r="F8" s="3">
        <v>3</v>
      </c>
      <c r="G8" s="3" t="s">
        <v>81</v>
      </c>
      <c r="H8" s="4">
        <f t="shared" ref="H8:H18" si="4">IF(B8="pad", C8+2*F8, IF(B8="pool", C8/E8, IF(OR(B8="conv",B8="fc"), (C8-F8+1)/E8,C8)))</f>
        <v>27</v>
      </c>
      <c r="I8" s="4">
        <f t="shared" ref="I8:I23" si="5">IF(B7="merge", 1, IF(B7="split", 2, I7))</f>
        <v>2</v>
      </c>
      <c r="J8" s="4">
        <f t="shared" si="0"/>
        <v>6561</v>
      </c>
      <c r="K8" s="4">
        <f t="shared" si="3"/>
        <v>39366</v>
      </c>
      <c r="L8" s="10"/>
      <c r="M8" s="5"/>
      <c r="N8" s="5"/>
      <c r="O8" s="3"/>
      <c r="P8" s="3">
        <v>64</v>
      </c>
      <c r="Q8" s="3">
        <f t="shared" si="2"/>
        <v>0</v>
      </c>
    </row>
    <row r="9" spans="1:17" ht="15.75" customHeight="1">
      <c r="A9" s="4">
        <v>6</v>
      </c>
      <c r="B9" s="8" t="s">
        <v>40</v>
      </c>
      <c r="C9" s="4">
        <f t="shared" si="1"/>
        <v>27</v>
      </c>
      <c r="D9" s="3">
        <v>64</v>
      </c>
      <c r="E9" s="3">
        <v>1</v>
      </c>
      <c r="F9" s="4">
        <v>1</v>
      </c>
      <c r="G9" s="3" t="s">
        <v>82</v>
      </c>
      <c r="H9" s="4">
        <f t="shared" si="4"/>
        <v>27</v>
      </c>
      <c r="I9" s="4">
        <f t="shared" si="5"/>
        <v>2</v>
      </c>
      <c r="J9" s="4">
        <f t="shared" si="0"/>
        <v>0</v>
      </c>
      <c r="K9" s="4">
        <f t="shared" si="3"/>
        <v>0</v>
      </c>
      <c r="L9" s="10"/>
      <c r="M9" s="5"/>
      <c r="N9" s="5"/>
      <c r="O9" s="3"/>
      <c r="P9" s="3">
        <v>256</v>
      </c>
      <c r="Q9" s="3">
        <f t="shared" si="2"/>
        <v>0</v>
      </c>
    </row>
    <row r="10" spans="1:17" ht="15.75" customHeight="1">
      <c r="A10" s="4">
        <v>7</v>
      </c>
      <c r="B10" s="8" t="s">
        <v>36</v>
      </c>
      <c r="C10" s="4">
        <f t="shared" si="1"/>
        <v>27</v>
      </c>
      <c r="D10" s="4" t="str">
        <f t="shared" ref="D10:D20" si="6">G9</f>
        <v>128</v>
      </c>
      <c r="E10" s="3">
        <v>1</v>
      </c>
      <c r="F10" s="3">
        <v>1</v>
      </c>
      <c r="G10" s="3" t="s">
        <v>82</v>
      </c>
      <c r="H10" s="4">
        <f t="shared" si="4"/>
        <v>29</v>
      </c>
      <c r="I10" s="4">
        <f t="shared" si="5"/>
        <v>1</v>
      </c>
      <c r="J10" s="4"/>
      <c r="K10" s="4">
        <f t="shared" si="3"/>
        <v>0</v>
      </c>
      <c r="L10" s="10"/>
      <c r="M10" s="4"/>
      <c r="N10" s="4"/>
      <c r="O10" s="3"/>
      <c r="P10" s="3">
        <v>256</v>
      </c>
      <c r="Q10" s="3">
        <f t="shared" si="2"/>
        <v>0</v>
      </c>
    </row>
    <row r="11" spans="1:17" ht="15.75" customHeight="1">
      <c r="A11" s="4">
        <v>8</v>
      </c>
      <c r="B11" s="9" t="s">
        <v>37</v>
      </c>
      <c r="C11" s="4">
        <f t="shared" si="1"/>
        <v>29</v>
      </c>
      <c r="D11" s="4" t="str">
        <f t="shared" si="6"/>
        <v>128</v>
      </c>
      <c r="E11" s="3">
        <v>1</v>
      </c>
      <c r="F11" s="4">
        <v>3</v>
      </c>
      <c r="G11" s="3" t="s">
        <v>83</v>
      </c>
      <c r="H11" s="4">
        <f t="shared" si="4"/>
        <v>27</v>
      </c>
      <c r="I11" s="4">
        <f t="shared" si="5"/>
        <v>1</v>
      </c>
      <c r="J11" s="4">
        <f t="shared" ref="J11:J23" si="7">IF(B11="pad", 0, IF(B11="pool", H11*H11*F11*F11, IF(OR(B11="conv",B11="fc"), I11*2*H11*H11*F11*F11*D11*G11,0)))</f>
        <v>322486272</v>
      </c>
      <c r="K11" s="4">
        <f t="shared" si="3"/>
        <v>1934917632</v>
      </c>
      <c r="L11" s="10">
        <f>J11/SUM(J$4:J$23)*100</f>
        <v>27.515395960932938</v>
      </c>
      <c r="M11" s="3">
        <v>2</v>
      </c>
      <c r="N11" s="3">
        <v>1</v>
      </c>
      <c r="O11" s="3">
        <v>6</v>
      </c>
      <c r="P11" s="3">
        <v>384</v>
      </c>
      <c r="Q11" s="3">
        <f t="shared" si="2"/>
        <v>165.09237576559764</v>
      </c>
    </row>
    <row r="12" spans="1:17" ht="15.75" customHeight="1">
      <c r="A12" s="4">
        <v>9</v>
      </c>
      <c r="B12" s="9" t="s">
        <v>36</v>
      </c>
      <c r="C12" s="4">
        <f t="shared" si="1"/>
        <v>27</v>
      </c>
      <c r="D12" s="4" t="str">
        <f t="shared" si="6"/>
        <v>192</v>
      </c>
      <c r="E12" s="3">
        <v>1</v>
      </c>
      <c r="F12" s="3">
        <v>0.5</v>
      </c>
      <c r="G12" s="3" t="s">
        <v>84</v>
      </c>
      <c r="H12" s="4">
        <f t="shared" si="4"/>
        <v>28</v>
      </c>
      <c r="I12" s="4">
        <f t="shared" si="5"/>
        <v>1</v>
      </c>
      <c r="J12" s="4">
        <f t="shared" si="7"/>
        <v>0</v>
      </c>
      <c r="K12" s="4">
        <f t="shared" si="3"/>
        <v>0</v>
      </c>
      <c r="L12" s="10"/>
      <c r="M12" s="5"/>
      <c r="N12" s="5"/>
      <c r="O12" s="3"/>
      <c r="P12" s="3">
        <v>384</v>
      </c>
      <c r="Q12" s="3">
        <f t="shared" si="2"/>
        <v>0</v>
      </c>
    </row>
    <row r="13" spans="1:17" ht="15.75" customHeight="1">
      <c r="A13" s="4">
        <v>10</v>
      </c>
      <c r="B13" s="9" t="s">
        <v>39</v>
      </c>
      <c r="C13" s="4">
        <f t="shared" si="1"/>
        <v>28</v>
      </c>
      <c r="D13" s="4" t="str">
        <f t="shared" si="6"/>
        <v>384</v>
      </c>
      <c r="E13" s="3">
        <v>2</v>
      </c>
      <c r="F13" s="3">
        <v>3</v>
      </c>
      <c r="G13" s="3" t="s">
        <v>84</v>
      </c>
      <c r="H13" s="4">
        <f t="shared" si="4"/>
        <v>14</v>
      </c>
      <c r="I13" s="4">
        <f t="shared" si="5"/>
        <v>1</v>
      </c>
      <c r="J13" s="4">
        <f t="shared" si="7"/>
        <v>1764</v>
      </c>
      <c r="K13" s="4">
        <f t="shared" si="3"/>
        <v>10584</v>
      </c>
      <c r="L13" s="10"/>
      <c r="M13" s="5"/>
      <c r="N13" s="5"/>
      <c r="O13" s="3"/>
      <c r="P13" s="3">
        <v>384</v>
      </c>
      <c r="Q13" s="3">
        <f t="shared" si="2"/>
        <v>0</v>
      </c>
    </row>
    <row r="14" spans="1:17" ht="15.75" customHeight="1">
      <c r="A14" s="4">
        <v>11</v>
      </c>
      <c r="B14" s="8" t="s">
        <v>38</v>
      </c>
      <c r="C14" s="4">
        <f t="shared" si="1"/>
        <v>14</v>
      </c>
      <c r="D14" s="4" t="str">
        <f t="shared" si="6"/>
        <v>384</v>
      </c>
      <c r="E14" s="3">
        <v>1</v>
      </c>
      <c r="F14" s="3">
        <v>1</v>
      </c>
      <c r="G14" s="3" t="s">
        <v>83</v>
      </c>
      <c r="H14" s="4">
        <f t="shared" si="4"/>
        <v>14</v>
      </c>
      <c r="I14" s="4">
        <f t="shared" si="5"/>
        <v>1</v>
      </c>
      <c r="J14" s="4">
        <f t="shared" si="7"/>
        <v>0</v>
      </c>
      <c r="K14" s="4">
        <f t="shared" si="3"/>
        <v>0</v>
      </c>
      <c r="L14" s="10"/>
      <c r="M14" s="5"/>
      <c r="N14" s="5"/>
      <c r="O14" s="3"/>
      <c r="P14" s="3">
        <v>192</v>
      </c>
      <c r="Q14" s="3">
        <f t="shared" si="2"/>
        <v>0</v>
      </c>
    </row>
    <row r="15" spans="1:17" ht="15.75" customHeight="1">
      <c r="A15" s="4">
        <v>12</v>
      </c>
      <c r="B15" s="8" t="s">
        <v>36</v>
      </c>
      <c r="C15" s="4">
        <f t="shared" si="1"/>
        <v>14</v>
      </c>
      <c r="D15" s="4" t="str">
        <f t="shared" si="6"/>
        <v>192</v>
      </c>
      <c r="E15" s="3">
        <v>1</v>
      </c>
      <c r="F15" s="4">
        <v>1</v>
      </c>
      <c r="G15" s="3" t="s">
        <v>83</v>
      </c>
      <c r="H15" s="4">
        <f t="shared" si="4"/>
        <v>16</v>
      </c>
      <c r="I15" s="4">
        <f t="shared" si="5"/>
        <v>2</v>
      </c>
      <c r="J15" s="4">
        <f t="shared" si="7"/>
        <v>0</v>
      </c>
      <c r="K15" s="4">
        <f t="shared" si="3"/>
        <v>0</v>
      </c>
      <c r="L15" s="10"/>
      <c r="M15" s="5"/>
      <c r="N15" s="5"/>
      <c r="O15" s="3"/>
      <c r="P15" s="3">
        <v>192</v>
      </c>
      <c r="Q15" s="3">
        <f t="shared" si="2"/>
        <v>0</v>
      </c>
    </row>
    <row r="16" spans="1:17" ht="15.75" customHeight="1">
      <c r="A16" s="4">
        <v>13</v>
      </c>
      <c r="B16" s="9" t="s">
        <v>37</v>
      </c>
      <c r="C16" s="4">
        <f t="shared" si="1"/>
        <v>16</v>
      </c>
      <c r="D16" s="4" t="str">
        <f t="shared" si="6"/>
        <v>192</v>
      </c>
      <c r="E16" s="3">
        <v>1</v>
      </c>
      <c r="F16" s="4">
        <v>3</v>
      </c>
      <c r="G16" s="3" t="s">
        <v>83</v>
      </c>
      <c r="H16" s="4">
        <f t="shared" si="4"/>
        <v>14</v>
      </c>
      <c r="I16" s="4">
        <f t="shared" si="5"/>
        <v>2</v>
      </c>
      <c r="J16" s="4">
        <f t="shared" si="7"/>
        <v>260112384</v>
      </c>
      <c r="K16" s="4">
        <f t="shared" si="3"/>
        <v>1560674304</v>
      </c>
      <c r="L16" s="10">
        <f>J16/SUM(J$4:J$23)*100</f>
        <v>22.19348810017636</v>
      </c>
      <c r="M16" s="3">
        <v>2</v>
      </c>
      <c r="N16" s="3">
        <v>1</v>
      </c>
      <c r="O16" s="3">
        <v>6</v>
      </c>
      <c r="P16" s="3">
        <v>192</v>
      </c>
      <c r="Q16" s="3">
        <f t="shared" si="2"/>
        <v>133.16092860105817</v>
      </c>
    </row>
    <row r="17" spans="1:17" ht="15.75" customHeight="1">
      <c r="A17" s="4">
        <v>14</v>
      </c>
      <c r="B17" s="9" t="s">
        <v>36</v>
      </c>
      <c r="C17" s="4">
        <f t="shared" si="1"/>
        <v>14</v>
      </c>
      <c r="D17" s="4" t="str">
        <f t="shared" si="6"/>
        <v>192</v>
      </c>
      <c r="E17" s="3">
        <v>1</v>
      </c>
      <c r="F17" s="4">
        <v>1</v>
      </c>
      <c r="G17" s="3" t="s">
        <v>83</v>
      </c>
      <c r="H17" s="4">
        <f t="shared" si="4"/>
        <v>16</v>
      </c>
      <c r="I17" s="4">
        <f t="shared" si="5"/>
        <v>2</v>
      </c>
      <c r="J17" s="4">
        <f t="shared" si="7"/>
        <v>0</v>
      </c>
      <c r="K17" s="4">
        <f t="shared" si="3"/>
        <v>0</v>
      </c>
      <c r="L17" s="10"/>
      <c r="M17" s="5"/>
      <c r="N17" s="5"/>
      <c r="O17" s="3"/>
      <c r="P17" s="3">
        <v>192</v>
      </c>
      <c r="Q17" s="3">
        <f t="shared" si="2"/>
        <v>0</v>
      </c>
    </row>
    <row r="18" spans="1:17" ht="15.75" customHeight="1">
      <c r="A18" s="4">
        <v>15</v>
      </c>
      <c r="B18" s="9" t="s">
        <v>37</v>
      </c>
      <c r="C18" s="4">
        <f t="shared" si="1"/>
        <v>16</v>
      </c>
      <c r="D18" s="4" t="str">
        <f t="shared" si="6"/>
        <v>192</v>
      </c>
      <c r="E18" s="3">
        <v>1</v>
      </c>
      <c r="F18" s="4">
        <v>3</v>
      </c>
      <c r="G18" s="3" t="s">
        <v>82</v>
      </c>
      <c r="H18" s="4">
        <f t="shared" si="4"/>
        <v>14</v>
      </c>
      <c r="I18" s="4">
        <f t="shared" si="5"/>
        <v>2</v>
      </c>
      <c r="J18" s="4">
        <f t="shared" si="7"/>
        <v>173408256</v>
      </c>
      <c r="K18" s="4">
        <f t="shared" si="3"/>
        <v>1040449536</v>
      </c>
      <c r="L18" s="10">
        <f>J18/SUM(J$4:J$23)*100</f>
        <v>14.795658733450907</v>
      </c>
      <c r="M18" s="3">
        <v>2</v>
      </c>
      <c r="N18" s="3">
        <v>1</v>
      </c>
      <c r="O18" s="3">
        <v>6</v>
      </c>
      <c r="P18" s="3">
        <v>128</v>
      </c>
      <c r="Q18" s="3">
        <f t="shared" si="2"/>
        <v>88.77395240070544</v>
      </c>
    </row>
    <row r="19" spans="1:17" ht="15.75" customHeight="1">
      <c r="A19" s="4">
        <v>16</v>
      </c>
      <c r="B19" s="9" t="s">
        <v>39</v>
      </c>
      <c r="C19" s="4">
        <f t="shared" si="1"/>
        <v>14</v>
      </c>
      <c r="D19" s="4" t="str">
        <f t="shared" si="6"/>
        <v>128</v>
      </c>
      <c r="E19" s="3">
        <v>2</v>
      </c>
      <c r="F19" s="3">
        <v>3</v>
      </c>
      <c r="G19" s="3" t="s">
        <v>82</v>
      </c>
      <c r="H19" s="3">
        <v>6</v>
      </c>
      <c r="I19" s="4">
        <f t="shared" si="5"/>
        <v>2</v>
      </c>
      <c r="J19" s="4">
        <f t="shared" si="7"/>
        <v>324</v>
      </c>
      <c r="K19" s="4">
        <f t="shared" si="3"/>
        <v>1944</v>
      </c>
      <c r="L19" s="10"/>
      <c r="M19" s="11"/>
      <c r="N19" s="5"/>
      <c r="O19" s="3"/>
      <c r="P19" s="3">
        <v>128</v>
      </c>
      <c r="Q19" s="3">
        <f t="shared" si="2"/>
        <v>0</v>
      </c>
    </row>
    <row r="20" spans="1:17" ht="15.75" customHeight="1">
      <c r="A20" s="4">
        <v>17</v>
      </c>
      <c r="B20" s="8" t="s">
        <v>40</v>
      </c>
      <c r="C20" s="4">
        <f t="shared" si="1"/>
        <v>6</v>
      </c>
      <c r="D20" s="4" t="str">
        <f t="shared" si="6"/>
        <v>128</v>
      </c>
      <c r="E20" s="3">
        <v>1</v>
      </c>
      <c r="F20" s="3">
        <v>1</v>
      </c>
      <c r="G20" s="3" t="s">
        <v>85</v>
      </c>
      <c r="H20" s="4">
        <f>IF(B20="pad", C20+2*F20, IF(B20="pool", C20/E20, IF(OR(B20="conv",B20="fc"), (C20-F20+1)/E20,C20)))</f>
        <v>6</v>
      </c>
      <c r="I20" s="4">
        <f t="shared" si="5"/>
        <v>2</v>
      </c>
      <c r="J20" s="4">
        <f t="shared" si="7"/>
        <v>0</v>
      </c>
      <c r="K20" s="4">
        <f t="shared" si="3"/>
        <v>0</v>
      </c>
      <c r="L20" s="10"/>
      <c r="M20" s="4"/>
      <c r="N20" s="4"/>
      <c r="O20" s="3"/>
      <c r="P20" s="3">
        <v>256</v>
      </c>
      <c r="Q20" s="3">
        <f t="shared" si="2"/>
        <v>0</v>
      </c>
    </row>
    <row r="21" spans="1:17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 t="s">
        <v>86</v>
      </c>
      <c r="H21" s="3">
        <v>1</v>
      </c>
      <c r="I21" s="4">
        <f t="shared" si="5"/>
        <v>1</v>
      </c>
      <c r="J21" s="4">
        <f t="shared" si="7"/>
        <v>50577408</v>
      </c>
      <c r="K21" s="4">
        <f t="shared" si="3"/>
        <v>303464448</v>
      </c>
      <c r="L21" s="10">
        <f>J21/SUM(J$4:J$23)*100</f>
        <v>4.3154004639231811</v>
      </c>
      <c r="M21" s="3">
        <v>2</v>
      </c>
      <c r="N21" s="3">
        <v>1</v>
      </c>
      <c r="O21" s="3">
        <v>0</v>
      </c>
      <c r="P21" s="3">
        <v>4096</v>
      </c>
      <c r="Q21" s="3">
        <f t="shared" si="2"/>
        <v>0</v>
      </c>
    </row>
    <row r="22" spans="1:17" ht="15.75" customHeight="1">
      <c r="A22" s="4">
        <v>19</v>
      </c>
      <c r="B22" s="9" t="s">
        <v>41</v>
      </c>
      <c r="C22" s="4">
        <f>H21</f>
        <v>1</v>
      </c>
      <c r="D22" s="4" t="str">
        <f>G21</f>
        <v>2744</v>
      </c>
      <c r="E22" s="3">
        <v>1</v>
      </c>
      <c r="F22" s="4">
        <v>1</v>
      </c>
      <c r="G22" s="3" t="s">
        <v>86</v>
      </c>
      <c r="H22" s="4">
        <f>IF(B22="pad", C22+2*F22, IF(B22="pool", C22/E22, IF(OR(B22="conv",B22="fc"), (C22-F22+1)/E22,C22)))</f>
        <v>1</v>
      </c>
      <c r="I22" s="4">
        <f t="shared" si="5"/>
        <v>1</v>
      </c>
      <c r="J22" s="4">
        <f t="shared" si="7"/>
        <v>15059072</v>
      </c>
      <c r="K22" s="4">
        <f t="shared" si="3"/>
        <v>90354432</v>
      </c>
      <c r="L22" s="10">
        <f>J22/SUM(J$4:J$23)*100</f>
        <v>1.2848805200743501</v>
      </c>
      <c r="M22" s="3">
        <v>2</v>
      </c>
      <c r="N22" s="3">
        <v>1</v>
      </c>
      <c r="O22" s="3">
        <v>0</v>
      </c>
      <c r="P22" s="3">
        <v>4096</v>
      </c>
      <c r="Q22" s="3">
        <f t="shared" si="2"/>
        <v>0</v>
      </c>
    </row>
    <row r="23" spans="1:17" ht="15.75" customHeight="1">
      <c r="A23" s="4">
        <v>20</v>
      </c>
      <c r="B23" s="9" t="s">
        <v>41</v>
      </c>
      <c r="C23" s="4">
        <f>H22</f>
        <v>1</v>
      </c>
      <c r="D23" s="4" t="str">
        <f>G22</f>
        <v>2744</v>
      </c>
      <c r="E23" s="3">
        <v>1</v>
      </c>
      <c r="F23" s="4">
        <v>1</v>
      </c>
      <c r="G23" s="3">
        <v>1000</v>
      </c>
      <c r="H23" s="4">
        <f>IF(B23="pad", C23+2*F23, IF(B23="pool", C23/E23, IF(OR(B23="conv",B23="fc"), (C23-F23+1)/E23,C23)))</f>
        <v>1</v>
      </c>
      <c r="I23" s="4">
        <f t="shared" si="5"/>
        <v>1</v>
      </c>
      <c r="J23" s="4">
        <f t="shared" si="7"/>
        <v>5488000</v>
      </c>
      <c r="K23" s="4">
        <f>J23*B40</f>
        <v>46648000</v>
      </c>
      <c r="L23" s="10">
        <f>J23/SUM(J$4:J$23)*100</f>
        <v>0.46825091839444233</v>
      </c>
      <c r="M23" s="3">
        <v>2</v>
      </c>
      <c r="N23" s="3">
        <v>4</v>
      </c>
      <c r="O23" s="3">
        <v>0</v>
      </c>
      <c r="P23" s="3">
        <v>1000</v>
      </c>
      <c r="Q23" s="3">
        <f t="shared" si="2"/>
        <v>0</v>
      </c>
    </row>
    <row r="25" spans="1:17" ht="15.75" customHeight="1">
      <c r="A25" s="12" t="s">
        <v>50</v>
      </c>
      <c r="B25" s="12">
        <v>663360</v>
      </c>
      <c r="N25" s="12"/>
    </row>
    <row r="26" spans="1:17" ht="15.75" customHeight="1">
      <c r="A26" s="12" t="s">
        <v>51</v>
      </c>
      <c r="B26" s="12">
        <v>250</v>
      </c>
      <c r="D26" s="12"/>
    </row>
    <row r="27" spans="1:17" ht="15.75" customHeight="1">
      <c r="A27" s="12" t="s">
        <v>52</v>
      </c>
      <c r="B27" s="13">
        <v>0.7</v>
      </c>
    </row>
    <row r="28" spans="1:17" ht="15.75" customHeight="1">
      <c r="A28" s="12"/>
      <c r="B28" s="12"/>
      <c r="H28" s="12"/>
    </row>
    <row r="29" spans="1:17" ht="15.75" customHeight="1">
      <c r="A29" s="12" t="s">
        <v>53</v>
      </c>
      <c r="B29" s="12" t="s">
        <v>54</v>
      </c>
      <c r="H29" s="12"/>
    </row>
    <row r="30" spans="1:17" ht="15.75" customHeight="1">
      <c r="A30" s="12" t="s">
        <v>55</v>
      </c>
      <c r="B30" s="12">
        <v>178</v>
      </c>
    </row>
    <row r="31" spans="1:17" ht="15.75" customHeight="1">
      <c r="A31" s="12" t="s">
        <v>56</v>
      </c>
      <c r="B31" s="12">
        <v>331</v>
      </c>
    </row>
    <row r="32" spans="1:17" ht="15.75" customHeight="1">
      <c r="A32" s="12" t="s">
        <v>57</v>
      </c>
      <c r="B32" s="12">
        <v>8</v>
      </c>
    </row>
    <row r="33" spans="1:2" ht="15.75" customHeight="1">
      <c r="A33" s="12" t="s">
        <v>58</v>
      </c>
      <c r="B33" s="12">
        <v>40</v>
      </c>
    </row>
    <row r="34" spans="1:2" ht="15.75" customHeight="1">
      <c r="A34" s="12" t="s">
        <v>59</v>
      </c>
      <c r="B34" s="12">
        <v>11</v>
      </c>
    </row>
    <row r="35" spans="1:2" ht="15.75" customHeight="1">
      <c r="A35" s="12" t="s">
        <v>60</v>
      </c>
      <c r="B35" s="12">
        <v>6</v>
      </c>
    </row>
    <row r="36" spans="1:2" ht="15.75" customHeight="1">
      <c r="A36" s="12" t="s">
        <v>61</v>
      </c>
      <c r="B36" s="12">
        <v>2.5</v>
      </c>
    </row>
    <row r="37" spans="1:2" ht="15.75" customHeight="1">
      <c r="A37" s="12" t="s">
        <v>62</v>
      </c>
    </row>
    <row r="38" spans="1:2" ht="15.75" customHeight="1">
      <c r="A38" s="12" t="s">
        <v>63</v>
      </c>
      <c r="B38" s="12">
        <f>(B34+B33)/2</f>
        <v>25.5</v>
      </c>
    </row>
    <row r="39" spans="1:2" ht="12.75">
      <c r="A39" s="12" t="s">
        <v>64</v>
      </c>
      <c r="B39">
        <f>B35</f>
        <v>6</v>
      </c>
    </row>
    <row r="40" spans="1:2" ht="12.75">
      <c r="A40" s="12" t="s">
        <v>65</v>
      </c>
      <c r="B40">
        <f>(B34+B35)/2</f>
        <v>8.5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activeCell="B3" sqref="B3:H23"/>
    </sheetView>
  </sheetViews>
  <sheetFormatPr defaultColWidth="14.42578125" defaultRowHeight="15.75" customHeight="1"/>
  <cols>
    <col min="1" max="1" width="8.7109375" customWidth="1"/>
    <col min="3" max="3" width="6.85546875" customWidth="1"/>
    <col min="4" max="4" width="11.42578125" customWidth="1"/>
    <col min="9" max="9" width="17.42578125" customWidth="1"/>
    <col min="10" max="10" width="24.42578125" customWidth="1"/>
    <col min="25" max="25" width="22.140625" customWidth="1"/>
    <col min="26" max="26" width="16.85546875" customWidth="1"/>
    <col min="27" max="27" width="16.28515625" customWidth="1"/>
    <col min="28" max="28" width="14.42578125" customWidth="1"/>
    <col min="29" max="29" width="19.85546875" customWidth="1"/>
    <col min="30" max="30" width="20.85546875" customWidth="1"/>
    <col min="31" max="33" width="16.42578125" customWidth="1"/>
  </cols>
  <sheetData>
    <row r="1" spans="1:33" ht="15.75" customHeight="1">
      <c r="A1" s="1" t="s">
        <v>0</v>
      </c>
      <c r="B1" s="34" t="s">
        <v>1</v>
      </c>
      <c r="C1" s="35"/>
      <c r="D1" s="35"/>
      <c r="E1" s="35"/>
      <c r="F1" s="35"/>
      <c r="G1" s="1" t="s">
        <v>2</v>
      </c>
      <c r="H1" s="3">
        <v>125</v>
      </c>
      <c r="I1" s="1"/>
      <c r="J1" s="2" t="s">
        <v>3</v>
      </c>
      <c r="K1" s="4">
        <f>MAX(MAX(R4:R20),MAX(W4:W20))</f>
        <v>97200</v>
      </c>
      <c r="L1" s="1" t="s">
        <v>4</v>
      </c>
      <c r="M1" s="4">
        <f>1000000*H1/K1</f>
        <v>1286.008230452675</v>
      </c>
      <c r="N1" s="5"/>
      <c r="O1" s="5"/>
      <c r="P1" s="5"/>
      <c r="Q1" s="5"/>
      <c r="R1" s="1" t="s">
        <v>5</v>
      </c>
      <c r="S1" s="4">
        <f>SUM(J3:J23)/(C3*C3*D3+G23*2)</f>
        <v>25399.752078306934</v>
      </c>
      <c r="T1" s="5"/>
      <c r="U1" s="5"/>
      <c r="V1" s="5"/>
      <c r="W1" s="5"/>
      <c r="X1" s="5"/>
      <c r="Y1" s="6"/>
      <c r="Z1" s="5"/>
      <c r="AA1" s="5"/>
      <c r="AB1" s="5"/>
    </row>
    <row r="2" spans="1:33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SUM(J3:J113)/1000000 &amp;"M"</f>
        <v>ops, total: 3874.173385M</v>
      </c>
      <c r="K2" s="1" t="s">
        <v>15</v>
      </c>
      <c r="L2" s="1" t="s">
        <v>16</v>
      </c>
      <c r="M2" s="1" t="s">
        <v>17</v>
      </c>
      <c r="N2" s="1" t="s">
        <v>18</v>
      </c>
      <c r="O2" s="2" t="s">
        <v>19</v>
      </c>
      <c r="P2" s="2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7" t="s">
        <v>42</v>
      </c>
      <c r="AD2" s="7" t="s">
        <v>43</v>
      </c>
      <c r="AE2" s="7" t="s">
        <v>33</v>
      </c>
      <c r="AF2" s="7" t="s">
        <v>34</v>
      </c>
      <c r="AG2" s="7" t="s">
        <v>35</v>
      </c>
    </row>
    <row r="3" spans="1:33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4">
        <v>1</v>
      </c>
      <c r="V3" s="5"/>
      <c r="W3" s="5"/>
      <c r="X3" s="5"/>
      <c r="Y3" s="5"/>
      <c r="Z3" s="5"/>
      <c r="AA3" s="5"/>
      <c r="AB3" s="5"/>
    </row>
    <row r="4" spans="1:33" ht="15.75" customHeight="1">
      <c r="A4" s="4">
        <v>1</v>
      </c>
      <c r="B4" s="9" t="s">
        <v>37</v>
      </c>
      <c r="C4" s="4">
        <f t="shared" ref="C4:C20" si="1">H3</f>
        <v>227</v>
      </c>
      <c r="D4" s="4">
        <f>G3</f>
        <v>3</v>
      </c>
      <c r="E4" s="3">
        <v>4</v>
      </c>
      <c r="F4" s="3">
        <v>12</v>
      </c>
      <c r="G4" s="3">
        <v>96</v>
      </c>
      <c r="H4" s="4">
        <f>IF(B4="pad", C4+2*F4, IF(B4="pool", C4/F4, IF(OR(B4="conv",B4="fc"), (C4-F4+1)/E4,C4)))</f>
        <v>54</v>
      </c>
      <c r="I4" s="4">
        <f t="shared" ref="I4:I23" si="2">IF(B3="merge", 1, IF(B3="split", 2, I3))</f>
        <v>1</v>
      </c>
      <c r="J4" s="4">
        <f t="shared" si="0"/>
        <v>241864704</v>
      </c>
      <c r="K4" s="10">
        <f>J4/SUM(J$4:J$23)*100</f>
        <v>6.2430015377331909</v>
      </c>
      <c r="L4" s="3">
        <v>3</v>
      </c>
      <c r="M4" s="3">
        <v>48</v>
      </c>
      <c r="N4" s="3">
        <v>9</v>
      </c>
      <c r="O4" s="4">
        <f>G4/M4</f>
        <v>2</v>
      </c>
      <c r="P4" s="4">
        <f>F4*F4*D4*G4/(L4*M4)</f>
        <v>288</v>
      </c>
      <c r="Q4" s="4">
        <f>2*L4*M4*N4</f>
        <v>2592</v>
      </c>
      <c r="R4" s="4">
        <f>J4/(Q4*I4)</f>
        <v>93312</v>
      </c>
      <c r="S4" s="4">
        <f>F4*F4*D4</f>
        <v>432</v>
      </c>
      <c r="T4" s="4">
        <f>G4</f>
        <v>96</v>
      </c>
      <c r="U4" s="4">
        <f>S4/L4</f>
        <v>144</v>
      </c>
      <c r="V4" s="4">
        <f>T4/M4</f>
        <v>2</v>
      </c>
      <c r="W4" s="4">
        <f>C4*24+(F4*F4*H4*H4)/N4</f>
        <v>52104</v>
      </c>
      <c r="X4" s="4">
        <f>F4*F4*H4*H4/N4</f>
        <v>46656</v>
      </c>
      <c r="Y4" s="4">
        <f>D4*F4*F4*G4</f>
        <v>41472</v>
      </c>
      <c r="Z4" s="4">
        <f>S4*T4</f>
        <v>41472</v>
      </c>
      <c r="AA4" s="3">
        <v>8</v>
      </c>
      <c r="AB4" s="3">
        <v>4</v>
      </c>
      <c r="AC4" s="12">
        <v>25.5</v>
      </c>
      <c r="AD4">
        <f>AC4*L4*M4*N4</f>
        <v>33048</v>
      </c>
      <c r="AE4">
        <f>1000000*$H$1/R4</f>
        <v>1339.5919067215364</v>
      </c>
      <c r="AF4">
        <f>CEILING(Z4*AB4/18000,1) *M4</f>
        <v>480</v>
      </c>
    </row>
    <row r="5" spans="1:33" ht="15.75" customHeight="1">
      <c r="A5" s="4">
        <v>2</v>
      </c>
      <c r="B5" s="8" t="s">
        <v>38</v>
      </c>
      <c r="C5" s="4">
        <f t="shared" si="1"/>
        <v>54</v>
      </c>
      <c r="D5" s="4">
        <f>G4</f>
        <v>96</v>
      </c>
      <c r="E5" s="3">
        <v>1</v>
      </c>
      <c r="F5" s="4">
        <v>1</v>
      </c>
      <c r="G5" s="3">
        <v>48</v>
      </c>
      <c r="H5" s="4">
        <f>IF(B5="pad", C5+2*F5, IF(B5="pool", C5/F5, IF(OR(B5="conv",B5="fc"), (C5-F5+1)/E5,C5)))</f>
        <v>54</v>
      </c>
      <c r="I5" s="4">
        <f t="shared" si="2"/>
        <v>1</v>
      </c>
      <c r="J5" s="4">
        <f t="shared" si="0"/>
        <v>0</v>
      </c>
      <c r="K5" s="10"/>
      <c r="L5" s="5"/>
      <c r="M5" s="5"/>
      <c r="N5" s="5"/>
      <c r="O5" s="4"/>
      <c r="P5" s="4"/>
      <c r="Q5" s="4"/>
      <c r="R5" s="4"/>
      <c r="S5" s="5"/>
      <c r="T5" s="5"/>
      <c r="U5" s="4"/>
      <c r="V5" s="5"/>
      <c r="W5" s="4"/>
      <c r="X5" s="5"/>
      <c r="Y5" s="5"/>
      <c r="Z5" s="5"/>
      <c r="AA5" s="5"/>
      <c r="AB5" s="5"/>
    </row>
    <row r="6" spans="1:33" ht="15.75" customHeight="1">
      <c r="A6" s="4">
        <v>3</v>
      </c>
      <c r="B6" s="8" t="s">
        <v>36</v>
      </c>
      <c r="C6" s="4">
        <f t="shared" si="1"/>
        <v>54</v>
      </c>
      <c r="D6" s="4">
        <f>G5</f>
        <v>48</v>
      </c>
      <c r="E6" s="3">
        <v>1</v>
      </c>
      <c r="F6" s="3">
        <v>2</v>
      </c>
      <c r="G6" s="3">
        <v>48</v>
      </c>
      <c r="H6" s="4">
        <f>IF(B6="pad", C6+2*F6, IF(B6="pool", C6/F6, IF(OR(B6="conv",B6="fc"), (C6-F6+1)/E6,C6)))</f>
        <v>58</v>
      </c>
      <c r="I6" s="4">
        <f t="shared" si="2"/>
        <v>2</v>
      </c>
      <c r="J6" s="4">
        <f t="shared" si="0"/>
        <v>0</v>
      </c>
      <c r="K6" s="10"/>
      <c r="L6" s="4"/>
      <c r="M6" s="4"/>
      <c r="N6" s="3"/>
      <c r="O6" s="4"/>
      <c r="P6" s="4"/>
      <c r="Q6" s="4"/>
      <c r="R6" s="4"/>
      <c r="S6" s="4"/>
      <c r="T6" s="4"/>
      <c r="U6" s="3"/>
      <c r="V6" s="4"/>
      <c r="W6" s="4"/>
      <c r="X6" s="4"/>
      <c r="Y6" s="4"/>
      <c r="Z6" s="4"/>
      <c r="AA6" s="4"/>
      <c r="AB6" s="4"/>
    </row>
    <row r="7" spans="1:33" ht="15.75" customHeight="1">
      <c r="A7" s="4">
        <v>4</v>
      </c>
      <c r="B7" s="9" t="s">
        <v>37</v>
      </c>
      <c r="C7" s="4">
        <f t="shared" si="1"/>
        <v>58</v>
      </c>
      <c r="D7" s="4">
        <f>G5</f>
        <v>48</v>
      </c>
      <c r="E7" s="3">
        <v>1</v>
      </c>
      <c r="F7" s="3">
        <v>5</v>
      </c>
      <c r="G7" s="4">
        <v>128</v>
      </c>
      <c r="H7" s="4">
        <f>IF(B7="pad", C7+2*F7, IF(B7="pool", C7/F7, IF(OR(B7="conv",B7="fc"), (C7-F7+1)/E7,C7)))</f>
        <v>54</v>
      </c>
      <c r="I7" s="4">
        <f t="shared" si="2"/>
        <v>2</v>
      </c>
      <c r="J7" s="4">
        <f t="shared" si="0"/>
        <v>1791590400</v>
      </c>
      <c r="K7" s="10">
        <f>J7/SUM(J$4:J$23)*100</f>
        <v>46.24445583506067</v>
      </c>
      <c r="L7" s="3">
        <v>48</v>
      </c>
      <c r="M7" s="3">
        <v>32</v>
      </c>
      <c r="N7" s="3">
        <v>3</v>
      </c>
      <c r="O7" s="4">
        <f>G7/M7</f>
        <v>4</v>
      </c>
      <c r="P7" s="4">
        <f>F7*F7*D7*G7/(L7*M7)</f>
        <v>100</v>
      </c>
      <c r="Q7" s="4">
        <f>2*L7*M7*N7</f>
        <v>9216</v>
      </c>
      <c r="R7" s="4">
        <f>J7/(Q7*I7)</f>
        <v>97200</v>
      </c>
      <c r="S7" s="4">
        <f>F7*F7*D7</f>
        <v>1200</v>
      </c>
      <c r="T7" s="4">
        <f>G7</f>
        <v>128</v>
      </c>
      <c r="U7" s="4">
        <f>S7/L7</f>
        <v>25</v>
      </c>
      <c r="V7" s="4">
        <f>T7/M7</f>
        <v>4</v>
      </c>
      <c r="W7" s="4">
        <f>C7*C7+(F7*F7*H7*H7)/N7</f>
        <v>27664</v>
      </c>
      <c r="X7" s="4">
        <f>F7*F7*H7*H7</f>
        <v>72900</v>
      </c>
      <c r="Y7" s="4">
        <f>D7*F7*F7*G7</f>
        <v>153600</v>
      </c>
      <c r="Z7" s="4">
        <f>S7*T7*I7</f>
        <v>307200</v>
      </c>
      <c r="AA7" s="3">
        <v>2</v>
      </c>
      <c r="AB7" s="3">
        <v>1</v>
      </c>
      <c r="AC7" s="12">
        <v>6</v>
      </c>
      <c r="AD7">
        <f>AC7*L7*M7*N7</f>
        <v>27648</v>
      </c>
      <c r="AE7">
        <f>1000000*$H$1/MAX(R7,W7)</f>
        <v>1286.008230452675</v>
      </c>
      <c r="AF7">
        <f>CEILING(Z7*AB7/18000,1) *M7</f>
        <v>576</v>
      </c>
    </row>
    <row r="8" spans="1:33" ht="15.75" customHeight="1">
      <c r="A8" s="4">
        <v>5</v>
      </c>
      <c r="B8" s="9" t="s">
        <v>39</v>
      </c>
      <c r="C8" s="4">
        <f t="shared" si="1"/>
        <v>54</v>
      </c>
      <c r="D8" s="4">
        <f t="shared" ref="D8:D20" si="3">G7</f>
        <v>128</v>
      </c>
      <c r="E8" s="3">
        <v>2</v>
      </c>
      <c r="F8" s="3">
        <v>3</v>
      </c>
      <c r="G8" s="4">
        <v>128</v>
      </c>
      <c r="H8" s="4">
        <f t="shared" ref="H8:H18" si="4">IF(B8="pad", C8+2*F8, IF(B8="pool", C8/E8, IF(OR(B8="conv",B8="fc"), (C8-F8+1)/E8,C8)))</f>
        <v>27</v>
      </c>
      <c r="I8" s="4">
        <f t="shared" si="2"/>
        <v>2</v>
      </c>
      <c r="J8" s="4">
        <f t="shared" si="0"/>
        <v>6561</v>
      </c>
      <c r="K8" s="10"/>
      <c r="L8" s="5"/>
      <c r="M8" s="5"/>
      <c r="N8" s="5"/>
      <c r="O8" s="4"/>
      <c r="P8" s="4"/>
      <c r="Q8" s="4"/>
      <c r="R8" s="4"/>
      <c r="S8" s="5"/>
      <c r="T8" s="5"/>
      <c r="U8" s="4"/>
      <c r="V8" s="5"/>
      <c r="W8" s="4"/>
      <c r="X8" s="5"/>
      <c r="Y8" s="5"/>
      <c r="Z8" s="4"/>
      <c r="AA8" s="5"/>
      <c r="AB8" s="5"/>
    </row>
    <row r="9" spans="1:33" ht="15.75" customHeight="1">
      <c r="A9" s="4">
        <v>6</v>
      </c>
      <c r="B9" s="8" t="s">
        <v>40</v>
      </c>
      <c r="C9" s="4">
        <f t="shared" si="1"/>
        <v>27</v>
      </c>
      <c r="D9" s="4">
        <f t="shared" si="3"/>
        <v>128</v>
      </c>
      <c r="E9" s="3">
        <v>1</v>
      </c>
      <c r="F9" s="4">
        <v>1</v>
      </c>
      <c r="G9" s="3">
        <v>256</v>
      </c>
      <c r="H9" s="4">
        <f t="shared" si="4"/>
        <v>27</v>
      </c>
      <c r="I9" s="4">
        <f t="shared" si="2"/>
        <v>2</v>
      </c>
      <c r="J9" s="4">
        <f t="shared" si="0"/>
        <v>0</v>
      </c>
      <c r="K9" s="10"/>
      <c r="L9" s="5"/>
      <c r="M9" s="5"/>
      <c r="N9" s="5"/>
      <c r="O9" s="4"/>
      <c r="P9" s="4"/>
      <c r="Q9" s="4"/>
      <c r="R9" s="4"/>
      <c r="S9" s="5"/>
      <c r="T9" s="5"/>
      <c r="U9" s="4"/>
      <c r="V9" s="5"/>
      <c r="W9" s="4"/>
      <c r="X9" s="5"/>
      <c r="Y9" s="5"/>
      <c r="Z9" s="4"/>
      <c r="AA9" s="5"/>
      <c r="AB9" s="5"/>
    </row>
    <row r="10" spans="1:33" ht="15.75" customHeight="1">
      <c r="A10" s="4">
        <v>7</v>
      </c>
      <c r="B10" s="8" t="s">
        <v>36</v>
      </c>
      <c r="C10" s="4">
        <f t="shared" si="1"/>
        <v>27</v>
      </c>
      <c r="D10" s="4">
        <f t="shared" si="3"/>
        <v>256</v>
      </c>
      <c r="E10" s="3">
        <v>1</v>
      </c>
      <c r="F10" s="3">
        <v>1</v>
      </c>
      <c r="G10" s="3">
        <v>256</v>
      </c>
      <c r="H10" s="4">
        <f t="shared" si="4"/>
        <v>29</v>
      </c>
      <c r="I10" s="4">
        <f t="shared" si="2"/>
        <v>1</v>
      </c>
      <c r="J10" s="4"/>
      <c r="K10" s="10"/>
      <c r="L10" s="4"/>
      <c r="M10" s="4"/>
      <c r="N10" s="3"/>
      <c r="O10" s="4"/>
      <c r="P10" s="4"/>
      <c r="Q10" s="4"/>
      <c r="R10" s="4"/>
      <c r="S10" s="4"/>
      <c r="T10" s="4"/>
      <c r="U10" s="3"/>
      <c r="V10" s="4"/>
      <c r="W10" s="4"/>
      <c r="X10" s="4"/>
      <c r="Y10" s="4"/>
      <c r="Z10" s="4"/>
      <c r="AA10" s="4"/>
      <c r="AB10" s="4"/>
    </row>
    <row r="11" spans="1:33" ht="15.75" customHeight="1">
      <c r="A11" s="4">
        <v>8</v>
      </c>
      <c r="B11" s="9" t="s">
        <v>37</v>
      </c>
      <c r="C11" s="4">
        <f t="shared" si="1"/>
        <v>29</v>
      </c>
      <c r="D11" s="4">
        <f t="shared" si="3"/>
        <v>256</v>
      </c>
      <c r="E11" s="3">
        <v>1</v>
      </c>
      <c r="F11" s="4">
        <v>3</v>
      </c>
      <c r="G11" s="3">
        <v>384</v>
      </c>
      <c r="H11" s="4">
        <f t="shared" si="4"/>
        <v>27</v>
      </c>
      <c r="I11" s="4">
        <f t="shared" si="2"/>
        <v>1</v>
      </c>
      <c r="J11" s="4">
        <f t="shared" ref="J11:J23" si="5">IF(B11="pad", 0, IF(B11="pool", H11*H11*F11*F11, IF(OR(B11="conv",B11="fc"), I11*2*H11*H11*F11*F11*D11*G11,0)))</f>
        <v>1289945088</v>
      </c>
      <c r="K11" s="10">
        <f>J11/SUM(J$4:J$23)*100</f>
        <v>33.29600820124368</v>
      </c>
      <c r="L11" s="3">
        <v>64</v>
      </c>
      <c r="M11" s="3">
        <v>64</v>
      </c>
      <c r="N11" s="3">
        <v>3</v>
      </c>
      <c r="O11" s="4">
        <f>G11/M11</f>
        <v>6</v>
      </c>
      <c r="P11" s="4">
        <f>F11*F11*D11*G11/(L11*M11)</f>
        <v>216</v>
      </c>
      <c r="Q11" s="4">
        <f>2*L11*M11*N11</f>
        <v>24576</v>
      </c>
      <c r="R11" s="4">
        <f>J11/(Q11*I11)</f>
        <v>52488</v>
      </c>
      <c r="S11" s="4">
        <f>F11*F11*D11</f>
        <v>2304</v>
      </c>
      <c r="T11" s="4">
        <f>G11</f>
        <v>384</v>
      </c>
      <c r="U11" s="4">
        <f>S11/L11</f>
        <v>36</v>
      </c>
      <c r="V11" s="4">
        <f>T11/M11</f>
        <v>6</v>
      </c>
      <c r="W11" s="4">
        <f>C11*C11+(F11*F11*H11*H11)/N11</f>
        <v>3028</v>
      </c>
      <c r="X11" s="4">
        <f>F11*F11*H11*H11</f>
        <v>6561</v>
      </c>
      <c r="Y11" s="4">
        <f>D11*F11*F11*G11</f>
        <v>884736</v>
      </c>
      <c r="Z11" s="4">
        <f>S11*T11*I11</f>
        <v>884736</v>
      </c>
      <c r="AA11" s="3">
        <v>2</v>
      </c>
      <c r="AB11" s="3">
        <v>1</v>
      </c>
      <c r="AC11" s="12">
        <v>6</v>
      </c>
      <c r="AD11">
        <f>AC11*L11*M11*N11</f>
        <v>73728</v>
      </c>
      <c r="AE11">
        <f>1000000*$H$1/MAX(R11,W11)</f>
        <v>2381.4967230605089</v>
      </c>
      <c r="AF11">
        <f>CEILING(Z11*AB11/18000,1) *M11</f>
        <v>3200</v>
      </c>
    </row>
    <row r="12" spans="1:33" ht="15.75" customHeight="1">
      <c r="A12" s="4">
        <v>9</v>
      </c>
      <c r="B12" s="9" t="s">
        <v>36</v>
      </c>
      <c r="C12" s="4">
        <f t="shared" si="1"/>
        <v>27</v>
      </c>
      <c r="D12" s="4">
        <f t="shared" si="3"/>
        <v>384</v>
      </c>
      <c r="E12" s="3">
        <v>1</v>
      </c>
      <c r="F12" s="3">
        <v>0.5</v>
      </c>
      <c r="G12" s="3">
        <v>384</v>
      </c>
      <c r="H12" s="4">
        <f t="shared" si="4"/>
        <v>28</v>
      </c>
      <c r="I12" s="4">
        <f t="shared" si="2"/>
        <v>1</v>
      </c>
      <c r="J12" s="4">
        <f t="shared" si="5"/>
        <v>0</v>
      </c>
      <c r="K12" s="10"/>
      <c r="L12" s="5"/>
      <c r="M12" s="5"/>
      <c r="N12" s="5"/>
      <c r="O12" s="4"/>
      <c r="P12" s="4"/>
      <c r="Q12" s="4"/>
      <c r="R12" s="4"/>
      <c r="S12" s="5"/>
      <c r="T12" s="5"/>
      <c r="U12" s="4"/>
      <c r="V12" s="5"/>
      <c r="W12" s="4"/>
      <c r="X12" s="5"/>
      <c r="Y12" s="5"/>
      <c r="Z12" s="4"/>
      <c r="AA12" s="5"/>
      <c r="AB12" s="5"/>
    </row>
    <row r="13" spans="1:33" ht="15.75" customHeight="1">
      <c r="A13" s="4">
        <v>10</v>
      </c>
      <c r="B13" s="9" t="s">
        <v>39</v>
      </c>
      <c r="C13" s="4">
        <f t="shared" si="1"/>
        <v>28</v>
      </c>
      <c r="D13" s="4">
        <f t="shared" si="3"/>
        <v>384</v>
      </c>
      <c r="E13" s="3">
        <v>2</v>
      </c>
      <c r="F13" s="3">
        <v>3</v>
      </c>
      <c r="G13" s="3">
        <v>384</v>
      </c>
      <c r="H13" s="4">
        <f t="shared" si="4"/>
        <v>14</v>
      </c>
      <c r="I13" s="4">
        <f t="shared" si="2"/>
        <v>1</v>
      </c>
      <c r="J13" s="4">
        <f t="shared" si="5"/>
        <v>1764</v>
      </c>
      <c r="K13" s="10"/>
      <c r="L13" s="5"/>
      <c r="M13" s="5"/>
      <c r="N13" s="5"/>
      <c r="O13" s="4"/>
      <c r="P13" s="4"/>
      <c r="Q13" s="4"/>
      <c r="R13" s="4"/>
      <c r="S13" s="5"/>
      <c r="T13" s="5"/>
      <c r="U13" s="4"/>
      <c r="V13" s="5"/>
      <c r="W13" s="4"/>
      <c r="X13" s="5"/>
      <c r="Y13" s="5"/>
      <c r="Z13" s="4"/>
      <c r="AA13" s="5"/>
      <c r="AB13" s="5"/>
    </row>
    <row r="14" spans="1:33" ht="15.75" customHeight="1">
      <c r="A14" s="4">
        <v>11</v>
      </c>
      <c r="B14" s="8" t="s">
        <v>38</v>
      </c>
      <c r="C14" s="4">
        <f t="shared" si="1"/>
        <v>14</v>
      </c>
      <c r="D14" s="4">
        <f t="shared" si="3"/>
        <v>384</v>
      </c>
      <c r="E14" s="3">
        <v>1</v>
      </c>
      <c r="F14" s="3">
        <v>1</v>
      </c>
      <c r="G14" s="3">
        <v>192</v>
      </c>
      <c r="H14" s="4">
        <f t="shared" si="4"/>
        <v>14</v>
      </c>
      <c r="I14" s="4">
        <f t="shared" si="2"/>
        <v>1</v>
      </c>
      <c r="J14" s="4">
        <f t="shared" si="5"/>
        <v>0</v>
      </c>
      <c r="K14" s="10"/>
      <c r="L14" s="5"/>
      <c r="M14" s="5"/>
      <c r="N14" s="5"/>
      <c r="O14" s="4"/>
      <c r="P14" s="4"/>
      <c r="Q14" s="4"/>
      <c r="R14" s="4"/>
      <c r="S14" s="5"/>
      <c r="T14" s="5"/>
      <c r="U14" s="4"/>
      <c r="V14" s="5"/>
      <c r="W14" s="4"/>
      <c r="X14" s="5"/>
      <c r="Y14" s="5"/>
      <c r="Z14" s="4"/>
      <c r="AA14" s="5"/>
      <c r="AB14" s="5"/>
    </row>
    <row r="15" spans="1:33" ht="15.75" customHeight="1">
      <c r="A15" s="4">
        <v>12</v>
      </c>
      <c r="B15" s="8" t="s">
        <v>36</v>
      </c>
      <c r="C15" s="4">
        <f t="shared" si="1"/>
        <v>14</v>
      </c>
      <c r="D15" s="4">
        <f t="shared" si="3"/>
        <v>192</v>
      </c>
      <c r="E15" s="3">
        <v>1</v>
      </c>
      <c r="F15" s="4">
        <v>1</v>
      </c>
      <c r="G15" s="3">
        <v>192</v>
      </c>
      <c r="H15" s="4">
        <f t="shared" si="4"/>
        <v>16</v>
      </c>
      <c r="I15" s="4">
        <f t="shared" si="2"/>
        <v>2</v>
      </c>
      <c r="J15" s="4">
        <f t="shared" si="5"/>
        <v>0</v>
      </c>
      <c r="K15" s="10"/>
      <c r="L15" s="5"/>
      <c r="M15" s="5"/>
      <c r="N15" s="5"/>
      <c r="O15" s="4"/>
      <c r="P15" s="4"/>
      <c r="Q15" s="4"/>
      <c r="R15" s="4"/>
      <c r="S15" s="5"/>
      <c r="T15" s="5"/>
      <c r="U15" s="4"/>
      <c r="V15" s="5"/>
      <c r="W15" s="4"/>
      <c r="X15" s="5"/>
      <c r="Y15" s="5"/>
      <c r="Z15" s="4"/>
      <c r="AA15" s="5"/>
      <c r="AB15" s="5"/>
    </row>
    <row r="16" spans="1:33" ht="15.75" customHeight="1">
      <c r="A16" s="4">
        <v>13</v>
      </c>
      <c r="B16" s="9" t="s">
        <v>37</v>
      </c>
      <c r="C16" s="4">
        <f t="shared" si="1"/>
        <v>16</v>
      </c>
      <c r="D16" s="4">
        <f t="shared" si="3"/>
        <v>192</v>
      </c>
      <c r="E16" s="3">
        <v>1</v>
      </c>
      <c r="F16" s="4">
        <v>3</v>
      </c>
      <c r="G16" s="3">
        <v>192</v>
      </c>
      <c r="H16" s="4">
        <f t="shared" si="4"/>
        <v>14</v>
      </c>
      <c r="I16" s="4">
        <f t="shared" si="2"/>
        <v>2</v>
      </c>
      <c r="J16" s="4">
        <f t="shared" si="5"/>
        <v>260112384</v>
      </c>
      <c r="K16" s="10">
        <f>J16/SUM(J$4:J$23)*100</f>
        <v>6.7140098842014009</v>
      </c>
      <c r="L16" s="3">
        <v>32</v>
      </c>
      <c r="M16" s="3">
        <v>16</v>
      </c>
      <c r="N16" s="3">
        <v>2</v>
      </c>
      <c r="O16" s="4">
        <f>G16/M16</f>
        <v>12</v>
      </c>
      <c r="P16" s="4">
        <f>F16*F16*D16*G16/(L16*M16)</f>
        <v>648</v>
      </c>
      <c r="Q16" s="4">
        <f>2*L16*M16*N16</f>
        <v>2048</v>
      </c>
      <c r="R16" s="4">
        <f>J16/(Q16*I16)</f>
        <v>63504</v>
      </c>
      <c r="S16" s="4">
        <f>F16*F16*D16</f>
        <v>1728</v>
      </c>
      <c r="T16" s="4">
        <f>G16</f>
        <v>192</v>
      </c>
      <c r="U16" s="4">
        <f>S16/L16</f>
        <v>54</v>
      </c>
      <c r="V16" s="4">
        <f>T16/M16</f>
        <v>12</v>
      </c>
      <c r="W16" s="4">
        <f>C16*C16+(F16*F16*H16*H16)/N16</f>
        <v>1138</v>
      </c>
      <c r="X16" s="4">
        <f>F16*F16*H16*H16</f>
        <v>1764</v>
      </c>
      <c r="Y16" s="4">
        <f>D16*F16*F16*G16</f>
        <v>331776</v>
      </c>
      <c r="Z16" s="4">
        <f>S16*T16*I16</f>
        <v>663552</v>
      </c>
      <c r="AA16" s="3">
        <v>2</v>
      </c>
      <c r="AB16" s="3">
        <v>1</v>
      </c>
      <c r="AC16" s="12">
        <v>6</v>
      </c>
      <c r="AD16">
        <f>AC16*L16*M16*N16</f>
        <v>6144</v>
      </c>
      <c r="AE16">
        <f>1000000*$H$1/MAX(R16,W16)</f>
        <v>1968.3799445704208</v>
      </c>
      <c r="AF16">
        <f>CEILING(Z16*AB16/18000,1) *M16</f>
        <v>592</v>
      </c>
    </row>
    <row r="17" spans="1:33" ht="15.75" customHeight="1">
      <c r="A17" s="4">
        <v>14</v>
      </c>
      <c r="B17" s="9" t="s">
        <v>36</v>
      </c>
      <c r="C17" s="4">
        <f t="shared" si="1"/>
        <v>14</v>
      </c>
      <c r="D17" s="4">
        <f t="shared" si="3"/>
        <v>192</v>
      </c>
      <c r="E17" s="3">
        <v>1</v>
      </c>
      <c r="F17" s="4">
        <v>1</v>
      </c>
      <c r="G17" s="3">
        <v>192</v>
      </c>
      <c r="H17" s="4">
        <f t="shared" si="4"/>
        <v>16</v>
      </c>
      <c r="I17" s="4">
        <f t="shared" si="2"/>
        <v>2</v>
      </c>
      <c r="J17" s="4">
        <f t="shared" si="5"/>
        <v>0</v>
      </c>
      <c r="K17" s="10"/>
      <c r="L17" s="5"/>
      <c r="M17" s="5"/>
      <c r="N17" s="5"/>
      <c r="O17" s="4"/>
      <c r="P17" s="4"/>
      <c r="Q17" s="4"/>
      <c r="R17" s="4"/>
      <c r="S17" s="5"/>
      <c r="T17" s="5"/>
      <c r="U17" s="4"/>
      <c r="V17" s="5"/>
      <c r="W17" s="4"/>
      <c r="X17" s="5"/>
      <c r="Y17" s="5"/>
      <c r="Z17" s="4"/>
      <c r="AA17" s="5"/>
      <c r="AB17" s="5"/>
    </row>
    <row r="18" spans="1:33" ht="15.75" customHeight="1">
      <c r="A18" s="4">
        <v>15</v>
      </c>
      <c r="B18" s="9" t="s">
        <v>37</v>
      </c>
      <c r="C18" s="4">
        <f t="shared" si="1"/>
        <v>16</v>
      </c>
      <c r="D18" s="4">
        <f t="shared" si="3"/>
        <v>192</v>
      </c>
      <c r="E18" s="3">
        <v>1</v>
      </c>
      <c r="F18" s="4">
        <v>3</v>
      </c>
      <c r="G18" s="3">
        <v>128</v>
      </c>
      <c r="H18" s="4">
        <f t="shared" si="4"/>
        <v>14</v>
      </c>
      <c r="I18" s="4">
        <f t="shared" si="2"/>
        <v>2</v>
      </c>
      <c r="J18" s="4">
        <f t="shared" si="5"/>
        <v>173408256</v>
      </c>
      <c r="K18" s="10">
        <f>J18/SUM(J$4:J$23)*100</f>
        <v>4.4760065894676009</v>
      </c>
      <c r="L18" s="3">
        <v>32</v>
      </c>
      <c r="M18" s="3">
        <v>16</v>
      </c>
      <c r="N18" s="3">
        <v>2</v>
      </c>
      <c r="O18" s="4">
        <f>G18/M18</f>
        <v>8</v>
      </c>
      <c r="P18" s="4">
        <f>F18*F18*D18*G18/(L18*M18)</f>
        <v>432</v>
      </c>
      <c r="Q18" s="4">
        <f>2*L18*M18*N18</f>
        <v>2048</v>
      </c>
      <c r="R18" s="4">
        <f>J18/(Q18*I18)</f>
        <v>42336</v>
      </c>
      <c r="S18" s="4">
        <f>F18*F18*D18</f>
        <v>1728</v>
      </c>
      <c r="T18" s="4">
        <f>G18</f>
        <v>128</v>
      </c>
      <c r="U18" s="4">
        <f>S18/L18</f>
        <v>54</v>
      </c>
      <c r="V18" s="4">
        <f>T18/M18</f>
        <v>8</v>
      </c>
      <c r="W18" s="4">
        <f>C18*C18+(F18*F18*H18*H18)/N18</f>
        <v>1138</v>
      </c>
      <c r="X18" s="4">
        <f>F18*F18*H18*H18</f>
        <v>1764</v>
      </c>
      <c r="Y18" s="4">
        <f>D18*F18*F18*G18</f>
        <v>221184</v>
      </c>
      <c r="Z18" s="4">
        <f>S18*T18*I18</f>
        <v>442368</v>
      </c>
      <c r="AA18" s="3">
        <v>2</v>
      </c>
      <c r="AB18" s="3">
        <v>1</v>
      </c>
      <c r="AC18" s="12">
        <v>6</v>
      </c>
      <c r="AD18">
        <f>AC18*L18*M18*N18</f>
        <v>6144</v>
      </c>
      <c r="AE18">
        <f>1000000*$H$1/MAX(R18,W18)</f>
        <v>2952.5699168556312</v>
      </c>
      <c r="AF18">
        <f>CEILING(Z18*AB18/18000,1) *M18</f>
        <v>400</v>
      </c>
    </row>
    <row r="19" spans="1:33" ht="15.75" customHeight="1">
      <c r="A19" s="4">
        <v>16</v>
      </c>
      <c r="B19" s="9" t="s">
        <v>39</v>
      </c>
      <c r="C19" s="4">
        <f t="shared" si="1"/>
        <v>14</v>
      </c>
      <c r="D19" s="4">
        <f t="shared" si="3"/>
        <v>128</v>
      </c>
      <c r="E19" s="3">
        <v>2</v>
      </c>
      <c r="F19" s="3">
        <v>3</v>
      </c>
      <c r="G19" s="3">
        <v>128</v>
      </c>
      <c r="H19" s="3">
        <v>6</v>
      </c>
      <c r="I19" s="4">
        <f t="shared" si="2"/>
        <v>2</v>
      </c>
      <c r="J19" s="4">
        <f t="shared" si="5"/>
        <v>324</v>
      </c>
      <c r="K19" s="10"/>
      <c r="L19" s="5"/>
      <c r="M19" s="5"/>
      <c r="N19" s="5"/>
      <c r="O19" s="4"/>
      <c r="P19" s="4"/>
      <c r="Q19" s="4"/>
      <c r="R19" s="4"/>
      <c r="S19" s="5"/>
      <c r="T19" s="5"/>
      <c r="U19" s="4"/>
      <c r="V19" s="5"/>
      <c r="W19" s="5"/>
      <c r="X19" s="5"/>
      <c r="Y19" s="5"/>
      <c r="Z19" s="5"/>
      <c r="AA19" s="11"/>
      <c r="AB19" s="5"/>
    </row>
    <row r="20" spans="1:33" ht="15.75" customHeight="1">
      <c r="A20" s="4">
        <v>17</v>
      </c>
      <c r="B20" s="8" t="s">
        <v>40</v>
      </c>
      <c r="C20" s="4">
        <f t="shared" si="1"/>
        <v>6</v>
      </c>
      <c r="D20" s="4">
        <f t="shared" si="3"/>
        <v>128</v>
      </c>
      <c r="E20" s="3">
        <v>1</v>
      </c>
      <c r="F20" s="3">
        <v>1</v>
      </c>
      <c r="G20" s="3">
        <v>256</v>
      </c>
      <c r="H20" s="4">
        <f>IF(B20="pad", C20+2*F20, IF(B20="pool", C20/E20, IF(OR(B20="conv",B20="fc"), (C20-F20+1)/E20,C20)))</f>
        <v>6</v>
      </c>
      <c r="I20" s="4">
        <f t="shared" si="2"/>
        <v>2</v>
      </c>
      <c r="J20" s="4">
        <f t="shared" si="5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4"/>
      <c r="Z20" s="4"/>
      <c r="AA20" s="4"/>
      <c r="AB20" s="4"/>
    </row>
    <row r="21" spans="1:33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>
        <v>4096</v>
      </c>
      <c r="H21" s="3">
        <v>1</v>
      </c>
      <c r="I21" s="4">
        <f t="shared" si="2"/>
        <v>1</v>
      </c>
      <c r="J21" s="4">
        <f t="shared" si="5"/>
        <v>75497472</v>
      </c>
      <c r="K21" s="10">
        <f>J21/SUM(J$4:J$23)*100</f>
        <v>1.9487375627614045</v>
      </c>
      <c r="L21" s="3">
        <v>64</v>
      </c>
      <c r="M21" s="3">
        <v>8</v>
      </c>
      <c r="N21" s="4">
        <v>1</v>
      </c>
      <c r="O21" s="4">
        <f>G21/M21</f>
        <v>512</v>
      </c>
      <c r="P21" s="4">
        <f>F21*F21*D21*G21/(L21*M21)</f>
        <v>73728</v>
      </c>
      <c r="Q21" s="4">
        <f>2*L21*M21*N21</f>
        <v>1024</v>
      </c>
      <c r="R21" s="4">
        <f>J21/(Q21*I21)</f>
        <v>73728</v>
      </c>
      <c r="S21" s="4">
        <f>F21*F21*D21</f>
        <v>9216</v>
      </c>
      <c r="T21" s="4">
        <f>G21</f>
        <v>4096</v>
      </c>
      <c r="U21" s="4">
        <f t="shared" ref="U21:V23" si="6">S21/L21</f>
        <v>144</v>
      </c>
      <c r="V21" s="4">
        <f t="shared" si="6"/>
        <v>512</v>
      </c>
      <c r="W21" s="5"/>
      <c r="X21" s="5"/>
      <c r="Y21" s="4">
        <f>D21*F21*F21*G21</f>
        <v>37748736</v>
      </c>
      <c r="Z21" s="4">
        <f>S21*T21</f>
        <v>37748736</v>
      </c>
      <c r="AA21" s="3">
        <v>2</v>
      </c>
      <c r="AB21" s="3">
        <v>1</v>
      </c>
      <c r="AC21" s="12">
        <v>6</v>
      </c>
      <c r="AD21">
        <f>AC21*L21*M21*N21</f>
        <v>3072</v>
      </c>
      <c r="AE21">
        <f>1000000*$H$1/MAX(R21,W21)</f>
        <v>1695.4210069444443</v>
      </c>
      <c r="AF21">
        <f>CEILING(Z21*AB21/18000,1) *M21</f>
        <v>16784</v>
      </c>
      <c r="AG21">
        <f>Z21*M$1*AB21*H21*H21/(1024*1024*1024)</f>
        <v>45.211226851851855</v>
      </c>
    </row>
    <row r="22" spans="1:33" ht="15.75" customHeight="1">
      <c r="A22" s="4">
        <v>19</v>
      </c>
      <c r="B22" s="9" t="s">
        <v>41</v>
      </c>
      <c r="C22" s="4">
        <f>H21</f>
        <v>1</v>
      </c>
      <c r="D22" s="4">
        <f>G21</f>
        <v>4096</v>
      </c>
      <c r="E22" s="3">
        <v>1</v>
      </c>
      <c r="F22" s="4">
        <v>1</v>
      </c>
      <c r="G22" s="3">
        <v>4096</v>
      </c>
      <c r="H22" s="4">
        <f>IF(B22="pad", C22+2*F22, IF(B22="pool", C22/E22, IF(OR(B22="conv",B22="fc"), (C22-F22+1)/E22,C22)))</f>
        <v>1</v>
      </c>
      <c r="I22" s="4">
        <f t="shared" si="2"/>
        <v>1</v>
      </c>
      <c r="J22" s="4">
        <f t="shared" si="5"/>
        <v>33554432</v>
      </c>
      <c r="K22" s="10">
        <f>J22/SUM(J$4:J$23)*100</f>
        <v>0.86610558344951305</v>
      </c>
      <c r="L22" s="3">
        <v>64</v>
      </c>
      <c r="M22" s="3">
        <v>4</v>
      </c>
      <c r="N22" s="4">
        <v>1</v>
      </c>
      <c r="O22" s="4">
        <f>G22/M22</f>
        <v>1024</v>
      </c>
      <c r="P22" s="4">
        <f>F22*F22*D22*G22/(L22*M22)</f>
        <v>65536</v>
      </c>
      <c r="Q22" s="4">
        <f>2*L22*M22*N22</f>
        <v>512</v>
      </c>
      <c r="R22" s="4">
        <f>J22/(Q22*I22)</f>
        <v>65536</v>
      </c>
      <c r="S22" s="4">
        <f>F22*F22*D22</f>
        <v>4096</v>
      </c>
      <c r="T22" s="4">
        <f>G22</f>
        <v>4096</v>
      </c>
      <c r="U22" s="4">
        <f t="shared" si="6"/>
        <v>64</v>
      </c>
      <c r="V22" s="4">
        <f t="shared" si="6"/>
        <v>1024</v>
      </c>
      <c r="W22" s="5"/>
      <c r="X22" s="5"/>
      <c r="Y22" s="4">
        <f>D22*F22*F22*G22</f>
        <v>16777216</v>
      </c>
      <c r="Z22" s="4">
        <f>S22*T22</f>
        <v>16777216</v>
      </c>
      <c r="AA22" s="3">
        <v>2</v>
      </c>
      <c r="AB22" s="3">
        <v>1</v>
      </c>
      <c r="AC22" s="12">
        <v>6</v>
      </c>
      <c r="AD22">
        <f>AC22*L22*M22*N22</f>
        <v>1536</v>
      </c>
      <c r="AE22">
        <f>1000000*$H$1/MAX(R22,W22)</f>
        <v>1907.3486328125</v>
      </c>
      <c r="AF22">
        <f>CEILING(Z22*AB22/18000,1) *M22</f>
        <v>3732</v>
      </c>
      <c r="AG22">
        <f>Z22*M$1*AB22*H22*H22/(1024*1024*1024)</f>
        <v>20.093878600823047</v>
      </c>
    </row>
    <row r="23" spans="1:33" ht="15.75" customHeight="1">
      <c r="A23" s="4">
        <v>20</v>
      </c>
      <c r="B23" s="9" t="s">
        <v>41</v>
      </c>
      <c r="C23" s="4">
        <f>H22</f>
        <v>1</v>
      </c>
      <c r="D23" s="4">
        <f>G22</f>
        <v>4096</v>
      </c>
      <c r="E23" s="3">
        <v>1</v>
      </c>
      <c r="F23" s="4">
        <v>1</v>
      </c>
      <c r="G23" s="3">
        <v>1000</v>
      </c>
      <c r="H23" s="4">
        <f>IF(B23="pad", C23+2*F23, IF(B23="pool", C23/E23, IF(OR(B23="conv",B23="fc"), (C23-F23+1)/E23,C23)))</f>
        <v>1</v>
      </c>
      <c r="I23" s="4">
        <f t="shared" si="2"/>
        <v>1</v>
      </c>
      <c r="J23" s="4">
        <f t="shared" si="5"/>
        <v>8192000</v>
      </c>
      <c r="K23" s="10">
        <f>J23/SUM(J$4:J$23)*100</f>
        <v>0.21145155845935376</v>
      </c>
      <c r="L23" s="3">
        <v>8</v>
      </c>
      <c r="M23" s="3">
        <v>8</v>
      </c>
      <c r="N23" s="4">
        <v>1</v>
      </c>
      <c r="O23" s="4">
        <f>G23/M23</f>
        <v>125</v>
      </c>
      <c r="P23" s="4">
        <f>F23*F23*D23*G23/(L23*M23)</f>
        <v>64000</v>
      </c>
      <c r="Q23" s="4">
        <f>2*L23*M23*N23</f>
        <v>128</v>
      </c>
      <c r="R23" s="4">
        <f>J23/(Q23*I23)</f>
        <v>64000</v>
      </c>
      <c r="S23" s="4">
        <f>F23*F23*D23</f>
        <v>4096</v>
      </c>
      <c r="T23" s="4">
        <f>G23</f>
        <v>1000</v>
      </c>
      <c r="U23" s="4">
        <f t="shared" si="6"/>
        <v>512</v>
      </c>
      <c r="V23" s="4">
        <f t="shared" si="6"/>
        <v>125</v>
      </c>
      <c r="W23" s="5"/>
      <c r="X23" s="5"/>
      <c r="Y23" s="4">
        <f>D23*F23*F23*G23</f>
        <v>4096000</v>
      </c>
      <c r="Z23" s="4">
        <f>S23*T23</f>
        <v>4096000</v>
      </c>
      <c r="AA23" s="3">
        <v>2</v>
      </c>
      <c r="AB23" s="3">
        <v>4</v>
      </c>
      <c r="AC23" s="12">
        <v>8.5</v>
      </c>
      <c r="AD23">
        <f>AC23*L23*M23*N23</f>
        <v>544</v>
      </c>
      <c r="AE23">
        <f>1000000*$H$1/MAX(R23,W23)</f>
        <v>1953.125</v>
      </c>
      <c r="AF23">
        <f>CEILING(Z23*AB23/18000,1) *M23</f>
        <v>7288</v>
      </c>
      <c r="AG23">
        <f>Z23*M$1*AB23*H23*H23/(1024*1024*1024)</f>
        <v>19.622928321116255</v>
      </c>
    </row>
    <row r="26" spans="1:33" ht="15.75" customHeight="1">
      <c r="AD26">
        <f>SUM(AD4:AD18)</f>
        <v>146712</v>
      </c>
    </row>
    <row r="28" spans="1:33" ht="15.75" customHeight="1">
      <c r="H28" s="12"/>
    </row>
    <row r="30" spans="1:33" ht="15.75" customHeight="1">
      <c r="E30" s="12"/>
    </row>
    <row r="31" spans="1:33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Target 10KFPS</vt:lpstr>
      <vt:lpstr>Realistic</vt:lpstr>
      <vt:lpstr>6KFPS</vt:lpstr>
      <vt:lpstr>Julian's pruning (30%)</vt:lpstr>
      <vt:lpstr>Julian's pruning (30%)-fast</vt:lpstr>
      <vt:lpstr>Julian's pruning (40%)</vt:lpstr>
      <vt:lpstr>Julian's pruning (50%)</vt:lpstr>
      <vt:lpstr>Dorefanet-Roofline</vt:lpstr>
      <vt:lpstr>KU115</vt:lpstr>
      <vt:lpstr>KU115-BinaryNet-faster</vt:lpstr>
      <vt:lpstr>KU115-BinaryNet</vt:lpstr>
      <vt:lpstr>Darknet</vt:lpstr>
      <vt:lpstr>Darknet19</vt:lpstr>
      <vt:lpstr>Darknet19_HWGQ</vt:lpstr>
      <vt:lpstr>Darknet-Roofline</vt:lpstr>
      <vt:lpstr>Darknet-Tiny</vt:lpstr>
      <vt:lpstr>KU115-Slow</vt:lpstr>
      <vt:lpstr>Binarynet Roofline</vt:lpstr>
      <vt:lpstr>Fast</vt:lpstr>
      <vt:lpstr>OI Evaluation</vt:lpstr>
      <vt:lpstr>Dorefanet-100</vt:lpstr>
      <vt:lpstr>Slow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Gambardella</dc:creator>
  <cp:keywords>Confidential, None, None</cp:keywords>
  <cp:lastModifiedBy>Giulio Gambardella</cp:lastModifiedBy>
  <dcterms:created xsi:type="dcterms:W3CDTF">2017-03-10T15:46:20Z</dcterms:created>
  <dcterms:modified xsi:type="dcterms:W3CDTF">2017-05-09T15:14:30Z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9039b99f-ef1d-4bca-b29c-bca4b78042da</vt:lpwstr>
  </property>
  <property fmtid="{D5CDD505-2E9C-101B-9397-08002B2CF9AE}" pid="3" name="TITUSCustom1">
    <vt:lpwstr>1</vt:lpwstr>
  </property>
  <property fmtid="{D5CDD505-2E9C-101B-9397-08002B2CF9AE}" pid="4" name="XilinxClassification">
    <vt:lpwstr>Confidential</vt:lpwstr>
  </property>
  <property fmtid="{D5CDD505-2E9C-101B-9397-08002B2CF9AE}" pid="5" name="XilinxVisual Markings">
    <vt:lpwstr>Yes</vt:lpwstr>
  </property>
  <property fmtid="{D5CDD505-2E9C-101B-9397-08002B2CF9AE}" pid="6" name="XilinxProprietary">
    <vt:lpwstr>No</vt:lpwstr>
  </property>
  <property fmtid="{D5CDD505-2E9C-101B-9397-08002B2CF9AE}" pid="7" name="XilinxAdditional Classifications">
    <vt:lpwstr>None</vt:lpwstr>
  </property>
  <property fmtid="{D5CDD505-2E9C-101B-9397-08002B2CF9AE}" pid="8" name="XilinxExport Control">
    <vt:lpwstr>None</vt:lpwstr>
  </property>
  <property fmtid="{D5CDD505-2E9C-101B-9397-08002B2CF9AE}" pid="9" name="XilinxThird Party">
    <vt:lpwstr/>
  </property>
  <property fmtid="{D5CDD505-2E9C-101B-9397-08002B2CF9AE}" pid="10" name="XilinxNote">
    <vt:lpwstr/>
  </property>
  <property fmtid="{D5CDD505-2E9C-101B-9397-08002B2CF9AE}" pid="11" name="XilinxRemoveLegacyFooters">
    <vt:lpwstr>Yes</vt:lpwstr>
  </property>
</Properties>
</file>