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xir-pcsteng01\xlabs_t3\t3\Reduced precision NN\RPNN_Data\"/>
    </mc:Choice>
  </mc:AlternateContent>
  <bookViews>
    <workbookView xWindow="0" yWindow="0" windowWidth="25200" windowHeight="12570" activeTab="1"/>
  </bookViews>
  <sheets>
    <sheet name="Slow" sheetId="1" r:id="rId1"/>
    <sheet name="fast" sheetId="2" r:id="rId2"/>
    <sheet name="Slow_differentpaddin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2" l="1"/>
  <c r="L12" i="3" l="1"/>
  <c r="P12" i="3"/>
  <c r="Q12" i="3"/>
  <c r="R12" i="3"/>
  <c r="S12" i="3" s="1"/>
  <c r="AD12" i="3" s="1"/>
  <c r="T12" i="3"/>
  <c r="V12" i="3" s="1"/>
  <c r="U12" i="3"/>
  <c r="W12" i="3"/>
  <c r="X12" i="3"/>
  <c r="Y12" i="3"/>
  <c r="Z12" i="3"/>
  <c r="AA12" i="3" l="1"/>
  <c r="AE12" i="3" s="1"/>
  <c r="J4" i="3" l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D6" i="3"/>
  <c r="H6" i="3" s="1"/>
  <c r="D7" i="3" s="1"/>
  <c r="T7" i="3" s="1"/>
  <c r="D8" i="3"/>
  <c r="D9" i="3"/>
  <c r="D10" i="3"/>
  <c r="I3" i="3"/>
  <c r="U15" i="3"/>
  <c r="W15" i="3" s="1"/>
  <c r="R15" i="3"/>
  <c r="P15" i="3"/>
  <c r="D15" i="3"/>
  <c r="T15" i="3" s="1"/>
  <c r="K14" i="3"/>
  <c r="D14" i="3"/>
  <c r="K13" i="3"/>
  <c r="D12" i="3"/>
  <c r="H12" i="3" s="1"/>
  <c r="D13" i="3" s="1"/>
  <c r="U11" i="3"/>
  <c r="W11" i="3" s="1"/>
  <c r="R11" i="3"/>
  <c r="P11" i="3"/>
  <c r="U9" i="3"/>
  <c r="W9" i="3" s="1"/>
  <c r="R9" i="3"/>
  <c r="P9" i="3"/>
  <c r="U8" i="3"/>
  <c r="W8" i="3" s="1"/>
  <c r="R8" i="3"/>
  <c r="P8" i="3"/>
  <c r="U7" i="3"/>
  <c r="W7" i="3" s="1"/>
  <c r="R7" i="3"/>
  <c r="P7" i="3"/>
  <c r="U5" i="3"/>
  <c r="W5" i="3" s="1"/>
  <c r="R5" i="3"/>
  <c r="P5" i="3"/>
  <c r="D4" i="3"/>
  <c r="H4" i="3" s="1"/>
  <c r="D5" i="3" s="1"/>
  <c r="Z5" i="3" s="1"/>
  <c r="U3" i="3"/>
  <c r="W3" i="3" s="1"/>
  <c r="R3" i="3"/>
  <c r="P3" i="3"/>
  <c r="Z3" i="3"/>
  <c r="V20" i="2"/>
  <c r="T20" i="2"/>
  <c r="Q20" i="2"/>
  <c r="P20" i="2"/>
  <c r="O20" i="2"/>
  <c r="D20" i="2"/>
  <c r="S20" i="2" s="1"/>
  <c r="J19" i="2"/>
  <c r="D19" i="2"/>
  <c r="J18" i="2"/>
  <c r="D18" i="2"/>
  <c r="C18" i="2"/>
  <c r="H18" i="2" s="1"/>
  <c r="C19" i="2" s="1"/>
  <c r="H19" i="2" s="1"/>
  <c r="C20" i="2" s="1"/>
  <c r="H17" i="2"/>
  <c r="G17" i="2"/>
  <c r="D17" i="2"/>
  <c r="C17" i="2"/>
  <c r="X16" i="2"/>
  <c r="W16" i="2"/>
  <c r="T16" i="2"/>
  <c r="V16" i="2" s="1"/>
  <c r="Q16" i="2"/>
  <c r="O16" i="2"/>
  <c r="D15" i="2"/>
  <c r="V14" i="2"/>
  <c r="T14" i="2"/>
  <c r="Q14" i="2"/>
  <c r="O14" i="2"/>
  <c r="J13" i="2"/>
  <c r="D13" i="2"/>
  <c r="G13" i="2" s="1"/>
  <c r="D14" i="2" s="1"/>
  <c r="T12" i="2"/>
  <c r="V12" i="2" s="1"/>
  <c r="Q12" i="2"/>
  <c r="O12" i="2"/>
  <c r="J11" i="2"/>
  <c r="D11" i="2"/>
  <c r="G11" i="2" s="1"/>
  <c r="D12" i="2" s="1"/>
  <c r="U10" i="2"/>
  <c r="T10" i="2"/>
  <c r="V10" i="2" s="1"/>
  <c r="S10" i="2"/>
  <c r="Z10" i="2" s="1"/>
  <c r="AD10" i="2" s="1"/>
  <c r="Q10" i="2"/>
  <c r="O10" i="2"/>
  <c r="D10" i="2"/>
  <c r="Y10" i="2" s="1"/>
  <c r="J9" i="2"/>
  <c r="D8" i="2"/>
  <c r="G8" i="2" s="1"/>
  <c r="D9" i="2" s="1"/>
  <c r="T7" i="2"/>
  <c r="V7" i="2" s="1"/>
  <c r="S7" i="2"/>
  <c r="Z7" i="2" s="1"/>
  <c r="AD7" i="2" s="1"/>
  <c r="Q7" i="2"/>
  <c r="O7" i="2"/>
  <c r="D7" i="2"/>
  <c r="Y7" i="2" s="1"/>
  <c r="J6" i="2"/>
  <c r="D5" i="2"/>
  <c r="G5" i="2" s="1"/>
  <c r="D6" i="2" s="1"/>
  <c r="T4" i="2"/>
  <c r="V4" i="2" s="1"/>
  <c r="S4" i="2"/>
  <c r="Z4" i="2" s="1"/>
  <c r="AD4" i="2" s="1"/>
  <c r="Q4" i="2"/>
  <c r="O4" i="2"/>
  <c r="I4" i="2"/>
  <c r="I5" i="2" s="1"/>
  <c r="I6" i="2" s="1"/>
  <c r="I7" i="2" s="1"/>
  <c r="D4" i="2"/>
  <c r="Y4" i="2" s="1"/>
  <c r="J3" i="2"/>
  <c r="H3" i="2"/>
  <c r="C4" i="2" s="1"/>
  <c r="J2" i="1"/>
  <c r="K5" i="1"/>
  <c r="K7" i="1"/>
  <c r="O7" i="1"/>
  <c r="P7" i="1"/>
  <c r="Q7" i="1"/>
  <c r="R7" i="1"/>
  <c r="AC7" i="1" s="1"/>
  <c r="S7" i="1"/>
  <c r="Z7" i="1" s="1"/>
  <c r="AD7" i="1" s="1"/>
  <c r="T7" i="1"/>
  <c r="U7" i="1"/>
  <c r="V7" i="1"/>
  <c r="W7" i="1"/>
  <c r="X7" i="1"/>
  <c r="Y7" i="1"/>
  <c r="K10" i="1"/>
  <c r="O10" i="1"/>
  <c r="P10" i="1"/>
  <c r="Q10" i="1"/>
  <c r="R10" i="1" s="1"/>
  <c r="AC10" i="1" s="1"/>
  <c r="S10" i="1"/>
  <c r="U10" i="1" s="1"/>
  <c r="T10" i="1"/>
  <c r="V10" i="1"/>
  <c r="W10" i="1"/>
  <c r="X10" i="1"/>
  <c r="Y10" i="1"/>
  <c r="K12" i="1"/>
  <c r="O12" i="1"/>
  <c r="P12" i="1"/>
  <c r="Q12" i="1"/>
  <c r="R12" i="1" s="1"/>
  <c r="AC12" i="1" s="1"/>
  <c r="S12" i="1"/>
  <c r="Z12" i="1" s="1"/>
  <c r="AD12" i="1" s="1"/>
  <c r="T12" i="1"/>
  <c r="V12" i="1" s="1"/>
  <c r="U12" i="1"/>
  <c r="W12" i="1"/>
  <c r="X12" i="1"/>
  <c r="Y12" i="1"/>
  <c r="K14" i="1"/>
  <c r="O14" i="1"/>
  <c r="P14" i="1"/>
  <c r="Q14" i="1"/>
  <c r="R14" i="1"/>
  <c r="AC14" i="1" s="1"/>
  <c r="S14" i="1"/>
  <c r="Z14" i="1" s="1"/>
  <c r="AD14" i="1" s="1"/>
  <c r="T14" i="1"/>
  <c r="U14" i="1"/>
  <c r="V14" i="1"/>
  <c r="W14" i="1"/>
  <c r="X14" i="1"/>
  <c r="Y14" i="1"/>
  <c r="K16" i="1"/>
  <c r="O16" i="1"/>
  <c r="P16" i="1"/>
  <c r="Q16" i="1"/>
  <c r="R16" i="1" s="1"/>
  <c r="AC16" i="1" s="1"/>
  <c r="S16" i="1"/>
  <c r="Z16" i="1" s="1"/>
  <c r="AD16" i="1" s="1"/>
  <c r="T16" i="1"/>
  <c r="U16" i="1"/>
  <c r="V16" i="1"/>
  <c r="W16" i="1"/>
  <c r="X16" i="1"/>
  <c r="Y16" i="1"/>
  <c r="K20" i="1"/>
  <c r="O20" i="1"/>
  <c r="P20" i="1"/>
  <c r="Q20" i="1"/>
  <c r="R20" i="1" s="1"/>
  <c r="AC20" i="1" s="1"/>
  <c r="S20" i="1"/>
  <c r="Z20" i="1" s="1"/>
  <c r="AD20" i="1" s="1"/>
  <c r="T20" i="1"/>
  <c r="V20" i="1" s="1"/>
  <c r="U20" i="1"/>
  <c r="W20" i="1"/>
  <c r="X20" i="1"/>
  <c r="Y20" i="1"/>
  <c r="C19" i="1"/>
  <c r="D19" i="1"/>
  <c r="H19" i="1"/>
  <c r="I19" i="1"/>
  <c r="I20" i="1" s="1"/>
  <c r="J20" i="1" s="1"/>
  <c r="J19" i="1"/>
  <c r="C20" i="1"/>
  <c r="D20" i="1"/>
  <c r="H20" i="1"/>
  <c r="D16" i="1"/>
  <c r="C8" i="1"/>
  <c r="H8" i="1" s="1"/>
  <c r="D8" i="1"/>
  <c r="G8" i="1"/>
  <c r="D9" i="1" s="1"/>
  <c r="I8" i="1"/>
  <c r="I9" i="1" s="1"/>
  <c r="I10" i="1" s="1"/>
  <c r="J9" i="1"/>
  <c r="D10" i="1"/>
  <c r="D11" i="1"/>
  <c r="G11" i="1" s="1"/>
  <c r="D12" i="1" s="1"/>
  <c r="D13" i="1"/>
  <c r="G13" i="1" s="1"/>
  <c r="D14" i="1" s="1"/>
  <c r="D15" i="1" s="1"/>
  <c r="D17" i="1"/>
  <c r="G17" i="1" s="1"/>
  <c r="D18" i="1" s="1"/>
  <c r="J18" i="1"/>
  <c r="H3" i="1"/>
  <c r="I5" i="1"/>
  <c r="I6" i="1"/>
  <c r="I7" i="1"/>
  <c r="D5" i="1"/>
  <c r="G5" i="1" s="1"/>
  <c r="Y4" i="1"/>
  <c r="T4" i="1"/>
  <c r="V4" i="1" s="1"/>
  <c r="Q4" i="1"/>
  <c r="O4" i="1"/>
  <c r="I4" i="1"/>
  <c r="D4" i="1"/>
  <c r="P4" i="1" s="1"/>
  <c r="J3" i="1"/>
  <c r="C4" i="1"/>
  <c r="H4" i="1" s="1"/>
  <c r="C5" i="1" s="1"/>
  <c r="H5" i="1" s="1"/>
  <c r="K3" i="3" l="1"/>
  <c r="Z15" i="3"/>
  <c r="Q5" i="3"/>
  <c r="T5" i="3"/>
  <c r="AA5" i="3" s="1"/>
  <c r="AE5" i="3" s="1"/>
  <c r="Q7" i="3"/>
  <c r="Z7" i="3"/>
  <c r="V5" i="3"/>
  <c r="Q3" i="3"/>
  <c r="T3" i="3"/>
  <c r="AA15" i="3"/>
  <c r="AE15" i="3" s="1"/>
  <c r="V15" i="3"/>
  <c r="Z8" i="3"/>
  <c r="Q8" i="3"/>
  <c r="T8" i="3"/>
  <c r="AA7" i="3"/>
  <c r="AE7" i="3" s="1"/>
  <c r="V7" i="3"/>
  <c r="T9" i="3"/>
  <c r="Z9" i="3"/>
  <c r="Q9" i="3"/>
  <c r="Q15" i="3"/>
  <c r="Y12" i="2"/>
  <c r="P12" i="2"/>
  <c r="S12" i="2"/>
  <c r="H4" i="2"/>
  <c r="W4" i="2"/>
  <c r="Z20" i="2"/>
  <c r="AD20" i="2" s="1"/>
  <c r="U20" i="2"/>
  <c r="I8" i="2"/>
  <c r="I9" i="2" s="1"/>
  <c r="I10" i="2" s="1"/>
  <c r="S14" i="2"/>
  <c r="Y14" i="2"/>
  <c r="P14" i="2"/>
  <c r="H20" i="2"/>
  <c r="X20" i="2" s="1"/>
  <c r="W20" i="2"/>
  <c r="J4" i="2"/>
  <c r="P10" i="2"/>
  <c r="Y20" i="2"/>
  <c r="U4" i="2"/>
  <c r="U7" i="2"/>
  <c r="P4" i="2"/>
  <c r="P7" i="2"/>
  <c r="Z10" i="1"/>
  <c r="AD10" i="1" s="1"/>
  <c r="J8" i="1"/>
  <c r="C9" i="1"/>
  <c r="H9" i="1" s="1"/>
  <c r="C10" i="1" s="1"/>
  <c r="H10" i="1" s="1"/>
  <c r="C11" i="1" s="1"/>
  <c r="H11" i="1" s="1"/>
  <c r="I11" i="1"/>
  <c r="I12" i="1" s="1"/>
  <c r="I13" i="1" s="1"/>
  <c r="D6" i="1"/>
  <c r="X4" i="1"/>
  <c r="J4" i="1"/>
  <c r="S4" i="1"/>
  <c r="W4" i="1"/>
  <c r="AA3" i="3" l="1"/>
  <c r="AE3" i="3" s="1"/>
  <c r="V3" i="3"/>
  <c r="V8" i="3"/>
  <c r="AA8" i="3"/>
  <c r="AE8" i="3" s="1"/>
  <c r="Y3" i="3"/>
  <c r="C4" i="3"/>
  <c r="I4" i="3" s="1"/>
  <c r="C5" i="3" s="1"/>
  <c r="X3" i="3"/>
  <c r="V9" i="3"/>
  <c r="AA9" i="3"/>
  <c r="AE9" i="3" s="1"/>
  <c r="R4" i="2"/>
  <c r="U12" i="2"/>
  <c r="Z12" i="2"/>
  <c r="AD12" i="2" s="1"/>
  <c r="I11" i="2"/>
  <c r="I12" i="2" s="1"/>
  <c r="C5" i="2"/>
  <c r="H5" i="2" s="1"/>
  <c r="X4" i="2"/>
  <c r="Z14" i="2"/>
  <c r="AD14" i="2" s="1"/>
  <c r="U14" i="2"/>
  <c r="J10" i="1"/>
  <c r="I14" i="1"/>
  <c r="I15" i="1" s="1"/>
  <c r="I16" i="1" s="1"/>
  <c r="J11" i="1"/>
  <c r="C12" i="1"/>
  <c r="H12" i="1" s="1"/>
  <c r="D7" i="1"/>
  <c r="R4" i="1"/>
  <c r="U4" i="1"/>
  <c r="Z4" i="1"/>
  <c r="AD4" i="1" s="1"/>
  <c r="S3" i="3" l="1"/>
  <c r="K4" i="3"/>
  <c r="AC4" i="2"/>
  <c r="J5" i="2"/>
  <c r="C6" i="2"/>
  <c r="H6" i="2" s="1"/>
  <c r="C7" i="2" s="1"/>
  <c r="I13" i="2"/>
  <c r="I14" i="2" s="1"/>
  <c r="C13" i="1"/>
  <c r="H13" i="1" s="1"/>
  <c r="C14" i="1" s="1"/>
  <c r="H14" i="1" s="1"/>
  <c r="C15" i="1" s="1"/>
  <c r="H15" i="1" s="1"/>
  <c r="J12" i="1"/>
  <c r="I17" i="1"/>
  <c r="I18" i="1" s="1"/>
  <c r="AC4" i="1"/>
  <c r="AD3" i="3" l="1"/>
  <c r="I15" i="2"/>
  <c r="I16" i="2" s="1"/>
  <c r="H7" i="2"/>
  <c r="W7" i="2" s="1"/>
  <c r="C17" i="1"/>
  <c r="H17" i="1" s="1"/>
  <c r="C18" i="1" s="1"/>
  <c r="H18" i="1" s="1"/>
  <c r="J15" i="1"/>
  <c r="J13" i="1"/>
  <c r="J14" i="1"/>
  <c r="I5" i="3" l="1"/>
  <c r="I17" i="2"/>
  <c r="X7" i="2"/>
  <c r="C8" i="2"/>
  <c r="H8" i="2" s="1"/>
  <c r="J7" i="2"/>
  <c r="J17" i="1"/>
  <c r="J16" i="1"/>
  <c r="X5" i="3" l="1"/>
  <c r="C6" i="3"/>
  <c r="K5" i="3"/>
  <c r="S5" i="3" s="1"/>
  <c r="Y5" i="3"/>
  <c r="I6" i="3"/>
  <c r="C7" i="3" s="1"/>
  <c r="R7" i="2"/>
  <c r="J17" i="2"/>
  <c r="I18" i="2"/>
  <c r="I19" i="2" s="1"/>
  <c r="I20" i="2" s="1"/>
  <c r="J20" i="2" s="1"/>
  <c r="J8" i="2"/>
  <c r="C9" i="2"/>
  <c r="H9" i="2" s="1"/>
  <c r="C10" i="2" s="1"/>
  <c r="C6" i="1"/>
  <c r="H6" i="1" s="1"/>
  <c r="J6" i="1" s="1"/>
  <c r="K6" i="3" l="1"/>
  <c r="I7" i="3"/>
  <c r="C8" i="3" s="1"/>
  <c r="AD5" i="3"/>
  <c r="R20" i="2"/>
  <c r="AC20" i="2" s="1"/>
  <c r="AC7" i="2"/>
  <c r="H10" i="2"/>
  <c r="W10" i="2"/>
  <c r="J5" i="1"/>
  <c r="Y7" i="3" l="1"/>
  <c r="K7" i="3"/>
  <c r="X7" i="3"/>
  <c r="X10" i="2"/>
  <c r="C11" i="2"/>
  <c r="H11" i="2" s="1"/>
  <c r="C12" i="2" s="1"/>
  <c r="J10" i="2"/>
  <c r="C7" i="1"/>
  <c r="H7" i="1" s="1"/>
  <c r="J7" i="1" s="1"/>
  <c r="I8" i="3" l="1"/>
  <c r="C9" i="3" s="1"/>
  <c r="S7" i="3"/>
  <c r="R10" i="2"/>
  <c r="H12" i="2"/>
  <c r="K1" i="1"/>
  <c r="M1" i="1" s="1"/>
  <c r="X8" i="3" l="1"/>
  <c r="AD7" i="3"/>
  <c r="X12" i="2"/>
  <c r="C13" i="2"/>
  <c r="H13" i="2" s="1"/>
  <c r="C14" i="2" s="1"/>
  <c r="J12" i="2"/>
  <c r="AC10" i="2"/>
  <c r="W12" i="2"/>
  <c r="S1" i="1"/>
  <c r="K4" i="1"/>
  <c r="K8" i="3" l="1"/>
  <c r="S8" i="3" s="1"/>
  <c r="Y8" i="3"/>
  <c r="R12" i="2"/>
  <c r="H14" i="2"/>
  <c r="I9" i="3" l="1"/>
  <c r="C10" i="3" s="1"/>
  <c r="AD8" i="3"/>
  <c r="L1" i="3"/>
  <c r="N1" i="3" s="1"/>
  <c r="C15" i="2"/>
  <c r="H15" i="2" s="1"/>
  <c r="X14" i="2"/>
  <c r="J14" i="2"/>
  <c r="W14" i="2"/>
  <c r="AC12" i="2"/>
  <c r="M1" i="2"/>
  <c r="D16" i="2" l="1"/>
  <c r="J15" i="2"/>
  <c r="K14" i="2"/>
  <c r="R14" i="2"/>
  <c r="AC14" i="2" s="1"/>
  <c r="K12" i="2"/>
  <c r="K10" i="2"/>
  <c r="K20" i="2"/>
  <c r="I10" i="3" l="1"/>
  <c r="K9" i="3"/>
  <c r="S9" i="3" s="1"/>
  <c r="AD9" i="3" s="1"/>
  <c r="Y9" i="3"/>
  <c r="X9" i="3"/>
  <c r="K4" i="2"/>
  <c r="S1" i="2"/>
  <c r="K5" i="2"/>
  <c r="K7" i="2"/>
  <c r="P16" i="2"/>
  <c r="S16" i="2"/>
  <c r="Y16" i="2"/>
  <c r="J16" i="2"/>
  <c r="I11" i="3" l="1"/>
  <c r="K10" i="3"/>
  <c r="L7" i="3" s="1"/>
  <c r="D11" i="3"/>
  <c r="L5" i="3"/>
  <c r="K16" i="2"/>
  <c r="R16" i="2"/>
  <c r="AC16" i="2" s="1"/>
  <c r="J2" i="2"/>
  <c r="U16" i="2"/>
  <c r="Z16" i="2"/>
  <c r="AD16" i="2" s="1"/>
  <c r="C12" i="3" l="1"/>
  <c r="I12" i="3" s="1"/>
  <c r="Y11" i="3"/>
  <c r="X11" i="3"/>
  <c r="L9" i="3"/>
  <c r="L8" i="3"/>
  <c r="Z11" i="3"/>
  <c r="Q11" i="3"/>
  <c r="T11" i="3"/>
  <c r="K11" i="3"/>
  <c r="L3" i="3"/>
  <c r="T1" i="3"/>
  <c r="C13" i="3" l="1"/>
  <c r="I13" i="3" s="1"/>
  <c r="C14" i="3" s="1"/>
  <c r="I14" i="3" s="1"/>
  <c r="C15" i="3" s="1"/>
  <c r="K12" i="3"/>
  <c r="L11" i="3"/>
  <c r="S11" i="3"/>
  <c r="AD11" i="3" s="1"/>
  <c r="V11" i="3"/>
  <c r="AA11" i="3"/>
  <c r="AE11" i="3" s="1"/>
  <c r="I15" i="3" l="1"/>
  <c r="X15" i="3" s="1"/>
  <c r="Y15" i="3" l="1"/>
  <c r="K15" i="3"/>
  <c r="K2" i="3" s="1"/>
  <c r="S15" i="3" l="1"/>
  <c r="AD15" i="3" s="1"/>
  <c r="L15" i="3"/>
</calcChain>
</file>

<file path=xl/sharedStrings.xml><?xml version="1.0" encoding="utf-8"?>
<sst xmlns="http://schemas.openxmlformats.org/spreadsheetml/2006/main" count="168" uniqueCount="52">
  <si>
    <t>network:</t>
  </si>
  <si>
    <t>Fclk (MHz):</t>
  </si>
  <si>
    <t>largest II(no first and last):</t>
  </si>
  <si>
    <t>frames/sec:</t>
  </si>
  <si>
    <t>OI (Ops/byte):</t>
  </si>
  <si>
    <t>layer #</t>
  </si>
  <si>
    <t>type</t>
  </si>
  <si>
    <t>in dim</t>
  </si>
  <si>
    <t>in channels</t>
  </si>
  <si>
    <t>Stride</t>
  </si>
  <si>
    <t>filter dim</t>
  </si>
  <si>
    <t>out channels</t>
  </si>
  <si>
    <t>out dim</t>
  </si>
  <si>
    <t>Parallel</t>
  </si>
  <si>
    <t>% of total</t>
  </si>
  <si>
    <t>SIMD</t>
  </si>
  <si>
    <t>PE</t>
  </si>
  <si>
    <t>MMV</t>
  </si>
  <si>
    <t>TMEM</t>
  </si>
  <si>
    <t>WMEM</t>
  </si>
  <si>
    <t>ops/cyc</t>
  </si>
  <si>
    <t>Est MV cycles</t>
  </si>
  <si>
    <t>matrix width</t>
  </si>
  <si>
    <t>matrix height</t>
  </si>
  <si>
    <t>synapse fold</t>
  </si>
  <si>
    <t>neuron fold</t>
  </si>
  <si>
    <t>SWG total fold</t>
  </si>
  <si>
    <t>SWG no-read</t>
  </si>
  <si>
    <t>layer params [#weights]</t>
  </si>
  <si>
    <t>Memory [#weigths]</t>
  </si>
  <si>
    <t>#Bit per Input</t>
  </si>
  <si>
    <t>#Bit per weigth</t>
  </si>
  <si>
    <t>FPS/Layer</t>
  </si>
  <si>
    <t>Memory [BRAM]</t>
  </si>
  <si>
    <t>Bandwidth [Gbit/s]</t>
  </si>
  <si>
    <t>pad</t>
  </si>
  <si>
    <t>conv</t>
  </si>
  <si>
    <t>pool</t>
  </si>
  <si>
    <t>fc</t>
  </si>
  <si>
    <t>HWGQ - Yaman</t>
  </si>
  <si>
    <t>linear</t>
  </si>
  <si>
    <t>ReLu</t>
  </si>
  <si>
    <t>pool0</t>
  </si>
  <si>
    <t>pool1</t>
  </si>
  <si>
    <t>conv0+th</t>
  </si>
  <si>
    <t>conv1+th</t>
  </si>
  <si>
    <t>conv2+th</t>
  </si>
  <si>
    <t>conv3+th</t>
  </si>
  <si>
    <t>conv4+th</t>
  </si>
  <si>
    <t>pool4</t>
  </si>
  <si>
    <t>fc1</t>
  </si>
  <si>
    <t>fc0+th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</si>
</sst>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Font="1" applyAlignmen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/>
    <xf numFmtId="2" fontId="2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0" applyFill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L27" sqref="L27"/>
    </sheetView>
  </sheetViews>
  <sheetFormatPr defaultRowHeight="15" x14ac:dyDescent="0.25"/>
  <cols>
    <col min="7" max="7" width="12.5703125" bestFit="1" customWidth="1"/>
    <col min="10" max="10" width="27.140625" bestFit="1" customWidth="1"/>
    <col min="13" max="13" width="12" bestFit="1" customWidth="1"/>
    <col min="14" max="14" width="16.7109375" customWidth="1"/>
    <col min="18" max="18" width="13.28515625" bestFit="1" customWidth="1"/>
  </cols>
  <sheetData>
    <row r="1" spans="1:32" x14ac:dyDescent="0.25">
      <c r="A1" s="1" t="s">
        <v>0</v>
      </c>
      <c r="B1" s="11" t="s">
        <v>39</v>
      </c>
      <c r="C1" s="12"/>
      <c r="D1" s="12"/>
      <c r="E1" s="12"/>
      <c r="F1" s="12"/>
      <c r="G1" s="1" t="s">
        <v>1</v>
      </c>
      <c r="H1" s="2">
        <v>200</v>
      </c>
      <c r="I1" s="1"/>
      <c r="J1" s="1" t="s">
        <v>2</v>
      </c>
      <c r="K1" s="2">
        <f>MAX(MAX(R4:R12),MAX(W5:W12))</f>
        <v>73205</v>
      </c>
      <c r="L1" s="1" t="s">
        <v>3</v>
      </c>
      <c r="M1" s="2">
        <f>1000000*H1/K1</f>
        <v>2732.053821460283</v>
      </c>
      <c r="N1" s="3"/>
      <c r="O1" s="3"/>
      <c r="P1" s="3"/>
      <c r="Q1" s="3"/>
      <c r="R1" s="1" t="s">
        <v>4</v>
      </c>
      <c r="S1" s="2">
        <f>SUM(J3:J15)/(C3*C3*D3+G15*2)</f>
        <v>14256.334043961864</v>
      </c>
      <c r="T1" s="3"/>
      <c r="U1" s="3"/>
      <c r="V1" s="3"/>
      <c r="W1" s="3"/>
      <c r="X1" s="3"/>
      <c r="Y1" s="4"/>
      <c r="Z1" s="3"/>
      <c r="AA1" s="3"/>
      <c r="AB1" s="3"/>
      <c r="AC1" s="5"/>
      <c r="AD1" s="5"/>
      <c r="AE1" s="5"/>
    </row>
    <row r="2" spans="1:32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tr">
        <f>"ops, total: " &amp; SUM(J3:J105)/1000000 &amp;"M"</f>
        <v>ops, total: 2270.520598M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  <c r="AB2" s="1" t="s">
        <v>31</v>
      </c>
      <c r="AC2" s="1" t="s">
        <v>32</v>
      </c>
      <c r="AD2" s="1" t="s">
        <v>33</v>
      </c>
      <c r="AE2" s="1" t="s">
        <v>34</v>
      </c>
    </row>
    <row r="3" spans="1:32" x14ac:dyDescent="0.25">
      <c r="A3" s="2">
        <v>0</v>
      </c>
      <c r="B3" s="3" t="s">
        <v>35</v>
      </c>
      <c r="C3" s="2">
        <v>224</v>
      </c>
      <c r="D3" s="2">
        <v>3</v>
      </c>
      <c r="E3" s="2">
        <v>1</v>
      </c>
      <c r="F3" s="2">
        <v>1.5</v>
      </c>
      <c r="G3" s="2">
        <v>3</v>
      </c>
      <c r="H3" s="6">
        <f t="shared" ref="H3:H4" si="0">IF(B3="pad", C3+2*F3, IF(B3="pool", _xlfn.CEILING.MATH((C3-F3+1)/E3), IF(OR(B3="conv",B3="fc"), _xlfn.CEILING.MATH((C3-F3+1)/E3),C3)))</f>
        <v>227</v>
      </c>
      <c r="I3" s="2">
        <v>1</v>
      </c>
      <c r="J3" s="2">
        <f t="shared" ref="J3:J4" si="1">IF(B3="pad", 0, IF(B3="pool", H3*H3*F3*F3, IF(OR(B3="conv",B3="fc"), I3*2*H3*H3*F3*F3*D3*G3,0)))</f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2">
        <v>1</v>
      </c>
      <c r="V3" s="3"/>
      <c r="W3" s="3"/>
      <c r="X3" s="3"/>
      <c r="Y3" s="3"/>
      <c r="Z3" s="3"/>
      <c r="AA3" s="3"/>
      <c r="AB3" s="3"/>
      <c r="AC3" s="5"/>
      <c r="AD3" s="5"/>
      <c r="AE3" s="5"/>
    </row>
    <row r="4" spans="1:32" s="10" customFormat="1" x14ac:dyDescent="0.25">
      <c r="A4" s="6">
        <v>1</v>
      </c>
      <c r="B4" s="7" t="s">
        <v>36</v>
      </c>
      <c r="C4" s="6">
        <f t="shared" ref="C4:C7" si="2">H3</f>
        <v>227</v>
      </c>
      <c r="D4" s="6">
        <f t="shared" ref="D4:D7" si="3">G3</f>
        <v>3</v>
      </c>
      <c r="E4" s="6">
        <v>4</v>
      </c>
      <c r="F4" s="6">
        <v>11</v>
      </c>
      <c r="G4" s="6">
        <v>96</v>
      </c>
      <c r="H4" s="6">
        <f t="shared" si="0"/>
        <v>55</v>
      </c>
      <c r="I4" s="6">
        <f t="shared" ref="I4:I7" si="4">IF(B3="merge", 1, IF(B3="split", 2, I3))</f>
        <v>1</v>
      </c>
      <c r="J4" s="6">
        <f t="shared" si="1"/>
        <v>210830400</v>
      </c>
      <c r="K4" s="8">
        <f>J4/SUM(J$4:J$15)*100</f>
        <v>9.7911429862900849</v>
      </c>
      <c r="L4" s="6">
        <v>3</v>
      </c>
      <c r="M4" s="6">
        <v>96</v>
      </c>
      <c r="N4" s="6">
        <v>5</v>
      </c>
      <c r="O4" s="6">
        <f>G4/M4</f>
        <v>1</v>
      </c>
      <c r="P4" s="6">
        <f>F4*F4*D4*G4/(L4*M4)</f>
        <v>121</v>
      </c>
      <c r="Q4" s="6">
        <f>2*L4*M4*N4</f>
        <v>2880</v>
      </c>
      <c r="R4" s="6">
        <f>J4/(Q4*I4)</f>
        <v>73205</v>
      </c>
      <c r="S4" s="6">
        <f>F4*F4*D4</f>
        <v>363</v>
      </c>
      <c r="T4" s="6">
        <f>G4</f>
        <v>96</v>
      </c>
      <c r="U4" s="6">
        <f>S4/L4</f>
        <v>121</v>
      </c>
      <c r="V4" s="6">
        <f>T4/M4</f>
        <v>1</v>
      </c>
      <c r="W4" s="6">
        <f>C4*C4+(F4*F4*H4*H4)/N4</f>
        <v>124734</v>
      </c>
      <c r="X4" s="6">
        <f>F4*F4*H4*H4/N4</f>
        <v>73205</v>
      </c>
      <c r="Y4" s="6">
        <f>D4*F4*F4*G4</f>
        <v>34848</v>
      </c>
      <c r="Z4" s="6">
        <f>S4*T4</f>
        <v>34848</v>
      </c>
      <c r="AA4" s="6">
        <v>8</v>
      </c>
      <c r="AB4" s="6">
        <v>4</v>
      </c>
      <c r="AC4" s="9">
        <f>1000000*$H$1/R4</f>
        <v>2732.053821460283</v>
      </c>
      <c r="AD4" s="9">
        <f>CEILING(Z4*AB4/18000,1) *M4</f>
        <v>768</v>
      </c>
      <c r="AE4" s="9"/>
    </row>
    <row r="5" spans="1:32" s="10" customFormat="1" x14ac:dyDescent="0.25">
      <c r="A5" s="6">
        <v>2</v>
      </c>
      <c r="B5" s="7" t="s">
        <v>37</v>
      </c>
      <c r="C5" s="6">
        <f t="shared" si="2"/>
        <v>55</v>
      </c>
      <c r="D5" s="6">
        <f t="shared" si="3"/>
        <v>96</v>
      </c>
      <c r="E5" s="6">
        <v>2</v>
      </c>
      <c r="F5" s="6">
        <v>3</v>
      </c>
      <c r="G5" s="6">
        <f t="shared" ref="G5" si="5">IF(B5="split", D5/2,IF(B5="merge",D5*2,D5))</f>
        <v>96</v>
      </c>
      <c r="H5" s="6">
        <f>IF(B5="pad", C5+2*F5, IF(B5="pool", _xlfn.CEILING.MATH((C5-F5+1)/E5), IF(OR(B5="conv",B5="fc"), _xlfn.CEILING.MATH((C5-F5+1)/E5),C5)))</f>
        <v>27</v>
      </c>
      <c r="I5" s="6">
        <f t="shared" si="4"/>
        <v>1</v>
      </c>
      <c r="J5" s="6">
        <f t="shared" ref="J5:J7" si="6">IF(B5="pad", 0, IF(B5="pool", H5*H5*F5*F5, IF(OR(B5="conv",B5="fc"), I5*2*H5*H5*F5*F5*D5*G5,0)))</f>
        <v>6561</v>
      </c>
      <c r="K5" s="8">
        <f t="shared" ref="K5:K20" si="7">J5/SUM(J$4:J$15)*100</f>
        <v>3.0469841698848574E-4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9"/>
      <c r="AD5" s="9"/>
      <c r="AE5" s="9"/>
    </row>
    <row r="6" spans="1:32" s="10" customFormat="1" x14ac:dyDescent="0.25">
      <c r="A6" s="6">
        <v>3</v>
      </c>
      <c r="B6" s="7" t="s">
        <v>35</v>
      </c>
      <c r="C6" s="6">
        <f t="shared" si="2"/>
        <v>27</v>
      </c>
      <c r="D6" s="6">
        <f t="shared" si="3"/>
        <v>96</v>
      </c>
      <c r="E6" s="6">
        <v>1</v>
      </c>
      <c r="F6" s="6">
        <v>2</v>
      </c>
      <c r="G6" s="6">
        <v>96</v>
      </c>
      <c r="H6" s="6">
        <f t="shared" ref="H6:H8" si="8">IF(B6="pad", C6+2*F6, IF(B6="pool", _xlfn.CEILING.MATH((C6-F6+1)/E6), IF(OR(B6="conv",B6="fc"), _xlfn.CEILING.MATH((C6-F6+1)/E6),C6)))</f>
        <v>31</v>
      </c>
      <c r="I6" s="6">
        <f t="shared" si="4"/>
        <v>1</v>
      </c>
      <c r="J6" s="6">
        <f t="shared" si="6"/>
        <v>0</v>
      </c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9"/>
      <c r="AD6" s="9"/>
      <c r="AE6" s="9"/>
    </row>
    <row r="7" spans="1:32" s="10" customFormat="1" x14ac:dyDescent="0.25">
      <c r="A7" s="6">
        <v>4</v>
      </c>
      <c r="B7" s="7" t="s">
        <v>36</v>
      </c>
      <c r="C7" s="6">
        <f t="shared" si="2"/>
        <v>31</v>
      </c>
      <c r="D7" s="6">
        <f t="shared" si="3"/>
        <v>96</v>
      </c>
      <c r="E7" s="6">
        <v>1</v>
      </c>
      <c r="F7" s="6">
        <v>5</v>
      </c>
      <c r="G7" s="6">
        <v>256</v>
      </c>
      <c r="H7" s="6">
        <f t="shared" si="8"/>
        <v>27</v>
      </c>
      <c r="I7" s="6">
        <f t="shared" si="4"/>
        <v>1</v>
      </c>
      <c r="J7" s="6">
        <f t="shared" si="6"/>
        <v>895795200</v>
      </c>
      <c r="K7" s="8">
        <f t="shared" si="7"/>
        <v>41.601490532827917</v>
      </c>
      <c r="L7" s="6">
        <v>48</v>
      </c>
      <c r="M7" s="6">
        <v>128</v>
      </c>
      <c r="N7" s="6">
        <v>1</v>
      </c>
      <c r="O7" s="6">
        <f t="shared" ref="O7:O20" si="9">G7/M7</f>
        <v>2</v>
      </c>
      <c r="P7" s="6">
        <f t="shared" ref="P7:P20" si="10">F7*F7*D7*G7/(L7*M7)</f>
        <v>100</v>
      </c>
      <c r="Q7" s="6">
        <f t="shared" ref="Q7:Q20" si="11">2*L7*M7*N7</f>
        <v>12288</v>
      </c>
      <c r="R7" s="6">
        <f t="shared" ref="R7:R20" si="12">J7/(Q7*I7)</f>
        <v>72900</v>
      </c>
      <c r="S7" s="6">
        <f t="shared" ref="S7:S20" si="13">F7*F7*D7</f>
        <v>2400</v>
      </c>
      <c r="T7" s="6">
        <f t="shared" ref="T7:T20" si="14">G7</f>
        <v>256</v>
      </c>
      <c r="U7" s="6">
        <f t="shared" ref="U7:U20" si="15">S7/L7</f>
        <v>50</v>
      </c>
      <c r="V7" s="6">
        <f t="shared" ref="V7:V20" si="16">T7/M7</f>
        <v>2</v>
      </c>
      <c r="W7" s="6">
        <f t="shared" ref="W7:W20" si="17">C7*C7+(F7*F7*H7*H7)/N7</f>
        <v>19186</v>
      </c>
      <c r="X7" s="6">
        <f t="shared" ref="X7:X20" si="18">F7*F7*H7*H7/N7</f>
        <v>18225</v>
      </c>
      <c r="Y7" s="6">
        <f t="shared" ref="Y7:Y20" si="19">D7*F7*F7*G7</f>
        <v>614400</v>
      </c>
      <c r="Z7" s="6">
        <f t="shared" ref="Z7:Z20" si="20">S7*T7</f>
        <v>614400</v>
      </c>
      <c r="AA7" s="6">
        <v>8</v>
      </c>
      <c r="AB7" s="6">
        <v>4</v>
      </c>
      <c r="AC7" s="9">
        <f t="shared" ref="AC7:AC20" si="21">1000000*$H$1/R7</f>
        <v>2743.4842249657063</v>
      </c>
      <c r="AD7" s="9">
        <f t="shared" ref="AD7:AD20" si="22">CEILING(Z7*AB7/18000,1) *M7</f>
        <v>17536</v>
      </c>
      <c r="AE7" s="9"/>
    </row>
    <row r="8" spans="1:32" s="10" customFormat="1" x14ac:dyDescent="0.25">
      <c r="A8" s="6">
        <v>5</v>
      </c>
      <c r="B8" s="7" t="s">
        <v>37</v>
      </c>
      <c r="C8" s="6">
        <f t="shared" ref="C8:C18" si="23">H7</f>
        <v>27</v>
      </c>
      <c r="D8" s="6">
        <f t="shared" ref="D8:D18" si="24">G7</f>
        <v>256</v>
      </c>
      <c r="E8" s="6">
        <v>2</v>
      </c>
      <c r="F8" s="6">
        <v>3</v>
      </c>
      <c r="G8" s="6">
        <f t="shared" ref="G8" si="25">IF(B8="split", D8/2,IF(B8="merge",D8*2,D8))</f>
        <v>256</v>
      </c>
      <c r="H8" s="6">
        <f t="shared" si="8"/>
        <v>13</v>
      </c>
      <c r="I8" s="6">
        <f t="shared" ref="I8:I18" si="26">IF(B7="merge", 1, IF(B7="split", 2, I7))</f>
        <v>1</v>
      </c>
      <c r="J8" s="6">
        <f t="shared" ref="J8:J18" si="27">IF(B8="pad", 0, IF(B8="pool", H8*H8*F8*F8, IF(OR(B8="conv",B8="fc"), I8*2*H8*H8*F8*F8*D8*G8,0)))</f>
        <v>1521</v>
      </c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9"/>
      <c r="AD8" s="9"/>
      <c r="AE8" s="9"/>
    </row>
    <row r="9" spans="1:32" s="10" customFormat="1" x14ac:dyDescent="0.25">
      <c r="A9" s="6">
        <v>6</v>
      </c>
      <c r="B9" s="7" t="s">
        <v>35</v>
      </c>
      <c r="C9" s="6">
        <f t="shared" si="23"/>
        <v>13</v>
      </c>
      <c r="D9" s="6">
        <f t="shared" si="24"/>
        <v>256</v>
      </c>
      <c r="E9" s="6">
        <v>1</v>
      </c>
      <c r="F9" s="6">
        <v>1</v>
      </c>
      <c r="G9" s="6">
        <v>256</v>
      </c>
      <c r="H9" s="6">
        <f t="shared" ref="H9:H18" si="28">IF(B9="pad", C9+2*F9, IF(B9="pool", _xlfn.CEILING.MATH((C9-F9+1)/E9), IF(OR(B9="conv",B9="fc"), _xlfn.CEILING.MATH((C9-F9+1)/E9),C9)))</f>
        <v>15</v>
      </c>
      <c r="I9" s="6">
        <f t="shared" si="26"/>
        <v>1</v>
      </c>
      <c r="J9" s="6">
        <f t="shared" si="27"/>
        <v>0</v>
      </c>
      <c r="K9" s="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9"/>
      <c r="AD9" s="9"/>
      <c r="AE9" s="9"/>
    </row>
    <row r="10" spans="1:32" s="10" customFormat="1" x14ac:dyDescent="0.25">
      <c r="A10" s="6">
        <v>7</v>
      </c>
      <c r="B10" s="7" t="s">
        <v>36</v>
      </c>
      <c r="C10" s="6">
        <f t="shared" si="23"/>
        <v>15</v>
      </c>
      <c r="D10" s="6">
        <f t="shared" si="24"/>
        <v>256</v>
      </c>
      <c r="E10" s="6">
        <v>1</v>
      </c>
      <c r="F10" s="6">
        <v>3</v>
      </c>
      <c r="G10" s="6">
        <v>384</v>
      </c>
      <c r="H10" s="6">
        <f t="shared" si="28"/>
        <v>13</v>
      </c>
      <c r="I10" s="6">
        <f t="shared" si="26"/>
        <v>1</v>
      </c>
      <c r="J10" s="6">
        <f t="shared" si="27"/>
        <v>299040768</v>
      </c>
      <c r="K10" s="8">
        <f t="shared" si="7"/>
        <v>13.887707456884776</v>
      </c>
      <c r="L10" s="6">
        <v>32</v>
      </c>
      <c r="M10" s="6">
        <v>64</v>
      </c>
      <c r="N10" s="6">
        <v>1</v>
      </c>
      <c r="O10" s="6">
        <f t="shared" si="9"/>
        <v>6</v>
      </c>
      <c r="P10" s="6">
        <f t="shared" si="10"/>
        <v>432</v>
      </c>
      <c r="Q10" s="6">
        <f t="shared" si="11"/>
        <v>4096</v>
      </c>
      <c r="R10" s="6">
        <f t="shared" si="12"/>
        <v>73008</v>
      </c>
      <c r="S10" s="6">
        <f t="shared" si="13"/>
        <v>2304</v>
      </c>
      <c r="T10" s="6">
        <f t="shared" si="14"/>
        <v>384</v>
      </c>
      <c r="U10" s="6">
        <f t="shared" si="15"/>
        <v>72</v>
      </c>
      <c r="V10" s="6">
        <f t="shared" si="16"/>
        <v>6</v>
      </c>
      <c r="W10" s="6">
        <f t="shared" si="17"/>
        <v>1746</v>
      </c>
      <c r="X10" s="6">
        <f t="shared" si="18"/>
        <v>1521</v>
      </c>
      <c r="Y10" s="6">
        <f t="shared" si="19"/>
        <v>884736</v>
      </c>
      <c r="Z10" s="6">
        <f t="shared" si="20"/>
        <v>884736</v>
      </c>
      <c r="AA10" s="6">
        <v>8</v>
      </c>
      <c r="AB10" s="6">
        <v>4</v>
      </c>
      <c r="AC10" s="9">
        <f t="shared" si="21"/>
        <v>2739.4258163488935</v>
      </c>
      <c r="AD10" s="9">
        <f t="shared" si="22"/>
        <v>12608</v>
      </c>
      <c r="AE10" s="9"/>
    </row>
    <row r="11" spans="1:32" s="10" customFormat="1" x14ac:dyDescent="0.25">
      <c r="A11" s="6">
        <v>8</v>
      </c>
      <c r="B11" s="7" t="s">
        <v>35</v>
      </c>
      <c r="C11" s="6">
        <f t="shared" si="23"/>
        <v>13</v>
      </c>
      <c r="D11" s="6">
        <f t="shared" si="24"/>
        <v>384</v>
      </c>
      <c r="E11" s="6">
        <v>1</v>
      </c>
      <c r="F11" s="6">
        <v>1</v>
      </c>
      <c r="G11" s="6">
        <f t="shared" ref="G11" si="29">IF(B11="split", D11/2,IF(B11="merge",D11*2,D11))</f>
        <v>384</v>
      </c>
      <c r="H11" s="6">
        <f t="shared" si="28"/>
        <v>15</v>
      </c>
      <c r="I11" s="6">
        <f t="shared" si="26"/>
        <v>1</v>
      </c>
      <c r="J11" s="6">
        <f t="shared" si="27"/>
        <v>0</v>
      </c>
      <c r="K11" s="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9"/>
      <c r="AD11" s="9"/>
      <c r="AE11" s="9"/>
    </row>
    <row r="12" spans="1:32" s="10" customFormat="1" x14ac:dyDescent="0.25">
      <c r="A12" s="6">
        <v>9</v>
      </c>
      <c r="B12" s="7" t="s">
        <v>36</v>
      </c>
      <c r="C12" s="6">
        <f t="shared" si="23"/>
        <v>15</v>
      </c>
      <c r="D12" s="6">
        <f t="shared" si="24"/>
        <v>384</v>
      </c>
      <c r="E12" s="6">
        <v>1</v>
      </c>
      <c r="F12" s="6">
        <v>3</v>
      </c>
      <c r="G12" s="6">
        <v>384</v>
      </c>
      <c r="H12" s="6">
        <f t="shared" si="28"/>
        <v>13</v>
      </c>
      <c r="I12" s="6">
        <f t="shared" si="26"/>
        <v>1</v>
      </c>
      <c r="J12" s="6">
        <f t="shared" si="27"/>
        <v>448561152</v>
      </c>
      <c r="K12" s="8">
        <f t="shared" si="7"/>
        <v>20.831561185327168</v>
      </c>
      <c r="L12" s="6">
        <v>64</v>
      </c>
      <c r="M12" s="6">
        <v>64</v>
      </c>
      <c r="N12" s="6">
        <v>1</v>
      </c>
      <c r="O12" s="6">
        <f t="shared" si="9"/>
        <v>6</v>
      </c>
      <c r="P12" s="6">
        <f t="shared" si="10"/>
        <v>324</v>
      </c>
      <c r="Q12" s="6">
        <f t="shared" si="11"/>
        <v>8192</v>
      </c>
      <c r="R12" s="6">
        <f t="shared" si="12"/>
        <v>54756</v>
      </c>
      <c r="S12" s="6">
        <f t="shared" si="13"/>
        <v>3456</v>
      </c>
      <c r="T12" s="6">
        <f t="shared" si="14"/>
        <v>384</v>
      </c>
      <c r="U12" s="6">
        <f t="shared" si="15"/>
        <v>54</v>
      </c>
      <c r="V12" s="6">
        <f t="shared" si="16"/>
        <v>6</v>
      </c>
      <c r="W12" s="6">
        <f t="shared" si="17"/>
        <v>1746</v>
      </c>
      <c r="X12" s="6">
        <f t="shared" si="18"/>
        <v>1521</v>
      </c>
      <c r="Y12" s="6">
        <f t="shared" si="19"/>
        <v>1327104</v>
      </c>
      <c r="Z12" s="6">
        <f t="shared" si="20"/>
        <v>1327104</v>
      </c>
      <c r="AA12" s="6">
        <v>8</v>
      </c>
      <c r="AB12" s="6">
        <v>4</v>
      </c>
      <c r="AC12" s="9">
        <f t="shared" si="21"/>
        <v>3652.5677551318577</v>
      </c>
      <c r="AD12" s="9">
        <f t="shared" si="22"/>
        <v>18880</v>
      </c>
      <c r="AE12" s="9"/>
    </row>
    <row r="13" spans="1:32" s="10" customFormat="1" x14ac:dyDescent="0.25">
      <c r="A13" s="6">
        <v>10</v>
      </c>
      <c r="B13" s="7" t="s">
        <v>35</v>
      </c>
      <c r="C13" s="6">
        <f t="shared" si="23"/>
        <v>13</v>
      </c>
      <c r="D13" s="6">
        <f t="shared" si="24"/>
        <v>384</v>
      </c>
      <c r="E13" s="6">
        <v>1</v>
      </c>
      <c r="F13" s="6">
        <v>1</v>
      </c>
      <c r="G13" s="6">
        <f t="shared" ref="G13" si="30">IF(B13="split", D13/2,IF(B13="merge",D13*2,D13))</f>
        <v>384</v>
      </c>
      <c r="H13" s="6">
        <f t="shared" si="28"/>
        <v>15</v>
      </c>
      <c r="I13" s="6">
        <f t="shared" si="26"/>
        <v>1</v>
      </c>
      <c r="J13" s="6">
        <f t="shared" si="27"/>
        <v>0</v>
      </c>
      <c r="K13" s="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9"/>
      <c r="AD13" s="9"/>
      <c r="AE13" s="9"/>
    </row>
    <row r="14" spans="1:32" s="10" customFormat="1" x14ac:dyDescent="0.25">
      <c r="A14" s="6">
        <v>11</v>
      </c>
      <c r="B14" s="7" t="s">
        <v>36</v>
      </c>
      <c r="C14" s="6">
        <f t="shared" si="23"/>
        <v>15</v>
      </c>
      <c r="D14" s="6">
        <f t="shared" si="24"/>
        <v>384</v>
      </c>
      <c r="E14" s="6">
        <v>1</v>
      </c>
      <c r="F14" s="6">
        <v>3</v>
      </c>
      <c r="G14" s="6">
        <v>256</v>
      </c>
      <c r="H14" s="6">
        <f t="shared" si="28"/>
        <v>13</v>
      </c>
      <c r="I14" s="6">
        <f t="shared" si="26"/>
        <v>1</v>
      </c>
      <c r="J14" s="6">
        <f t="shared" si="27"/>
        <v>299040768</v>
      </c>
      <c r="K14" s="8">
        <f t="shared" si="7"/>
        <v>13.887707456884776</v>
      </c>
      <c r="L14" s="6">
        <v>32</v>
      </c>
      <c r="M14" s="6">
        <v>64</v>
      </c>
      <c r="N14" s="6">
        <v>1</v>
      </c>
      <c r="O14" s="6">
        <f t="shared" si="9"/>
        <v>4</v>
      </c>
      <c r="P14" s="6">
        <f t="shared" si="10"/>
        <v>432</v>
      </c>
      <c r="Q14" s="6">
        <f t="shared" si="11"/>
        <v>4096</v>
      </c>
      <c r="R14" s="6">
        <f t="shared" si="12"/>
        <v>73008</v>
      </c>
      <c r="S14" s="6">
        <f t="shared" si="13"/>
        <v>3456</v>
      </c>
      <c r="T14" s="6">
        <f t="shared" si="14"/>
        <v>256</v>
      </c>
      <c r="U14" s="6">
        <f t="shared" si="15"/>
        <v>108</v>
      </c>
      <c r="V14" s="6">
        <f t="shared" si="16"/>
        <v>4</v>
      </c>
      <c r="W14" s="6">
        <f t="shared" si="17"/>
        <v>1746</v>
      </c>
      <c r="X14" s="6">
        <f t="shared" si="18"/>
        <v>1521</v>
      </c>
      <c r="Y14" s="6">
        <f t="shared" si="19"/>
        <v>884736</v>
      </c>
      <c r="Z14" s="6">
        <f t="shared" si="20"/>
        <v>884736</v>
      </c>
      <c r="AA14" s="6">
        <v>8</v>
      </c>
      <c r="AB14" s="6">
        <v>4</v>
      </c>
      <c r="AC14" s="9">
        <f t="shared" si="21"/>
        <v>2739.4258163488935</v>
      </c>
      <c r="AD14" s="9">
        <f t="shared" si="22"/>
        <v>12608</v>
      </c>
      <c r="AE14" s="9"/>
    </row>
    <row r="15" spans="1:32" s="10" customFormat="1" x14ac:dyDescent="0.25">
      <c r="A15" s="6">
        <v>12</v>
      </c>
      <c r="B15" s="7" t="s">
        <v>37</v>
      </c>
      <c r="C15" s="6">
        <f t="shared" si="23"/>
        <v>13</v>
      </c>
      <c r="D15" s="6">
        <f t="shared" si="24"/>
        <v>256</v>
      </c>
      <c r="E15" s="6">
        <v>2</v>
      </c>
      <c r="F15" s="6">
        <v>3</v>
      </c>
      <c r="G15" s="6">
        <v>256</v>
      </c>
      <c r="H15" s="6">
        <f t="shared" si="28"/>
        <v>6</v>
      </c>
      <c r="I15" s="6">
        <f t="shared" si="26"/>
        <v>1</v>
      </c>
      <c r="J15" s="6">
        <f t="shared" si="27"/>
        <v>324</v>
      </c>
      <c r="K15" s="8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9"/>
      <c r="AD15" s="9"/>
      <c r="AE15" s="9"/>
    </row>
    <row r="16" spans="1:32" x14ac:dyDescent="0.25">
      <c r="A16" s="6">
        <v>13</v>
      </c>
      <c r="B16" s="7" t="s">
        <v>38</v>
      </c>
      <c r="C16" s="6">
        <v>1</v>
      </c>
      <c r="D16" s="6">
        <f>G15*H15*H15</f>
        <v>9216</v>
      </c>
      <c r="E16" s="6">
        <v>1</v>
      </c>
      <c r="F16" s="6">
        <v>1</v>
      </c>
      <c r="G16" s="6">
        <v>4096</v>
      </c>
      <c r="H16" s="6">
        <v>1</v>
      </c>
      <c r="I16" s="6">
        <f t="shared" si="26"/>
        <v>1</v>
      </c>
      <c r="J16" s="6">
        <f t="shared" si="27"/>
        <v>75497472</v>
      </c>
      <c r="K16" s="8">
        <f t="shared" si="7"/>
        <v>3.5061667741247562</v>
      </c>
      <c r="L16" s="6">
        <v>32</v>
      </c>
      <c r="M16" s="6">
        <v>16</v>
      </c>
      <c r="N16" s="6">
        <v>1</v>
      </c>
      <c r="O16" s="6">
        <f t="shared" si="9"/>
        <v>256</v>
      </c>
      <c r="P16" s="6">
        <f t="shared" si="10"/>
        <v>73728</v>
      </c>
      <c r="Q16" s="6">
        <f t="shared" si="11"/>
        <v>1024</v>
      </c>
      <c r="R16" s="6">
        <f t="shared" si="12"/>
        <v>73728</v>
      </c>
      <c r="S16" s="6">
        <f t="shared" si="13"/>
        <v>9216</v>
      </c>
      <c r="T16" s="6">
        <f t="shared" si="14"/>
        <v>4096</v>
      </c>
      <c r="U16" s="6">
        <f t="shared" si="15"/>
        <v>288</v>
      </c>
      <c r="V16" s="6">
        <f t="shared" si="16"/>
        <v>256</v>
      </c>
      <c r="W16" s="6">
        <f t="shared" si="17"/>
        <v>2</v>
      </c>
      <c r="X16" s="6">
        <f t="shared" si="18"/>
        <v>1</v>
      </c>
      <c r="Y16" s="6">
        <f t="shared" si="19"/>
        <v>37748736</v>
      </c>
      <c r="Z16" s="6">
        <f t="shared" si="20"/>
        <v>37748736</v>
      </c>
      <c r="AA16" s="6">
        <v>8</v>
      </c>
      <c r="AB16" s="6">
        <v>4</v>
      </c>
      <c r="AC16" s="9">
        <f t="shared" si="21"/>
        <v>2712.6736111111113</v>
      </c>
      <c r="AD16" s="9">
        <f t="shared" si="22"/>
        <v>134224</v>
      </c>
      <c r="AE16" s="9"/>
      <c r="AF16" s="10"/>
    </row>
    <row r="17" spans="1:32" x14ac:dyDescent="0.25">
      <c r="A17" s="6">
        <v>14</v>
      </c>
      <c r="B17" s="7" t="s">
        <v>38</v>
      </c>
      <c r="C17" s="6">
        <f t="shared" si="23"/>
        <v>1</v>
      </c>
      <c r="D17" s="6">
        <f t="shared" si="24"/>
        <v>4096</v>
      </c>
      <c r="E17" s="6">
        <v>1</v>
      </c>
      <c r="F17" s="6">
        <v>1</v>
      </c>
      <c r="G17" s="6">
        <f t="shared" ref="G17" si="31">IF(B17="split", D17/2,IF(B17="merge",D17*2,D17))</f>
        <v>4096</v>
      </c>
      <c r="H17" s="6">
        <f t="shared" si="28"/>
        <v>1</v>
      </c>
      <c r="I17" s="6">
        <f t="shared" si="26"/>
        <v>1</v>
      </c>
      <c r="J17" s="6">
        <f t="shared" si="27"/>
        <v>33554432</v>
      </c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9"/>
      <c r="AD17" s="9"/>
      <c r="AE17" s="9"/>
      <c r="AF17" s="10"/>
    </row>
    <row r="18" spans="1:32" x14ac:dyDescent="0.25">
      <c r="A18" s="6">
        <v>15</v>
      </c>
      <c r="B18" s="7" t="s">
        <v>40</v>
      </c>
      <c r="C18" s="6">
        <f t="shared" si="23"/>
        <v>1</v>
      </c>
      <c r="D18" s="6">
        <f t="shared" si="24"/>
        <v>4096</v>
      </c>
      <c r="E18" s="6">
        <v>1</v>
      </c>
      <c r="F18" s="6">
        <v>1</v>
      </c>
      <c r="G18" s="6">
        <v>4096</v>
      </c>
      <c r="H18" s="6">
        <f t="shared" si="28"/>
        <v>1</v>
      </c>
      <c r="I18" s="6">
        <f t="shared" si="26"/>
        <v>1</v>
      </c>
      <c r="J18" s="6">
        <f t="shared" si="27"/>
        <v>0</v>
      </c>
      <c r="K18" s="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9"/>
      <c r="AD18" s="9"/>
      <c r="AE18" s="9"/>
      <c r="AF18" s="10"/>
    </row>
    <row r="19" spans="1:32" x14ac:dyDescent="0.25">
      <c r="A19" s="6">
        <v>16</v>
      </c>
      <c r="B19" s="7" t="s">
        <v>41</v>
      </c>
      <c r="C19" s="6">
        <f t="shared" ref="C19:C20" si="32">H18</f>
        <v>1</v>
      </c>
      <c r="D19" s="6">
        <f t="shared" ref="D19:D20" si="33">G18</f>
        <v>4096</v>
      </c>
      <c r="E19" s="6">
        <v>1</v>
      </c>
      <c r="F19" s="6">
        <v>1</v>
      </c>
      <c r="G19" s="6">
        <v>4096</v>
      </c>
      <c r="H19" s="6">
        <f t="shared" ref="H19:H20" si="34">IF(B19="pad", C19+2*F19, IF(B19="pool", _xlfn.CEILING.MATH((C19-F19+1)/E19), IF(OR(B19="conv",B19="fc"), _xlfn.CEILING.MATH((C19-F19+1)/E19),C19)))</f>
        <v>1</v>
      </c>
      <c r="I19" s="6">
        <f t="shared" ref="I19:I20" si="35">IF(B18="merge", 1, IF(B18="split", 2, I18))</f>
        <v>1</v>
      </c>
      <c r="J19" s="6">
        <f t="shared" ref="J19:J20" si="36">IF(B19="pad", 0, IF(B19="pool", H19*H19*F19*F19, IF(OR(B19="conv",B19="fc"), I19*2*H19*H19*F19*F19*D19*G19,0)))</f>
        <v>0</v>
      </c>
      <c r="K19" s="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9"/>
      <c r="AD19" s="9"/>
      <c r="AE19" s="9"/>
      <c r="AF19" s="10"/>
    </row>
    <row r="20" spans="1:32" x14ac:dyDescent="0.25">
      <c r="A20" s="6">
        <v>17</v>
      </c>
      <c r="B20" s="7" t="s">
        <v>38</v>
      </c>
      <c r="C20" s="6">
        <f t="shared" si="32"/>
        <v>1</v>
      </c>
      <c r="D20" s="6">
        <f t="shared" si="33"/>
        <v>4096</v>
      </c>
      <c r="E20" s="6">
        <v>1</v>
      </c>
      <c r="F20" s="6">
        <v>1</v>
      </c>
      <c r="G20" s="6">
        <v>1000</v>
      </c>
      <c r="H20" s="6">
        <f t="shared" si="34"/>
        <v>1</v>
      </c>
      <c r="I20" s="6">
        <f t="shared" si="35"/>
        <v>1</v>
      </c>
      <c r="J20" s="6">
        <f t="shared" si="36"/>
        <v>8192000</v>
      </c>
      <c r="K20" s="8">
        <f t="shared" si="7"/>
        <v>0.38044344337291192</v>
      </c>
      <c r="L20" s="6">
        <v>8</v>
      </c>
      <c r="M20" s="6">
        <v>8</v>
      </c>
      <c r="N20" s="6">
        <v>1</v>
      </c>
      <c r="O20" s="6">
        <f t="shared" si="9"/>
        <v>125</v>
      </c>
      <c r="P20" s="6">
        <f t="shared" si="10"/>
        <v>64000</v>
      </c>
      <c r="Q20" s="6">
        <f t="shared" si="11"/>
        <v>128</v>
      </c>
      <c r="R20" s="6">
        <f t="shared" si="12"/>
        <v>64000</v>
      </c>
      <c r="S20" s="6">
        <f t="shared" si="13"/>
        <v>4096</v>
      </c>
      <c r="T20" s="6">
        <f t="shared" si="14"/>
        <v>1000</v>
      </c>
      <c r="U20" s="6">
        <f t="shared" si="15"/>
        <v>512</v>
      </c>
      <c r="V20" s="6">
        <f t="shared" si="16"/>
        <v>125</v>
      </c>
      <c r="W20" s="6">
        <f t="shared" si="17"/>
        <v>2</v>
      </c>
      <c r="X20" s="6">
        <f t="shared" si="18"/>
        <v>1</v>
      </c>
      <c r="Y20" s="6">
        <f t="shared" si="19"/>
        <v>4096000</v>
      </c>
      <c r="Z20" s="6">
        <f t="shared" si="20"/>
        <v>4096000</v>
      </c>
      <c r="AA20" s="6">
        <v>8</v>
      </c>
      <c r="AB20" s="6">
        <v>4</v>
      </c>
      <c r="AC20" s="9">
        <f t="shared" si="21"/>
        <v>3125</v>
      </c>
      <c r="AD20" s="9">
        <f t="shared" si="22"/>
        <v>7288</v>
      </c>
      <c r="AE20" s="9"/>
      <c r="AF20" s="10"/>
    </row>
    <row r="21" spans="1:32" x14ac:dyDescent="0.25">
      <c r="A21" s="6"/>
      <c r="B21" s="7"/>
      <c r="C21" s="6"/>
      <c r="D21" s="6"/>
      <c r="E21" s="6"/>
      <c r="F21" s="6"/>
      <c r="G21" s="6"/>
      <c r="H21" s="6"/>
      <c r="I21" s="6"/>
      <c r="J21" s="6"/>
      <c r="K21" s="8"/>
      <c r="L21" s="7"/>
      <c r="M21" s="7"/>
      <c r="N21" s="7"/>
      <c r="O21" s="6"/>
      <c r="P21" s="6"/>
      <c r="Q21" s="6"/>
      <c r="R21" s="6"/>
      <c r="S21" s="7"/>
      <c r="T21" s="7"/>
      <c r="U21" s="6"/>
      <c r="V21" s="7"/>
      <c r="W21" s="6"/>
      <c r="X21" s="7"/>
      <c r="Y21" s="7"/>
      <c r="Z21" s="6"/>
      <c r="AA21" s="7"/>
      <c r="AB21" s="7"/>
      <c r="AC21" s="9"/>
      <c r="AD21" s="9"/>
      <c r="AE21" s="9"/>
      <c r="AF21" s="10"/>
    </row>
    <row r="22" spans="1:32" x14ac:dyDescent="0.25">
      <c r="A22" s="6"/>
      <c r="B22" s="7"/>
      <c r="C22" s="6"/>
      <c r="D22" s="6"/>
      <c r="E22" s="6"/>
      <c r="F22" s="6"/>
      <c r="G22" s="6"/>
      <c r="H22" s="6"/>
      <c r="I22" s="6"/>
      <c r="J22" s="6"/>
      <c r="K22" s="8"/>
      <c r="L22" s="7"/>
      <c r="M22" s="7"/>
      <c r="N22" s="7"/>
      <c r="O22" s="6"/>
      <c r="P22" s="6"/>
      <c r="Q22" s="6"/>
      <c r="R22" s="6"/>
      <c r="S22" s="7"/>
      <c r="T22" s="7"/>
      <c r="U22" s="6"/>
      <c r="V22" s="7"/>
      <c r="W22" s="6"/>
      <c r="X22" s="7"/>
      <c r="Y22" s="7"/>
      <c r="Z22" s="6"/>
      <c r="AA22" s="7"/>
      <c r="AB22" s="7"/>
      <c r="AC22" s="9"/>
      <c r="AD22" s="9"/>
      <c r="AE22" s="9"/>
      <c r="AF22" s="10"/>
    </row>
    <row r="23" spans="1:32" x14ac:dyDescent="0.25">
      <c r="A23" s="6"/>
      <c r="B23" s="7"/>
      <c r="C23" s="6"/>
      <c r="D23" s="6"/>
      <c r="E23" s="6"/>
      <c r="F23" s="6"/>
      <c r="G23" s="6"/>
      <c r="H23" s="6"/>
      <c r="I23" s="6"/>
      <c r="J23" s="6"/>
      <c r="K23" s="8"/>
      <c r="L23" s="7"/>
      <c r="M23" s="7"/>
      <c r="N23" s="7"/>
      <c r="O23" s="6"/>
      <c r="P23" s="6"/>
      <c r="Q23" s="6"/>
      <c r="R23" s="6"/>
      <c r="S23" s="7"/>
      <c r="T23" s="7"/>
      <c r="U23" s="6"/>
      <c r="V23" s="7"/>
      <c r="W23" s="6"/>
      <c r="X23" s="7"/>
      <c r="Y23" s="7"/>
      <c r="Z23" s="6"/>
      <c r="AA23" s="7"/>
      <c r="AB23" s="7"/>
      <c r="AC23" s="9"/>
      <c r="AD23" s="9"/>
      <c r="AE23" s="9"/>
      <c r="AF23" s="10"/>
    </row>
    <row r="24" spans="1:32" x14ac:dyDescent="0.25">
      <c r="A24" s="6"/>
      <c r="B24" s="7"/>
      <c r="C24" s="6"/>
      <c r="D24" s="6"/>
      <c r="E24" s="6"/>
      <c r="F24" s="6"/>
      <c r="G24" s="6"/>
      <c r="H24" s="6"/>
      <c r="I24" s="6"/>
      <c r="J24" s="6"/>
      <c r="K24" s="8"/>
      <c r="L24" s="7"/>
      <c r="M24" s="7"/>
      <c r="N24" s="7"/>
      <c r="O24" s="6"/>
      <c r="P24" s="6"/>
      <c r="Q24" s="6"/>
      <c r="R24" s="6"/>
      <c r="S24" s="7"/>
      <c r="T24" s="7"/>
      <c r="U24" s="6"/>
      <c r="V24" s="7"/>
      <c r="W24" s="6"/>
      <c r="X24" s="7"/>
      <c r="Y24" s="7"/>
      <c r="Z24" s="6"/>
      <c r="AA24" s="7"/>
      <c r="AB24" s="7"/>
      <c r="AC24" s="9"/>
      <c r="AD24" s="9"/>
      <c r="AE24" s="9"/>
      <c r="AF24" s="10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workbookViewId="0">
      <selection activeCell="M1" sqref="M1"/>
    </sheetView>
  </sheetViews>
  <sheetFormatPr defaultRowHeight="15" x14ac:dyDescent="0.25"/>
  <cols>
    <col min="7" max="7" width="12.5703125" bestFit="1" customWidth="1"/>
    <col min="10" max="10" width="27.140625" bestFit="1" customWidth="1"/>
    <col min="13" max="13" width="12" bestFit="1" customWidth="1"/>
    <col min="14" max="14" width="16.7109375" customWidth="1"/>
    <col min="18" max="18" width="13.28515625" bestFit="1" customWidth="1"/>
    <col min="23" max="23" width="14.28515625" bestFit="1" customWidth="1"/>
  </cols>
  <sheetData>
    <row r="1" spans="1:32" x14ac:dyDescent="0.25">
      <c r="A1" s="1" t="s">
        <v>0</v>
      </c>
      <c r="B1" s="11" t="s">
        <v>39</v>
      </c>
      <c r="C1" s="12"/>
      <c r="D1" s="12"/>
      <c r="E1" s="12"/>
      <c r="F1" s="12"/>
      <c r="G1" s="1" t="s">
        <v>1</v>
      </c>
      <c r="H1" s="2">
        <v>120</v>
      </c>
      <c r="I1" s="1"/>
      <c r="J1" s="1" t="s">
        <v>2</v>
      </c>
      <c r="K1" s="2">
        <f>MAX(MAX(R4:R14),MAX(W5:W12))</f>
        <v>36504</v>
      </c>
      <c r="L1" s="1" t="s">
        <v>3</v>
      </c>
      <c r="M1" s="2">
        <f>1000000*H1/K1</f>
        <v>3287.3109796186718</v>
      </c>
      <c r="N1" s="3"/>
      <c r="O1" s="3"/>
      <c r="P1" s="3"/>
      <c r="Q1" s="3"/>
      <c r="R1" s="1" t="s">
        <v>4</v>
      </c>
      <c r="S1" s="2">
        <f>SUM(J3:J15)/(C3*C3*D3+G15*2)</f>
        <v>14256.334043961864</v>
      </c>
      <c r="T1" s="3"/>
      <c r="U1" s="3"/>
      <c r="V1" s="3"/>
      <c r="W1" s="3"/>
      <c r="X1" s="3"/>
      <c r="Y1" s="4"/>
      <c r="Z1" s="3"/>
      <c r="AA1" s="3"/>
      <c r="AB1" s="3"/>
      <c r="AC1" s="5"/>
      <c r="AD1" s="5"/>
      <c r="AE1" s="5"/>
    </row>
    <row r="2" spans="1:32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tr">
        <f>"ops, total: " &amp; SUM(J3:J105)/1000000 &amp;"M"</f>
        <v>ops, total: 2270.520598M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  <c r="AB2" s="1" t="s">
        <v>31</v>
      </c>
      <c r="AC2" s="1" t="s">
        <v>32</v>
      </c>
      <c r="AD2" s="1" t="s">
        <v>33</v>
      </c>
      <c r="AE2" s="1" t="s">
        <v>34</v>
      </c>
    </row>
    <row r="3" spans="1:32" x14ac:dyDescent="0.25">
      <c r="A3" s="2">
        <v>0</v>
      </c>
      <c r="B3" s="3" t="s">
        <v>35</v>
      </c>
      <c r="C3" s="2">
        <v>224</v>
      </c>
      <c r="D3" s="2">
        <v>3</v>
      </c>
      <c r="E3" s="2">
        <v>1</v>
      </c>
      <c r="F3" s="2">
        <v>1.5</v>
      </c>
      <c r="G3" s="2">
        <v>3</v>
      </c>
      <c r="H3" s="6">
        <f t="shared" ref="H3:H4" si="0">IF(B3="pad", C3+2*F3, IF(B3="pool", _xlfn.CEILING.MATH((C3-F3+1)/E3), IF(OR(B3="conv",B3="fc"), _xlfn.CEILING.MATH((C3-F3+1)/E3),C3)))</f>
        <v>227</v>
      </c>
      <c r="I3" s="2">
        <v>1</v>
      </c>
      <c r="J3" s="2">
        <f t="shared" ref="J3:J20" si="1">IF(B3="pad", 0, IF(B3="pool", H3*H3*F3*F3, IF(OR(B3="conv",B3="fc"), I3*2*H3*H3*F3*F3*D3*G3,0)))</f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2">
        <v>1</v>
      </c>
      <c r="V3" s="3"/>
      <c r="W3" s="3"/>
      <c r="X3" s="3"/>
      <c r="Y3" s="3"/>
      <c r="Z3" s="3"/>
      <c r="AA3" s="3"/>
      <c r="AB3" s="3"/>
      <c r="AC3" s="5"/>
      <c r="AD3" s="5"/>
      <c r="AE3" s="5"/>
    </row>
    <row r="4" spans="1:32" s="10" customFormat="1" x14ac:dyDescent="0.25">
      <c r="A4" s="6">
        <v>1</v>
      </c>
      <c r="B4" s="7" t="s">
        <v>36</v>
      </c>
      <c r="C4" s="6">
        <f t="shared" ref="C4:C20" si="2">H3</f>
        <v>227</v>
      </c>
      <c r="D4" s="6">
        <f t="shared" ref="D4:D20" si="3">G3</f>
        <v>3</v>
      </c>
      <c r="E4" s="6">
        <v>4</v>
      </c>
      <c r="F4" s="6">
        <v>11</v>
      </c>
      <c r="G4" s="6">
        <v>96</v>
      </c>
      <c r="H4" s="6">
        <f t="shared" si="0"/>
        <v>55</v>
      </c>
      <c r="I4" s="6">
        <f t="shared" ref="I4:I20" si="4">IF(B3="merge", 1, IF(B3="split", 2, I3))</f>
        <v>1</v>
      </c>
      <c r="J4" s="6">
        <f t="shared" si="1"/>
        <v>210830400</v>
      </c>
      <c r="K4" s="8">
        <f>J4/SUM(J$4:J$15)*100</f>
        <v>9.7911429862900849</v>
      </c>
      <c r="L4" s="6">
        <v>3</v>
      </c>
      <c r="M4" s="6">
        <v>96</v>
      </c>
      <c r="N4" s="6">
        <v>11</v>
      </c>
      <c r="O4" s="6">
        <f>G4/M4</f>
        <v>1</v>
      </c>
      <c r="P4" s="6">
        <f>F4*F4*D4*G4/(L4*M4)</f>
        <v>121</v>
      </c>
      <c r="Q4" s="6">
        <f>2*L4*M4*N4</f>
        <v>6336</v>
      </c>
      <c r="R4" s="6">
        <f>J4/(Q4*I4)</f>
        <v>33275</v>
      </c>
      <c r="S4" s="6">
        <f>F4*F4*D4</f>
        <v>363</v>
      </c>
      <c r="T4" s="6">
        <f>G4</f>
        <v>96</v>
      </c>
      <c r="U4" s="6">
        <f>S4/L4</f>
        <v>121</v>
      </c>
      <c r="V4" s="6">
        <f>T4/M4</f>
        <v>1</v>
      </c>
      <c r="W4" s="6">
        <f>C4*C4+(F4*F4*H4*H4)/N4</f>
        <v>84804</v>
      </c>
      <c r="X4" s="6">
        <f>F4*F4*H4*H4/N4</f>
        <v>33275</v>
      </c>
      <c r="Y4" s="6">
        <f>D4*F4*F4*G4</f>
        <v>34848</v>
      </c>
      <c r="Z4" s="6">
        <f>S4*T4</f>
        <v>34848</v>
      </c>
      <c r="AA4" s="6">
        <v>8</v>
      </c>
      <c r="AB4" s="6">
        <v>4</v>
      </c>
      <c r="AC4" s="9">
        <f>1000000*$H$1/R4</f>
        <v>3606.3110443275732</v>
      </c>
      <c r="AD4" s="9">
        <f>CEILING(Z4*AB4/18000,1) *M4</f>
        <v>768</v>
      </c>
      <c r="AE4" s="9"/>
    </row>
    <row r="5" spans="1:32" s="10" customFormat="1" x14ac:dyDescent="0.25">
      <c r="A5" s="6">
        <v>2</v>
      </c>
      <c r="B5" s="7" t="s">
        <v>37</v>
      </c>
      <c r="C5" s="6">
        <f t="shared" si="2"/>
        <v>55</v>
      </c>
      <c r="D5" s="6">
        <f t="shared" si="3"/>
        <v>96</v>
      </c>
      <c r="E5" s="6">
        <v>2</v>
      </c>
      <c r="F5" s="6">
        <v>3</v>
      </c>
      <c r="G5" s="6">
        <f t="shared" ref="G5" si="5">IF(B5="split", D5/2,IF(B5="merge",D5*2,D5))</f>
        <v>96</v>
      </c>
      <c r="H5" s="6">
        <f>IF(B5="pad", C5+2*F5, IF(B5="pool", _xlfn.CEILING.MATH((C5-F5+1)/E5), IF(OR(B5="conv",B5="fc"), _xlfn.CEILING.MATH((C5-F5+1)/E5),C5)))</f>
        <v>27</v>
      </c>
      <c r="I5" s="6">
        <f t="shared" si="4"/>
        <v>1</v>
      </c>
      <c r="J5" s="6">
        <f t="shared" si="1"/>
        <v>6561</v>
      </c>
      <c r="K5" s="8">
        <f t="shared" ref="K5:K20" si="6">J5/SUM(J$4:J$15)*100</f>
        <v>3.0469841698848574E-4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9"/>
      <c r="AD5" s="9"/>
      <c r="AE5" s="9"/>
    </row>
    <row r="6" spans="1:32" s="10" customFormat="1" x14ac:dyDescent="0.25">
      <c r="A6" s="6">
        <v>3</v>
      </c>
      <c r="B6" s="7" t="s">
        <v>35</v>
      </c>
      <c r="C6" s="6">
        <f t="shared" si="2"/>
        <v>27</v>
      </c>
      <c r="D6" s="6">
        <f t="shared" si="3"/>
        <v>96</v>
      </c>
      <c r="E6" s="6">
        <v>1</v>
      </c>
      <c r="F6" s="6">
        <v>2</v>
      </c>
      <c r="G6" s="6">
        <v>96</v>
      </c>
      <c r="H6" s="6">
        <f t="shared" ref="H6:H20" si="7">IF(B6="pad", C6+2*F6, IF(B6="pool", _xlfn.CEILING.MATH((C6-F6+1)/E6), IF(OR(B6="conv",B6="fc"), _xlfn.CEILING.MATH((C6-F6+1)/E6),C6)))</f>
        <v>31</v>
      </c>
      <c r="I6" s="6">
        <f t="shared" si="4"/>
        <v>1</v>
      </c>
      <c r="J6" s="6">
        <f t="shared" si="1"/>
        <v>0</v>
      </c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9"/>
      <c r="AD6" s="9"/>
      <c r="AE6" s="9"/>
    </row>
    <row r="7" spans="1:32" s="10" customFormat="1" x14ac:dyDescent="0.25">
      <c r="A7" s="6">
        <v>4</v>
      </c>
      <c r="B7" s="7" t="s">
        <v>36</v>
      </c>
      <c r="C7" s="6">
        <f t="shared" si="2"/>
        <v>31</v>
      </c>
      <c r="D7" s="6">
        <f t="shared" si="3"/>
        <v>96</v>
      </c>
      <c r="E7" s="6">
        <v>1</v>
      </c>
      <c r="F7" s="6">
        <v>5</v>
      </c>
      <c r="G7" s="6">
        <v>256</v>
      </c>
      <c r="H7" s="6">
        <f t="shared" si="7"/>
        <v>27</v>
      </c>
      <c r="I7" s="6">
        <f t="shared" si="4"/>
        <v>1</v>
      </c>
      <c r="J7" s="6">
        <f t="shared" si="1"/>
        <v>895795200</v>
      </c>
      <c r="K7" s="8">
        <f t="shared" si="6"/>
        <v>41.601490532827917</v>
      </c>
      <c r="L7" s="6">
        <v>48</v>
      </c>
      <c r="M7" s="6">
        <v>128</v>
      </c>
      <c r="N7" s="6">
        <v>2</v>
      </c>
      <c r="O7" s="6">
        <f t="shared" ref="O7:O20" si="8">G7/M7</f>
        <v>2</v>
      </c>
      <c r="P7" s="6">
        <f t="shared" ref="P7:P20" si="9">F7*F7*D7*G7/(L7*M7)</f>
        <v>100</v>
      </c>
      <c r="Q7" s="6">
        <f t="shared" ref="Q7:Q20" si="10">2*L7*M7*N7</f>
        <v>24576</v>
      </c>
      <c r="R7" s="6">
        <f t="shared" ref="R7:R20" si="11">J7/(Q7*I7)</f>
        <v>36450</v>
      </c>
      <c r="S7" s="6">
        <f t="shared" ref="S7:S20" si="12">F7*F7*D7</f>
        <v>2400</v>
      </c>
      <c r="T7" s="6">
        <f t="shared" ref="T7:T20" si="13">G7</f>
        <v>256</v>
      </c>
      <c r="U7" s="6">
        <f t="shared" ref="U7:V20" si="14">S7/L7</f>
        <v>50</v>
      </c>
      <c r="V7" s="6">
        <f t="shared" si="14"/>
        <v>2</v>
      </c>
      <c r="W7" s="6">
        <f t="shared" ref="W7:W20" si="15">C7*C7+(F7*F7*H7*H7)/N7</f>
        <v>10073.5</v>
      </c>
      <c r="X7" s="6">
        <f t="shared" ref="X7:X20" si="16">F7*F7*H7*H7/N7</f>
        <v>9112.5</v>
      </c>
      <c r="Y7" s="6">
        <f t="shared" ref="Y7:Y20" si="17">D7*F7*F7*G7</f>
        <v>614400</v>
      </c>
      <c r="Z7" s="6">
        <f t="shared" ref="Z7:Z20" si="18">S7*T7</f>
        <v>614400</v>
      </c>
      <c r="AA7" s="6">
        <v>8</v>
      </c>
      <c r="AB7" s="6">
        <v>4</v>
      </c>
      <c r="AC7" s="9">
        <f t="shared" ref="AC7:AC20" si="19">1000000*$H$1/R7</f>
        <v>3292.1810699588477</v>
      </c>
      <c r="AD7" s="9">
        <f t="shared" ref="AD7:AD20" si="20">CEILING(Z7*AB7/18000,1) *M7</f>
        <v>17536</v>
      </c>
      <c r="AE7" s="9"/>
    </row>
    <row r="8" spans="1:32" s="10" customFormat="1" x14ac:dyDescent="0.25">
      <c r="A8" s="6">
        <v>5</v>
      </c>
      <c r="B8" s="7" t="s">
        <v>37</v>
      </c>
      <c r="C8" s="6">
        <f t="shared" si="2"/>
        <v>27</v>
      </c>
      <c r="D8" s="6">
        <f t="shared" si="3"/>
        <v>256</v>
      </c>
      <c r="E8" s="6">
        <v>2</v>
      </c>
      <c r="F8" s="6">
        <v>3</v>
      </c>
      <c r="G8" s="6">
        <f t="shared" ref="G8" si="21">IF(B8="split", D8/2,IF(B8="merge",D8*2,D8))</f>
        <v>256</v>
      </c>
      <c r="H8" s="6">
        <f t="shared" si="7"/>
        <v>13</v>
      </c>
      <c r="I8" s="6">
        <f t="shared" si="4"/>
        <v>1</v>
      </c>
      <c r="J8" s="6">
        <f t="shared" si="1"/>
        <v>1521</v>
      </c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9"/>
      <c r="AD8" s="9"/>
      <c r="AE8" s="9"/>
    </row>
    <row r="9" spans="1:32" s="10" customFormat="1" x14ac:dyDescent="0.25">
      <c r="A9" s="6">
        <v>6</v>
      </c>
      <c r="B9" s="7" t="s">
        <v>35</v>
      </c>
      <c r="C9" s="6">
        <f t="shared" si="2"/>
        <v>13</v>
      </c>
      <c r="D9" s="6">
        <f t="shared" si="3"/>
        <v>256</v>
      </c>
      <c r="E9" s="6">
        <v>1</v>
      </c>
      <c r="F9" s="6">
        <v>1</v>
      </c>
      <c r="G9" s="6">
        <v>256</v>
      </c>
      <c r="H9" s="6">
        <f t="shared" si="7"/>
        <v>15</v>
      </c>
      <c r="I9" s="6">
        <f t="shared" si="4"/>
        <v>1</v>
      </c>
      <c r="J9" s="6">
        <f t="shared" si="1"/>
        <v>0</v>
      </c>
      <c r="K9" s="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9"/>
      <c r="AD9" s="9"/>
      <c r="AE9" s="9"/>
    </row>
    <row r="10" spans="1:32" s="10" customFormat="1" x14ac:dyDescent="0.25">
      <c r="A10" s="6">
        <v>7</v>
      </c>
      <c r="B10" s="7" t="s">
        <v>36</v>
      </c>
      <c r="C10" s="6">
        <f t="shared" si="2"/>
        <v>15</v>
      </c>
      <c r="D10" s="6">
        <f t="shared" si="3"/>
        <v>256</v>
      </c>
      <c r="E10" s="6">
        <v>1</v>
      </c>
      <c r="F10" s="6">
        <v>3</v>
      </c>
      <c r="G10" s="6">
        <v>384</v>
      </c>
      <c r="H10" s="6">
        <f t="shared" si="7"/>
        <v>13</v>
      </c>
      <c r="I10" s="6">
        <f t="shared" si="4"/>
        <v>1</v>
      </c>
      <c r="J10" s="6">
        <f t="shared" si="1"/>
        <v>299040768</v>
      </c>
      <c r="K10" s="8">
        <f t="shared" si="6"/>
        <v>13.887707456884776</v>
      </c>
      <c r="L10" s="6">
        <v>64</v>
      </c>
      <c r="M10" s="6">
        <v>64</v>
      </c>
      <c r="N10" s="6">
        <v>1</v>
      </c>
      <c r="O10" s="6">
        <f t="shared" si="8"/>
        <v>6</v>
      </c>
      <c r="P10" s="6">
        <f t="shared" si="9"/>
        <v>216</v>
      </c>
      <c r="Q10" s="6">
        <f t="shared" si="10"/>
        <v>8192</v>
      </c>
      <c r="R10" s="6">
        <f t="shared" si="11"/>
        <v>36504</v>
      </c>
      <c r="S10" s="6">
        <f t="shared" si="12"/>
        <v>2304</v>
      </c>
      <c r="T10" s="6">
        <f t="shared" si="13"/>
        <v>384</v>
      </c>
      <c r="U10" s="6">
        <f t="shared" si="14"/>
        <v>36</v>
      </c>
      <c r="V10" s="6">
        <f t="shared" si="14"/>
        <v>6</v>
      </c>
      <c r="W10" s="6">
        <f t="shared" si="15"/>
        <v>1746</v>
      </c>
      <c r="X10" s="6">
        <f t="shared" si="16"/>
        <v>1521</v>
      </c>
      <c r="Y10" s="6">
        <f t="shared" si="17"/>
        <v>884736</v>
      </c>
      <c r="Z10" s="6">
        <f t="shared" si="18"/>
        <v>884736</v>
      </c>
      <c r="AA10" s="6">
        <v>8</v>
      </c>
      <c r="AB10" s="6">
        <v>4</v>
      </c>
      <c r="AC10" s="9">
        <f t="shared" si="19"/>
        <v>3287.3109796186718</v>
      </c>
      <c r="AD10" s="9">
        <f t="shared" si="20"/>
        <v>12608</v>
      </c>
      <c r="AE10" s="9"/>
    </row>
    <row r="11" spans="1:32" s="10" customFormat="1" x14ac:dyDescent="0.25">
      <c r="A11" s="6">
        <v>8</v>
      </c>
      <c r="B11" s="7" t="s">
        <v>35</v>
      </c>
      <c r="C11" s="6">
        <f t="shared" si="2"/>
        <v>13</v>
      </c>
      <c r="D11" s="6">
        <f t="shared" si="3"/>
        <v>384</v>
      </c>
      <c r="E11" s="6">
        <v>1</v>
      </c>
      <c r="F11" s="6">
        <v>1</v>
      </c>
      <c r="G11" s="6">
        <f t="shared" ref="G11" si="22">IF(B11="split", D11/2,IF(B11="merge",D11*2,D11))</f>
        <v>384</v>
      </c>
      <c r="H11" s="6">
        <f t="shared" si="7"/>
        <v>15</v>
      </c>
      <c r="I11" s="6">
        <f t="shared" si="4"/>
        <v>1</v>
      </c>
      <c r="J11" s="6">
        <f t="shared" si="1"/>
        <v>0</v>
      </c>
      <c r="K11" s="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9"/>
      <c r="AD11" s="9"/>
      <c r="AE11" s="9"/>
    </row>
    <row r="12" spans="1:32" s="10" customFormat="1" x14ac:dyDescent="0.25">
      <c r="A12" s="6">
        <v>9</v>
      </c>
      <c r="B12" s="7" t="s">
        <v>36</v>
      </c>
      <c r="C12" s="6">
        <f t="shared" si="2"/>
        <v>15</v>
      </c>
      <c r="D12" s="6">
        <f t="shared" si="3"/>
        <v>384</v>
      </c>
      <c r="E12" s="6">
        <v>1</v>
      </c>
      <c r="F12" s="6">
        <v>3</v>
      </c>
      <c r="G12" s="6">
        <v>384</v>
      </c>
      <c r="H12" s="6">
        <f t="shared" si="7"/>
        <v>13</v>
      </c>
      <c r="I12" s="6">
        <f t="shared" si="4"/>
        <v>1</v>
      </c>
      <c r="J12" s="6">
        <f t="shared" si="1"/>
        <v>448561152</v>
      </c>
      <c r="K12" s="8">
        <f t="shared" si="6"/>
        <v>20.831561185327168</v>
      </c>
      <c r="L12" s="6">
        <v>64</v>
      </c>
      <c r="M12" s="6">
        <v>128</v>
      </c>
      <c r="N12" s="6">
        <v>1</v>
      </c>
      <c r="O12" s="6">
        <f t="shared" si="8"/>
        <v>3</v>
      </c>
      <c r="P12" s="6">
        <f t="shared" si="9"/>
        <v>162</v>
      </c>
      <c r="Q12" s="6">
        <f t="shared" si="10"/>
        <v>16384</v>
      </c>
      <c r="R12" s="6">
        <f t="shared" si="11"/>
        <v>27378</v>
      </c>
      <c r="S12" s="6">
        <f t="shared" si="12"/>
        <v>3456</v>
      </c>
      <c r="T12" s="6">
        <f t="shared" si="13"/>
        <v>384</v>
      </c>
      <c r="U12" s="6">
        <f t="shared" si="14"/>
        <v>54</v>
      </c>
      <c r="V12" s="6">
        <f t="shared" si="14"/>
        <v>3</v>
      </c>
      <c r="W12" s="6">
        <f t="shared" si="15"/>
        <v>1746</v>
      </c>
      <c r="X12" s="6">
        <f t="shared" si="16"/>
        <v>1521</v>
      </c>
      <c r="Y12" s="6">
        <f t="shared" si="17"/>
        <v>1327104</v>
      </c>
      <c r="Z12" s="6">
        <f t="shared" si="18"/>
        <v>1327104</v>
      </c>
      <c r="AA12" s="6">
        <v>8</v>
      </c>
      <c r="AB12" s="6">
        <v>4</v>
      </c>
      <c r="AC12" s="9">
        <f t="shared" si="19"/>
        <v>4383.0813061582294</v>
      </c>
      <c r="AD12" s="9">
        <f t="shared" si="20"/>
        <v>37760</v>
      </c>
      <c r="AE12" s="9"/>
    </row>
    <row r="13" spans="1:32" s="10" customFormat="1" x14ac:dyDescent="0.25">
      <c r="A13" s="6">
        <v>10</v>
      </c>
      <c r="B13" s="7" t="s">
        <v>35</v>
      </c>
      <c r="C13" s="6">
        <f t="shared" si="2"/>
        <v>13</v>
      </c>
      <c r="D13" s="6">
        <f t="shared" si="3"/>
        <v>384</v>
      </c>
      <c r="E13" s="6">
        <v>1</v>
      </c>
      <c r="F13" s="6">
        <v>1</v>
      </c>
      <c r="G13" s="6">
        <f t="shared" ref="G13" si="23">IF(B13="split", D13/2,IF(B13="merge",D13*2,D13))</f>
        <v>384</v>
      </c>
      <c r="H13" s="6">
        <f t="shared" si="7"/>
        <v>15</v>
      </c>
      <c r="I13" s="6">
        <f t="shared" si="4"/>
        <v>1</v>
      </c>
      <c r="J13" s="6">
        <f t="shared" si="1"/>
        <v>0</v>
      </c>
      <c r="K13" s="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9"/>
      <c r="AD13" s="9"/>
      <c r="AE13" s="9"/>
    </row>
    <row r="14" spans="1:32" s="10" customFormat="1" x14ac:dyDescent="0.25">
      <c r="A14" s="6">
        <v>11</v>
      </c>
      <c r="B14" s="7" t="s">
        <v>36</v>
      </c>
      <c r="C14" s="6">
        <f t="shared" si="2"/>
        <v>15</v>
      </c>
      <c r="D14" s="6">
        <f t="shared" si="3"/>
        <v>384</v>
      </c>
      <c r="E14" s="6">
        <v>1</v>
      </c>
      <c r="F14" s="6">
        <v>3</v>
      </c>
      <c r="G14" s="6">
        <v>256</v>
      </c>
      <c r="H14" s="6">
        <f t="shared" si="7"/>
        <v>13</v>
      </c>
      <c r="I14" s="6">
        <f t="shared" si="4"/>
        <v>1</v>
      </c>
      <c r="J14" s="6">
        <f t="shared" si="1"/>
        <v>299040768</v>
      </c>
      <c r="K14" s="8">
        <f t="shared" si="6"/>
        <v>13.887707456884776</v>
      </c>
      <c r="L14" s="6">
        <v>64</v>
      </c>
      <c r="M14" s="6">
        <v>64</v>
      </c>
      <c r="N14" s="6">
        <v>1</v>
      </c>
      <c r="O14" s="6">
        <f t="shared" si="8"/>
        <v>4</v>
      </c>
      <c r="P14" s="6">
        <f t="shared" si="9"/>
        <v>216</v>
      </c>
      <c r="Q14" s="6">
        <f t="shared" si="10"/>
        <v>8192</v>
      </c>
      <c r="R14" s="6">
        <f t="shared" si="11"/>
        <v>36504</v>
      </c>
      <c r="S14" s="6">
        <f t="shared" si="12"/>
        <v>3456</v>
      </c>
      <c r="T14" s="6">
        <f t="shared" si="13"/>
        <v>256</v>
      </c>
      <c r="U14" s="6">
        <f t="shared" si="14"/>
        <v>54</v>
      </c>
      <c r="V14" s="6">
        <f t="shared" si="14"/>
        <v>4</v>
      </c>
      <c r="W14" s="6">
        <f t="shared" si="15"/>
        <v>1746</v>
      </c>
      <c r="X14" s="6">
        <f t="shared" si="16"/>
        <v>1521</v>
      </c>
      <c r="Y14" s="6">
        <f t="shared" si="17"/>
        <v>884736</v>
      </c>
      <c r="Z14" s="6">
        <f t="shared" si="18"/>
        <v>884736</v>
      </c>
      <c r="AA14" s="6">
        <v>8</v>
      </c>
      <c r="AB14" s="6">
        <v>4</v>
      </c>
      <c r="AC14" s="9">
        <f t="shared" si="19"/>
        <v>3287.3109796186718</v>
      </c>
      <c r="AD14" s="9">
        <f t="shared" si="20"/>
        <v>12608</v>
      </c>
      <c r="AE14" s="9"/>
    </row>
    <row r="15" spans="1:32" s="10" customFormat="1" x14ac:dyDescent="0.25">
      <c r="A15" s="6">
        <v>12</v>
      </c>
      <c r="B15" s="7" t="s">
        <v>37</v>
      </c>
      <c r="C15" s="6">
        <f t="shared" si="2"/>
        <v>13</v>
      </c>
      <c r="D15" s="6">
        <f t="shared" si="3"/>
        <v>256</v>
      </c>
      <c r="E15" s="6">
        <v>2</v>
      </c>
      <c r="F15" s="6">
        <v>3</v>
      </c>
      <c r="G15" s="6">
        <v>256</v>
      </c>
      <c r="H15" s="6">
        <f t="shared" si="7"/>
        <v>6</v>
      </c>
      <c r="I15" s="6">
        <f t="shared" si="4"/>
        <v>1</v>
      </c>
      <c r="J15" s="6">
        <f t="shared" si="1"/>
        <v>324</v>
      </c>
      <c r="K15" s="8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9"/>
      <c r="AD15" s="9"/>
      <c r="AE15" s="9"/>
    </row>
    <row r="16" spans="1:32" x14ac:dyDescent="0.25">
      <c r="A16" s="6">
        <v>13</v>
      </c>
      <c r="B16" s="7" t="s">
        <v>38</v>
      </c>
      <c r="C16" s="6">
        <v>1</v>
      </c>
      <c r="D16" s="6">
        <f>G15*H15*H15</f>
        <v>9216</v>
      </c>
      <c r="E16" s="6">
        <v>1</v>
      </c>
      <c r="F16" s="6">
        <v>1</v>
      </c>
      <c r="G16" s="6">
        <v>4096</v>
      </c>
      <c r="H16" s="6">
        <v>1</v>
      </c>
      <c r="I16" s="6">
        <f t="shared" si="4"/>
        <v>1</v>
      </c>
      <c r="J16" s="6">
        <f t="shared" si="1"/>
        <v>75497472</v>
      </c>
      <c r="K16" s="8">
        <f t="shared" si="6"/>
        <v>3.5061667741247562</v>
      </c>
      <c r="L16" s="6">
        <v>32</v>
      </c>
      <c r="M16" s="6">
        <v>32</v>
      </c>
      <c r="N16" s="6">
        <v>1</v>
      </c>
      <c r="O16" s="6">
        <f t="shared" si="8"/>
        <v>128</v>
      </c>
      <c r="P16" s="6">
        <f t="shared" si="9"/>
        <v>36864</v>
      </c>
      <c r="Q16" s="6">
        <f t="shared" si="10"/>
        <v>2048</v>
      </c>
      <c r="R16" s="6">
        <f t="shared" si="11"/>
        <v>36864</v>
      </c>
      <c r="S16" s="6">
        <f t="shared" si="12"/>
        <v>9216</v>
      </c>
      <c r="T16" s="6">
        <f t="shared" si="13"/>
        <v>4096</v>
      </c>
      <c r="U16" s="6">
        <f t="shared" si="14"/>
        <v>288</v>
      </c>
      <c r="V16" s="6">
        <f t="shared" si="14"/>
        <v>128</v>
      </c>
      <c r="W16" s="6">
        <f t="shared" si="15"/>
        <v>2</v>
      </c>
      <c r="X16" s="6">
        <f t="shared" si="16"/>
        <v>1</v>
      </c>
      <c r="Y16" s="6">
        <f t="shared" si="17"/>
        <v>37748736</v>
      </c>
      <c r="Z16" s="6">
        <f t="shared" si="18"/>
        <v>37748736</v>
      </c>
      <c r="AA16" s="6">
        <v>8</v>
      </c>
      <c r="AB16" s="6">
        <v>4</v>
      </c>
      <c r="AC16" s="9">
        <f t="shared" si="19"/>
        <v>3255.2083333333335</v>
      </c>
      <c r="AD16" s="9">
        <f t="shared" si="20"/>
        <v>268448</v>
      </c>
      <c r="AE16" s="9"/>
      <c r="AF16" s="10"/>
    </row>
    <row r="17" spans="1:32" x14ac:dyDescent="0.25">
      <c r="A17" s="6">
        <v>14</v>
      </c>
      <c r="B17" s="7" t="s">
        <v>38</v>
      </c>
      <c r="C17" s="6">
        <f t="shared" si="2"/>
        <v>1</v>
      </c>
      <c r="D17" s="6">
        <f t="shared" si="3"/>
        <v>4096</v>
      </c>
      <c r="E17" s="6">
        <v>1</v>
      </c>
      <c r="F17" s="6">
        <v>1</v>
      </c>
      <c r="G17" s="6">
        <f t="shared" ref="G17" si="24">IF(B17="split", D17/2,IF(B17="merge",D17*2,D17))</f>
        <v>4096</v>
      </c>
      <c r="H17" s="6">
        <f t="shared" si="7"/>
        <v>1</v>
      </c>
      <c r="I17" s="6">
        <f t="shared" si="4"/>
        <v>1</v>
      </c>
      <c r="J17" s="6">
        <f t="shared" si="1"/>
        <v>33554432</v>
      </c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9"/>
      <c r="AD17" s="9"/>
      <c r="AE17" s="9"/>
      <c r="AF17" s="10"/>
    </row>
    <row r="18" spans="1:32" x14ac:dyDescent="0.25">
      <c r="A18" s="6">
        <v>15</v>
      </c>
      <c r="B18" s="7" t="s">
        <v>40</v>
      </c>
      <c r="C18" s="6">
        <f t="shared" si="2"/>
        <v>1</v>
      </c>
      <c r="D18" s="6">
        <f t="shared" si="3"/>
        <v>4096</v>
      </c>
      <c r="E18" s="6">
        <v>1</v>
      </c>
      <c r="F18" s="6">
        <v>1</v>
      </c>
      <c r="G18" s="6">
        <v>4096</v>
      </c>
      <c r="H18" s="6">
        <f t="shared" si="7"/>
        <v>1</v>
      </c>
      <c r="I18" s="6">
        <f t="shared" si="4"/>
        <v>1</v>
      </c>
      <c r="J18" s="6">
        <f t="shared" si="1"/>
        <v>0</v>
      </c>
      <c r="K18" s="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9"/>
      <c r="AD18" s="9"/>
      <c r="AE18" s="9"/>
      <c r="AF18" s="10"/>
    </row>
    <row r="19" spans="1:32" x14ac:dyDescent="0.25">
      <c r="A19" s="6">
        <v>16</v>
      </c>
      <c r="B19" s="7" t="s">
        <v>41</v>
      </c>
      <c r="C19" s="6">
        <f t="shared" si="2"/>
        <v>1</v>
      </c>
      <c r="D19" s="6">
        <f t="shared" si="3"/>
        <v>4096</v>
      </c>
      <c r="E19" s="6">
        <v>1</v>
      </c>
      <c r="F19" s="6">
        <v>1</v>
      </c>
      <c r="G19" s="6">
        <v>4096</v>
      </c>
      <c r="H19" s="6">
        <f t="shared" si="7"/>
        <v>1</v>
      </c>
      <c r="I19" s="6">
        <f t="shared" si="4"/>
        <v>1</v>
      </c>
      <c r="J19" s="6">
        <f t="shared" si="1"/>
        <v>0</v>
      </c>
      <c r="K19" s="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9"/>
      <c r="AD19" s="9"/>
      <c r="AE19" s="9"/>
      <c r="AF19" s="10"/>
    </row>
    <row r="20" spans="1:32" x14ac:dyDescent="0.25">
      <c r="A20" s="6">
        <v>17</v>
      </c>
      <c r="B20" s="7" t="s">
        <v>38</v>
      </c>
      <c r="C20" s="6">
        <f t="shared" si="2"/>
        <v>1</v>
      </c>
      <c r="D20" s="6">
        <f t="shared" si="3"/>
        <v>4096</v>
      </c>
      <c r="E20" s="6">
        <v>1</v>
      </c>
      <c r="F20" s="6">
        <v>1</v>
      </c>
      <c r="G20" s="6">
        <v>1000</v>
      </c>
      <c r="H20" s="6">
        <f t="shared" si="7"/>
        <v>1</v>
      </c>
      <c r="I20" s="6">
        <f t="shared" si="4"/>
        <v>1</v>
      </c>
      <c r="J20" s="6">
        <f t="shared" si="1"/>
        <v>8192000</v>
      </c>
      <c r="K20" s="8">
        <f t="shared" si="6"/>
        <v>0.38044344337291192</v>
      </c>
      <c r="L20" s="6">
        <v>16</v>
      </c>
      <c r="M20" s="6">
        <v>8</v>
      </c>
      <c r="N20" s="6">
        <v>1</v>
      </c>
      <c r="O20" s="6">
        <f t="shared" si="8"/>
        <v>125</v>
      </c>
      <c r="P20" s="6">
        <f t="shared" si="9"/>
        <v>32000</v>
      </c>
      <c r="Q20" s="6">
        <f t="shared" si="10"/>
        <v>256</v>
      </c>
      <c r="R20" s="6">
        <f t="shared" si="11"/>
        <v>32000</v>
      </c>
      <c r="S20" s="6">
        <f t="shared" si="12"/>
        <v>4096</v>
      </c>
      <c r="T20" s="6">
        <f t="shared" si="13"/>
        <v>1000</v>
      </c>
      <c r="U20" s="6">
        <f t="shared" si="14"/>
        <v>256</v>
      </c>
      <c r="V20" s="6">
        <f t="shared" si="14"/>
        <v>125</v>
      </c>
      <c r="W20" s="6">
        <f t="shared" si="15"/>
        <v>2</v>
      </c>
      <c r="X20" s="6">
        <f t="shared" si="16"/>
        <v>1</v>
      </c>
      <c r="Y20" s="6">
        <f t="shared" si="17"/>
        <v>4096000</v>
      </c>
      <c r="Z20" s="6">
        <f t="shared" si="18"/>
        <v>4096000</v>
      </c>
      <c r="AA20" s="6">
        <v>8</v>
      </c>
      <c r="AB20" s="6">
        <v>4</v>
      </c>
      <c r="AC20" s="9">
        <f t="shared" si="19"/>
        <v>3750</v>
      </c>
      <c r="AD20" s="9">
        <f t="shared" si="20"/>
        <v>7288</v>
      </c>
      <c r="AE20" s="9"/>
      <c r="AF20" s="10"/>
    </row>
    <row r="21" spans="1:32" x14ac:dyDescent="0.25">
      <c r="A21" s="6"/>
      <c r="B21" s="7"/>
      <c r="C21" s="6"/>
      <c r="D21" s="6"/>
      <c r="E21" s="6"/>
      <c r="F21" s="6"/>
      <c r="G21" s="6"/>
      <c r="H21" s="6"/>
      <c r="I21" s="6"/>
      <c r="J21" s="6"/>
      <c r="K21" s="8"/>
      <c r="L21" s="7"/>
      <c r="M21" s="7"/>
      <c r="N21" s="7"/>
      <c r="O21" s="6"/>
      <c r="P21" s="6"/>
      <c r="Q21" s="6"/>
      <c r="R21" s="6"/>
      <c r="S21" s="7"/>
      <c r="T21" s="7"/>
      <c r="U21" s="6"/>
      <c r="V21" s="7"/>
      <c r="W21" s="6"/>
      <c r="X21" s="7"/>
      <c r="Y21" s="7"/>
      <c r="Z21" s="6"/>
      <c r="AA21" s="7"/>
      <c r="AB21" s="7"/>
      <c r="AC21" s="9"/>
      <c r="AD21" s="9"/>
      <c r="AE21" s="9"/>
      <c r="AF21" s="10"/>
    </row>
    <row r="22" spans="1:32" x14ac:dyDescent="0.25">
      <c r="A22" s="6"/>
      <c r="B22" s="7"/>
      <c r="C22" s="6"/>
      <c r="D22" s="6"/>
      <c r="E22" s="6"/>
      <c r="F22" s="6"/>
      <c r="G22" s="6"/>
      <c r="H22" s="6"/>
      <c r="I22" s="6"/>
      <c r="J22" s="6"/>
      <c r="K22" s="8"/>
      <c r="L22" s="7"/>
      <c r="M22" s="7"/>
      <c r="N22" s="7"/>
      <c r="O22" s="6"/>
      <c r="P22" s="6"/>
      <c r="Q22" s="6"/>
      <c r="R22" s="6"/>
      <c r="S22" s="7"/>
      <c r="T22" s="7"/>
      <c r="U22" s="6"/>
      <c r="V22" s="7"/>
      <c r="W22" s="6"/>
      <c r="X22" s="7"/>
      <c r="Y22" s="7"/>
      <c r="Z22" s="6"/>
      <c r="AA22" s="7"/>
      <c r="AB22" s="7"/>
      <c r="AC22" s="9"/>
      <c r="AD22" s="9"/>
      <c r="AE22" s="9"/>
      <c r="AF22" s="10"/>
    </row>
    <row r="23" spans="1:32" x14ac:dyDescent="0.25">
      <c r="A23" s="6"/>
      <c r="B23" s="7"/>
      <c r="C23" s="6"/>
      <c r="D23" s="6"/>
      <c r="E23" s="6"/>
      <c r="F23" s="6"/>
      <c r="G23" s="6"/>
      <c r="H23" s="6"/>
      <c r="I23" s="6"/>
      <c r="J23" s="6"/>
      <c r="K23" s="8"/>
      <c r="L23" s="7"/>
      <c r="M23" s="7"/>
      <c r="N23" s="7"/>
      <c r="O23" s="6"/>
      <c r="P23" s="6"/>
      <c r="Q23" s="6"/>
      <c r="R23" s="6"/>
      <c r="S23" s="7"/>
      <c r="T23" s="7"/>
      <c r="U23" s="6"/>
      <c r="V23" s="7"/>
      <c r="W23" s="6"/>
      <c r="X23" s="7"/>
      <c r="Y23" s="7"/>
      <c r="Z23" s="6"/>
      <c r="AA23" s="7"/>
      <c r="AB23" s="7"/>
      <c r="AC23" s="9"/>
      <c r="AD23" s="9"/>
      <c r="AE23" s="9"/>
      <c r="AF23" s="10"/>
    </row>
    <row r="24" spans="1:32" x14ac:dyDescent="0.25">
      <c r="A24" s="6"/>
      <c r="B24" s="7"/>
      <c r="C24" s="6"/>
      <c r="D24" s="6"/>
      <c r="E24" s="6"/>
      <c r="F24" s="6"/>
      <c r="G24" s="6"/>
      <c r="H24" s="6"/>
      <c r="I24" s="6"/>
      <c r="J24" s="6"/>
      <c r="K24" s="8"/>
      <c r="L24" s="7"/>
      <c r="M24" s="7"/>
      <c r="N24" s="7"/>
      <c r="O24" s="6"/>
      <c r="P24" s="6"/>
      <c r="Q24" s="6"/>
      <c r="R24" s="6"/>
      <c r="S24" s="7"/>
      <c r="T24" s="7"/>
      <c r="U24" s="6"/>
      <c r="V24" s="7"/>
      <c r="W24" s="6"/>
      <c r="X24" s="7"/>
      <c r="Y24" s="7"/>
      <c r="Z24" s="6"/>
      <c r="AA24" s="7"/>
      <c r="AB24" s="7"/>
      <c r="AC24" s="9"/>
      <c r="AD24" s="9"/>
      <c r="AE24" s="9"/>
      <c r="AF24" s="10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workbookViewId="0">
      <selection activeCell="Q23" sqref="Q23"/>
    </sheetView>
  </sheetViews>
  <sheetFormatPr defaultRowHeight="15" x14ac:dyDescent="0.25"/>
  <cols>
    <col min="8" max="8" width="12.5703125" bestFit="1" customWidth="1"/>
    <col min="11" max="11" width="27.140625" bestFit="1" customWidth="1"/>
    <col min="14" max="14" width="12" bestFit="1" customWidth="1"/>
    <col min="15" max="15" width="16.7109375" customWidth="1"/>
    <col min="19" max="19" width="13.28515625" bestFit="1" customWidth="1"/>
  </cols>
  <sheetData>
    <row r="1" spans="1:33" x14ac:dyDescent="0.25">
      <c r="A1" s="1" t="s">
        <v>0</v>
      </c>
      <c r="B1" s="11" t="s">
        <v>39</v>
      </c>
      <c r="C1" s="12"/>
      <c r="D1" s="12"/>
      <c r="E1" s="12"/>
      <c r="F1" s="12"/>
      <c r="G1" s="5"/>
      <c r="H1" s="1" t="s">
        <v>1</v>
      </c>
      <c r="I1" s="2">
        <v>200</v>
      </c>
      <c r="J1" s="1"/>
      <c r="K1" s="1" t="s">
        <v>2</v>
      </c>
      <c r="L1" s="2">
        <f>MAX(MAX(S3:S8),MAX(X4:X8))</f>
        <v>73205</v>
      </c>
      <c r="M1" s="1" t="s">
        <v>3</v>
      </c>
      <c r="N1" s="2">
        <f>1000000*I1/L1</f>
        <v>2732.053821460283</v>
      </c>
      <c r="O1" s="3"/>
      <c r="P1" s="3"/>
      <c r="Q1" s="3"/>
      <c r="R1" s="3"/>
      <c r="S1" s="1" t="s">
        <v>4</v>
      </c>
      <c r="T1" s="2" t="e">
        <f>SUM(K3:K10)/(#REF!*#REF!*#REF!+H10*2)</f>
        <v>#REF!</v>
      </c>
      <c r="U1" s="3"/>
      <c r="V1" s="3"/>
      <c r="W1" s="3"/>
      <c r="X1" s="3"/>
      <c r="Y1" s="3"/>
      <c r="Z1" s="4"/>
      <c r="AA1" s="3"/>
      <c r="AB1" s="3"/>
      <c r="AC1" s="3"/>
      <c r="AD1" s="5"/>
      <c r="AE1" s="5"/>
      <c r="AF1" s="5"/>
    </row>
    <row r="2" spans="1:33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35</v>
      </c>
      <c r="H2" s="1" t="s">
        <v>11</v>
      </c>
      <c r="I2" s="1" t="s">
        <v>12</v>
      </c>
      <c r="J2" s="1" t="s">
        <v>13</v>
      </c>
      <c r="K2" s="1" t="str">
        <f>"ops, total: " &amp; SUM(K3:K100)/1000000 &amp;"M"</f>
        <v>ops, total: 2270.520598M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1" t="s">
        <v>27</v>
      </c>
      <c r="Z2" s="1" t="s">
        <v>28</v>
      </c>
      <c r="AA2" s="1" t="s">
        <v>29</v>
      </c>
      <c r="AB2" s="1" t="s">
        <v>30</v>
      </c>
      <c r="AC2" s="1" t="s">
        <v>31</v>
      </c>
      <c r="AD2" s="1" t="s">
        <v>32</v>
      </c>
      <c r="AE2" s="1" t="s">
        <v>33</v>
      </c>
      <c r="AF2" s="1" t="s">
        <v>34</v>
      </c>
    </row>
    <row r="3" spans="1:33" s="10" customFormat="1" x14ac:dyDescent="0.25">
      <c r="A3" s="6" t="s">
        <v>44</v>
      </c>
      <c r="B3" s="7" t="s">
        <v>36</v>
      </c>
      <c r="C3" s="6">
        <v>227</v>
      </c>
      <c r="D3" s="6">
        <v>3</v>
      </c>
      <c r="E3" s="6">
        <v>4</v>
      </c>
      <c r="F3" s="6">
        <v>11</v>
      </c>
      <c r="G3" s="6">
        <v>0</v>
      </c>
      <c r="H3" s="6">
        <v>96</v>
      </c>
      <c r="I3" s="6">
        <f t="shared" ref="I3:I4" si="0">IF(B3="pad", C3+2*F3, IF(B3="pool", _xlfn.CEILING.MATH((C3+2*G3-F3+1)/E3), IF(OR(B3="conv",B3="fc"), _xlfn.CEILING.MATH((C3+2*G3-F3+1)/E3),C3)))</f>
        <v>55</v>
      </c>
      <c r="J3" s="6">
        <v>1</v>
      </c>
      <c r="K3" s="6">
        <f t="shared" ref="K3:K15" si="1">IF(B3="pad", 0, IF(B3="pool", I3*I3*F3*F3, IF(OR(B3="conv",B3="fc"), J3*2*I3*I3*F3*F3*D3*H3,0)))</f>
        <v>210830400</v>
      </c>
      <c r="L3" s="8">
        <f>K3/SUM(K$3:K$10)*100</f>
        <v>9.7911429862900849</v>
      </c>
      <c r="M3" s="6">
        <v>3</v>
      </c>
      <c r="N3" s="6">
        <v>96</v>
      </c>
      <c r="O3" s="6">
        <v>5</v>
      </c>
      <c r="P3" s="6">
        <f>H3/N3</f>
        <v>1</v>
      </c>
      <c r="Q3" s="6">
        <f>F3*F3*D3*H3/(M3*N3)</f>
        <v>121</v>
      </c>
      <c r="R3" s="6">
        <f>2*M3*N3*O3</f>
        <v>2880</v>
      </c>
      <c r="S3" s="6">
        <f>K3/(R3*J3)</f>
        <v>73205</v>
      </c>
      <c r="T3" s="6">
        <f>F3*F3*D3</f>
        <v>363</v>
      </c>
      <c r="U3" s="6">
        <f>H3</f>
        <v>96</v>
      </c>
      <c r="V3" s="6">
        <f>T3/M3</f>
        <v>121</v>
      </c>
      <c r="W3" s="6">
        <f>U3/N3</f>
        <v>1</v>
      </c>
      <c r="X3" s="6">
        <f>C3*C3+(F3*F3*I3*I3)/O3</f>
        <v>124734</v>
      </c>
      <c r="Y3" s="6">
        <f>F3*F3*I3*I3/O3</f>
        <v>73205</v>
      </c>
      <c r="Z3" s="6">
        <f>D3*F3*F3*H3</f>
        <v>34848</v>
      </c>
      <c r="AA3" s="6">
        <f>T3*U3</f>
        <v>34848</v>
      </c>
      <c r="AB3" s="6">
        <v>8</v>
      </c>
      <c r="AC3" s="6">
        <v>4</v>
      </c>
      <c r="AD3" s="9">
        <f>1000000*$I$1/S3</f>
        <v>2732.053821460283</v>
      </c>
      <c r="AE3" s="9">
        <f>CEILING(AA3*AC3/18000,1) *N3</f>
        <v>768</v>
      </c>
      <c r="AF3" s="9"/>
    </row>
    <row r="4" spans="1:33" s="10" customFormat="1" x14ac:dyDescent="0.25">
      <c r="A4" s="6" t="s">
        <v>42</v>
      </c>
      <c r="B4" s="7" t="s">
        <v>37</v>
      </c>
      <c r="C4" s="6">
        <f t="shared" ref="C4:C15" si="2">I3</f>
        <v>55</v>
      </c>
      <c r="D4" s="6">
        <f t="shared" ref="D4:D15" si="3">H3</f>
        <v>96</v>
      </c>
      <c r="E4" s="6">
        <v>2</v>
      </c>
      <c r="F4" s="6">
        <v>3</v>
      </c>
      <c r="G4" s="6">
        <v>0</v>
      </c>
      <c r="H4" s="6">
        <f t="shared" ref="H4" si="4">IF(B4="split", D4/2,IF(B4="merge",D4*2,D4))</f>
        <v>96</v>
      </c>
      <c r="I4" s="6">
        <f t="shared" si="0"/>
        <v>27</v>
      </c>
      <c r="J4" s="6">
        <f t="shared" ref="J4:J15" si="5">IF(B3="merge", 1, IF(B3="split", 2, J3))</f>
        <v>1</v>
      </c>
      <c r="K4" s="6">
        <f t="shared" si="1"/>
        <v>6561</v>
      </c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9"/>
      <c r="AE4" s="9"/>
      <c r="AF4" s="9"/>
    </row>
    <row r="5" spans="1:33" s="10" customFormat="1" x14ac:dyDescent="0.25">
      <c r="A5" s="6" t="s">
        <v>45</v>
      </c>
      <c r="B5" s="7" t="s">
        <v>36</v>
      </c>
      <c r="C5" s="6">
        <f t="shared" si="2"/>
        <v>27</v>
      </c>
      <c r="D5" s="6">
        <f t="shared" si="3"/>
        <v>96</v>
      </c>
      <c r="E5" s="6">
        <v>1</v>
      </c>
      <c r="F5" s="6">
        <v>5</v>
      </c>
      <c r="G5" s="6">
        <v>2</v>
      </c>
      <c r="H5" s="6">
        <v>256</v>
      </c>
      <c r="I5" s="6">
        <f>IF(B5="pad", C5+2*F5, IF(B5="pool", _xlfn.CEILING.MATH((C5+2*G5-F5+1)/E5), IF(OR(B5="conv",B5="fc"), _xlfn.CEILING.MATH((C5+2*G5-F5+1)/E5),C5)))</f>
        <v>27</v>
      </c>
      <c r="J5" s="6">
        <f t="shared" si="5"/>
        <v>1</v>
      </c>
      <c r="K5" s="6">
        <f t="shared" si="1"/>
        <v>895795200</v>
      </c>
      <c r="L5" s="8">
        <f>K5/SUM(K$3:K$10)*100</f>
        <v>41.601490532827917</v>
      </c>
      <c r="M5" s="6">
        <v>48</v>
      </c>
      <c r="N5" s="6">
        <v>128</v>
      </c>
      <c r="O5" s="6">
        <v>1</v>
      </c>
      <c r="P5" s="6">
        <f>H5/N5</f>
        <v>2</v>
      </c>
      <c r="Q5" s="6">
        <f>F5*F5*D5*H5/(M5*N5)</f>
        <v>100</v>
      </c>
      <c r="R5" s="6">
        <f t="shared" ref="R5:R15" si="6">2*M5*N5*O5</f>
        <v>12288</v>
      </c>
      <c r="S5" s="6">
        <f>K5/(R5*J5)</f>
        <v>72900</v>
      </c>
      <c r="T5" s="6">
        <f>F5*F5*D5</f>
        <v>2400</v>
      </c>
      <c r="U5" s="6">
        <f>H5</f>
        <v>256</v>
      </c>
      <c r="V5" s="6">
        <f t="shared" ref="V5:W15" si="7">T5/M5</f>
        <v>50</v>
      </c>
      <c r="W5" s="6">
        <f t="shared" si="7"/>
        <v>2</v>
      </c>
      <c r="X5" s="6">
        <f>C5*C5+(F5*F5*I5*I5)/O5</f>
        <v>18954</v>
      </c>
      <c r="Y5" s="6">
        <f>F5*F5*I5*I5/O5</f>
        <v>18225</v>
      </c>
      <c r="Z5" s="6">
        <f>D5*F5*F5*H5</f>
        <v>614400</v>
      </c>
      <c r="AA5" s="6">
        <f t="shared" ref="AA5:AA15" si="8">T5*U5</f>
        <v>614400</v>
      </c>
      <c r="AB5" s="6">
        <v>8</v>
      </c>
      <c r="AC5" s="6">
        <v>4</v>
      </c>
      <c r="AD5" s="9">
        <f t="shared" ref="AD5:AD15" si="9">1000000*$I$1/S5</f>
        <v>2743.4842249657063</v>
      </c>
      <c r="AE5" s="9">
        <f t="shared" ref="AE5:AE15" si="10">CEILING(AA5*AC5/18000,1) *N5</f>
        <v>17536</v>
      </c>
      <c r="AF5" s="9"/>
    </row>
    <row r="6" spans="1:33" s="10" customFormat="1" x14ac:dyDescent="0.25">
      <c r="A6" s="6" t="s">
        <v>43</v>
      </c>
      <c r="B6" s="7" t="s">
        <v>37</v>
      </c>
      <c r="C6" s="6">
        <f t="shared" si="2"/>
        <v>27</v>
      </c>
      <c r="D6" s="6">
        <f t="shared" si="3"/>
        <v>256</v>
      </c>
      <c r="E6" s="6">
        <v>2</v>
      </c>
      <c r="F6" s="6">
        <v>3</v>
      </c>
      <c r="G6" s="6">
        <v>0</v>
      </c>
      <c r="H6" s="6">
        <f t="shared" ref="H6" si="11">IF(B6="split", D6/2,IF(B6="merge",D6*2,D6))</f>
        <v>256</v>
      </c>
      <c r="I6" s="6">
        <f t="shared" ref="I6:I15" si="12">IF(B6="pad", C6+2*F6, IF(B6="pool", _xlfn.CEILING.MATH((C6+2*G6-F6+1)/E6), IF(OR(B6="conv",B6="fc"), _xlfn.CEILING.MATH((C6+2*G6-F6+1)/E6),C6)))</f>
        <v>13</v>
      </c>
      <c r="J6" s="6">
        <f t="shared" si="5"/>
        <v>1</v>
      </c>
      <c r="K6" s="6">
        <f t="shared" si="1"/>
        <v>1521</v>
      </c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  <c r="AE6" s="9"/>
      <c r="AF6" s="9"/>
    </row>
    <row r="7" spans="1:33" s="10" customFormat="1" x14ac:dyDescent="0.25">
      <c r="A7" s="6" t="s">
        <v>46</v>
      </c>
      <c r="B7" s="7" t="s">
        <v>36</v>
      </c>
      <c r="C7" s="6">
        <f t="shared" si="2"/>
        <v>13</v>
      </c>
      <c r="D7" s="6">
        <f t="shared" si="3"/>
        <v>256</v>
      </c>
      <c r="E7" s="6">
        <v>1</v>
      </c>
      <c r="F7" s="6">
        <v>3</v>
      </c>
      <c r="G7" s="6">
        <v>1</v>
      </c>
      <c r="H7" s="6">
        <v>384</v>
      </c>
      <c r="I7" s="6">
        <f t="shared" si="12"/>
        <v>13</v>
      </c>
      <c r="J7" s="6">
        <f t="shared" si="5"/>
        <v>1</v>
      </c>
      <c r="K7" s="6">
        <f t="shared" si="1"/>
        <v>299040768</v>
      </c>
      <c r="L7" s="8">
        <f>K7/SUM(K$3:K$10)*100</f>
        <v>13.887707456884776</v>
      </c>
      <c r="M7" s="6">
        <v>32</v>
      </c>
      <c r="N7" s="6">
        <v>64</v>
      </c>
      <c r="O7" s="6">
        <v>1</v>
      </c>
      <c r="P7" s="6">
        <f>H7/N7</f>
        <v>6</v>
      </c>
      <c r="Q7" s="6">
        <f>F7*F7*D7*H7/(M7*N7)</f>
        <v>432</v>
      </c>
      <c r="R7" s="6">
        <f t="shared" si="6"/>
        <v>4096</v>
      </c>
      <c r="S7" s="6">
        <f>K7/(R7*J7)</f>
        <v>73008</v>
      </c>
      <c r="T7" s="6">
        <f>F7*F7*D7</f>
        <v>2304</v>
      </c>
      <c r="U7" s="6">
        <f>H7</f>
        <v>384</v>
      </c>
      <c r="V7" s="6">
        <f t="shared" si="7"/>
        <v>72</v>
      </c>
      <c r="W7" s="6">
        <f t="shared" si="7"/>
        <v>6</v>
      </c>
      <c r="X7" s="6">
        <f>C7*C7+(F7*F7*I7*I7)/O7</f>
        <v>1690</v>
      </c>
      <c r="Y7" s="6">
        <f>F7*F7*I7*I7/O7</f>
        <v>1521</v>
      </c>
      <c r="Z7" s="6">
        <f>D7*F7*F7*H7</f>
        <v>884736</v>
      </c>
      <c r="AA7" s="6">
        <f t="shared" si="8"/>
        <v>884736</v>
      </c>
      <c r="AB7" s="6">
        <v>8</v>
      </c>
      <c r="AC7" s="6">
        <v>4</v>
      </c>
      <c r="AD7" s="9">
        <f t="shared" si="9"/>
        <v>2739.4258163488935</v>
      </c>
      <c r="AE7" s="9">
        <f t="shared" si="10"/>
        <v>12608</v>
      </c>
      <c r="AF7" s="9"/>
    </row>
    <row r="8" spans="1:33" s="10" customFormat="1" x14ac:dyDescent="0.25">
      <c r="A8" s="6" t="s">
        <v>47</v>
      </c>
      <c r="B8" s="7" t="s">
        <v>36</v>
      </c>
      <c r="C8" s="6">
        <f t="shared" si="2"/>
        <v>13</v>
      </c>
      <c r="D8" s="6">
        <f t="shared" si="3"/>
        <v>384</v>
      </c>
      <c r="E8" s="6">
        <v>1</v>
      </c>
      <c r="F8" s="6">
        <v>3</v>
      </c>
      <c r="G8" s="6">
        <v>1</v>
      </c>
      <c r="H8" s="6">
        <v>384</v>
      </c>
      <c r="I8" s="6">
        <f t="shared" si="12"/>
        <v>13</v>
      </c>
      <c r="J8" s="6">
        <f t="shared" si="5"/>
        <v>1</v>
      </c>
      <c r="K8" s="6">
        <f t="shared" si="1"/>
        <v>448561152</v>
      </c>
      <c r="L8" s="8">
        <f>K8/SUM(K$3:K$10)*100</f>
        <v>20.831561185327168</v>
      </c>
      <c r="M8" s="6">
        <v>64</v>
      </c>
      <c r="N8" s="6">
        <v>64</v>
      </c>
      <c r="O8" s="6">
        <v>1</v>
      </c>
      <c r="P8" s="6">
        <f>H8/N8</f>
        <v>6</v>
      </c>
      <c r="Q8" s="6">
        <f>F8*F8*D8*H8/(M8*N8)</f>
        <v>324</v>
      </c>
      <c r="R8" s="6">
        <f t="shared" si="6"/>
        <v>8192</v>
      </c>
      <c r="S8" s="6">
        <f>K8/(R8*J8)</f>
        <v>54756</v>
      </c>
      <c r="T8" s="6">
        <f>F8*F8*D8</f>
        <v>3456</v>
      </c>
      <c r="U8" s="6">
        <f>H8</f>
        <v>384</v>
      </c>
      <c r="V8" s="6">
        <f t="shared" si="7"/>
        <v>54</v>
      </c>
      <c r="W8" s="6">
        <f t="shared" si="7"/>
        <v>6</v>
      </c>
      <c r="X8" s="6">
        <f>C8*C8+(F8*F8*I8*I8)/O8</f>
        <v>1690</v>
      </c>
      <c r="Y8" s="6">
        <f>F8*F8*I8*I8/O8</f>
        <v>1521</v>
      </c>
      <c r="Z8" s="6">
        <f>D8*F8*F8*H8</f>
        <v>1327104</v>
      </c>
      <c r="AA8" s="6">
        <f t="shared" si="8"/>
        <v>1327104</v>
      </c>
      <c r="AB8" s="6">
        <v>8</v>
      </c>
      <c r="AC8" s="6">
        <v>4</v>
      </c>
      <c r="AD8" s="9">
        <f t="shared" si="9"/>
        <v>3652.5677551318577</v>
      </c>
      <c r="AE8" s="9">
        <f t="shared" si="10"/>
        <v>18880</v>
      </c>
      <c r="AF8" s="9"/>
    </row>
    <row r="9" spans="1:33" s="10" customFormat="1" x14ac:dyDescent="0.25">
      <c r="A9" s="6" t="s">
        <v>48</v>
      </c>
      <c r="B9" s="7" t="s">
        <v>36</v>
      </c>
      <c r="C9" s="6">
        <f t="shared" si="2"/>
        <v>13</v>
      </c>
      <c r="D9" s="6">
        <f t="shared" si="3"/>
        <v>384</v>
      </c>
      <c r="E9" s="6">
        <v>1</v>
      </c>
      <c r="F9" s="6">
        <v>3</v>
      </c>
      <c r="G9" s="6">
        <v>1</v>
      </c>
      <c r="H9" s="6">
        <v>256</v>
      </c>
      <c r="I9" s="6">
        <f t="shared" si="12"/>
        <v>13</v>
      </c>
      <c r="J9" s="6">
        <f t="shared" si="5"/>
        <v>1</v>
      </c>
      <c r="K9" s="6">
        <f t="shared" si="1"/>
        <v>299040768</v>
      </c>
      <c r="L9" s="8">
        <f>K9/SUM(K$3:K$10)*100</f>
        <v>13.887707456884776</v>
      </c>
      <c r="M9" s="6">
        <v>32</v>
      </c>
      <c r="N9" s="6">
        <v>64</v>
      </c>
      <c r="O9" s="6">
        <v>1</v>
      </c>
      <c r="P9" s="6">
        <f>H9/N9</f>
        <v>4</v>
      </c>
      <c r="Q9" s="6">
        <f>F9*F9*D9*H9/(M9*N9)</f>
        <v>432</v>
      </c>
      <c r="R9" s="6">
        <f t="shared" si="6"/>
        <v>4096</v>
      </c>
      <c r="S9" s="6">
        <f>K9/(R9*J9)</f>
        <v>73008</v>
      </c>
      <c r="T9" s="6">
        <f>F9*F9*D9</f>
        <v>3456</v>
      </c>
      <c r="U9" s="6">
        <f>H9</f>
        <v>256</v>
      </c>
      <c r="V9" s="6">
        <f t="shared" si="7"/>
        <v>108</v>
      </c>
      <c r="W9" s="6">
        <f t="shared" si="7"/>
        <v>4</v>
      </c>
      <c r="X9" s="6">
        <f>C9*C9+(F9*F9*I9*I9)/O9</f>
        <v>1690</v>
      </c>
      <c r="Y9" s="6">
        <f>F9*F9*I9*I9/O9</f>
        <v>1521</v>
      </c>
      <c r="Z9" s="6">
        <f>D9*F9*F9*H9</f>
        <v>884736</v>
      </c>
      <c r="AA9" s="6">
        <f t="shared" si="8"/>
        <v>884736</v>
      </c>
      <c r="AB9" s="6">
        <v>8</v>
      </c>
      <c r="AC9" s="6">
        <v>4</v>
      </c>
      <c r="AD9" s="9">
        <f t="shared" si="9"/>
        <v>2739.4258163488935</v>
      </c>
      <c r="AE9" s="9">
        <f t="shared" si="10"/>
        <v>12608</v>
      </c>
      <c r="AF9" s="9"/>
    </row>
    <row r="10" spans="1:33" s="10" customFormat="1" x14ac:dyDescent="0.25">
      <c r="A10" s="6" t="s">
        <v>49</v>
      </c>
      <c r="B10" s="7" t="s">
        <v>37</v>
      </c>
      <c r="C10" s="6">
        <f t="shared" si="2"/>
        <v>13</v>
      </c>
      <c r="D10" s="6">
        <f t="shared" si="3"/>
        <v>256</v>
      </c>
      <c r="E10" s="6">
        <v>2</v>
      </c>
      <c r="F10" s="6">
        <v>3</v>
      </c>
      <c r="G10" s="6">
        <v>0</v>
      </c>
      <c r="H10" s="6">
        <v>256</v>
      </c>
      <c r="I10" s="6">
        <f t="shared" si="12"/>
        <v>6</v>
      </c>
      <c r="J10" s="6">
        <f t="shared" si="5"/>
        <v>1</v>
      </c>
      <c r="K10" s="6">
        <f t="shared" si="1"/>
        <v>324</v>
      </c>
      <c r="L10" s="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9"/>
      <c r="AE10" s="9"/>
      <c r="AF10" s="9"/>
    </row>
    <row r="11" spans="1:33" x14ac:dyDescent="0.25">
      <c r="A11" s="6" t="s">
        <v>51</v>
      </c>
      <c r="B11" s="7" t="s">
        <v>38</v>
      </c>
      <c r="C11" s="6">
        <v>1</v>
      </c>
      <c r="D11" s="6">
        <f>H10*I10*I10</f>
        <v>9216</v>
      </c>
      <c r="E11" s="6">
        <v>1</v>
      </c>
      <c r="F11" s="6">
        <v>1</v>
      </c>
      <c r="G11" s="6">
        <v>0</v>
      </c>
      <c r="H11" s="6">
        <v>4096</v>
      </c>
      <c r="I11" s="6">
        <f t="shared" si="12"/>
        <v>1</v>
      </c>
      <c r="J11" s="6">
        <f t="shared" si="5"/>
        <v>1</v>
      </c>
      <c r="K11" s="6">
        <f t="shared" si="1"/>
        <v>75497472</v>
      </c>
      <c r="L11" s="8">
        <f>K11/SUM(K$3:K$10)*100</f>
        <v>3.5061667741247562</v>
      </c>
      <c r="M11" s="6">
        <v>32</v>
      </c>
      <c r="N11" s="6">
        <v>16</v>
      </c>
      <c r="O11" s="6">
        <v>1</v>
      </c>
      <c r="P11" s="6">
        <f>H11/N11</f>
        <v>256</v>
      </c>
      <c r="Q11" s="6">
        <f>F11*F11*D11*H11/(M11*N11)</f>
        <v>73728</v>
      </c>
      <c r="R11" s="6">
        <f t="shared" si="6"/>
        <v>1024</v>
      </c>
      <c r="S11" s="6">
        <f>K11/(R11*J11)</f>
        <v>73728</v>
      </c>
      <c r="T11" s="6">
        <f>F11*F11*D11</f>
        <v>9216</v>
      </c>
      <c r="U11" s="6">
        <f>H11</f>
        <v>4096</v>
      </c>
      <c r="V11" s="6">
        <f t="shared" si="7"/>
        <v>288</v>
      </c>
      <c r="W11" s="6">
        <f t="shared" si="7"/>
        <v>256</v>
      </c>
      <c r="X11" s="6">
        <f>C11*C11+(F11*F11*I11*I11)/O11</f>
        <v>2</v>
      </c>
      <c r="Y11" s="6">
        <f>F11*F11*I11*I11/O11</f>
        <v>1</v>
      </c>
      <c r="Z11" s="6">
        <f>D11*F11*F11*H11</f>
        <v>37748736</v>
      </c>
      <c r="AA11" s="6">
        <f t="shared" si="8"/>
        <v>37748736</v>
      </c>
      <c r="AB11" s="6">
        <v>8</v>
      </c>
      <c r="AC11" s="6">
        <v>4</v>
      </c>
      <c r="AD11" s="9">
        <f t="shared" si="9"/>
        <v>2712.6736111111113</v>
      </c>
      <c r="AE11" s="9">
        <f t="shared" si="10"/>
        <v>134224</v>
      </c>
      <c r="AF11" s="9"/>
      <c r="AG11" s="10"/>
    </row>
    <row r="12" spans="1:33" x14ac:dyDescent="0.25">
      <c r="A12" s="6" t="s">
        <v>50</v>
      </c>
      <c r="B12" s="7" t="s">
        <v>38</v>
      </c>
      <c r="C12" s="6">
        <f t="shared" si="2"/>
        <v>1</v>
      </c>
      <c r="D12" s="6">
        <f t="shared" si="3"/>
        <v>4096</v>
      </c>
      <c r="E12" s="6">
        <v>1</v>
      </c>
      <c r="F12" s="6">
        <v>1</v>
      </c>
      <c r="G12" s="6">
        <v>0</v>
      </c>
      <c r="H12" s="6">
        <f t="shared" ref="H12" si="13">IF(B12="split", D12/2,IF(B12="merge",D12*2,D12))</f>
        <v>4096</v>
      </c>
      <c r="I12" s="6">
        <f t="shared" si="12"/>
        <v>1</v>
      </c>
      <c r="J12" s="6">
        <f t="shared" si="5"/>
        <v>1</v>
      </c>
      <c r="K12" s="6">
        <f t="shared" si="1"/>
        <v>33554432</v>
      </c>
      <c r="L12" s="8">
        <f>K12/SUM(K$3:K$10)*100</f>
        <v>1.5582963440554474</v>
      </c>
      <c r="M12" s="6">
        <v>64</v>
      </c>
      <c r="N12" s="6">
        <v>4</v>
      </c>
      <c r="O12" s="6">
        <v>1</v>
      </c>
      <c r="P12" s="6">
        <f>H12/N12</f>
        <v>1024</v>
      </c>
      <c r="Q12" s="6">
        <f>F12*F12*D12*H12/(M12*N12)</f>
        <v>65536</v>
      </c>
      <c r="R12" s="6">
        <f t="shared" ref="R12" si="14">2*M12*N12*O12</f>
        <v>512</v>
      </c>
      <c r="S12" s="6">
        <f>K12/(R12*J12)</f>
        <v>65536</v>
      </c>
      <c r="T12" s="6">
        <f>F12*F12*D12</f>
        <v>4096</v>
      </c>
      <c r="U12" s="6">
        <f>H12</f>
        <v>4096</v>
      </c>
      <c r="V12" s="6">
        <f t="shared" ref="V12" si="15">T12/M12</f>
        <v>64</v>
      </c>
      <c r="W12" s="6">
        <f t="shared" ref="W12" si="16">U12/N12</f>
        <v>1024</v>
      </c>
      <c r="X12" s="6">
        <f>C12*C12+(F12*F12*I12*I12)/O12</f>
        <v>2</v>
      </c>
      <c r="Y12" s="6">
        <f>F12*F12*I12*I12/O12</f>
        <v>1</v>
      </c>
      <c r="Z12" s="6">
        <f>D12*F12*F12*H12</f>
        <v>16777216</v>
      </c>
      <c r="AA12" s="6">
        <f t="shared" ref="AA12" si="17">T12*U12</f>
        <v>16777216</v>
      </c>
      <c r="AB12" s="6">
        <v>8</v>
      </c>
      <c r="AC12" s="6">
        <v>4</v>
      </c>
      <c r="AD12" s="9">
        <f t="shared" ref="AD12" si="18">1000000*$I$1/S12</f>
        <v>3051.7578125</v>
      </c>
      <c r="AE12" s="9">
        <f t="shared" ref="AE12" si="19">CEILING(AA12*AC12/18000,1) *N12</f>
        <v>14916</v>
      </c>
      <c r="AF12" s="9"/>
      <c r="AG12" s="10"/>
    </row>
    <row r="13" spans="1:33" x14ac:dyDescent="0.25">
      <c r="A13" s="6">
        <v>11</v>
      </c>
      <c r="B13" s="7" t="s">
        <v>40</v>
      </c>
      <c r="C13" s="6">
        <f t="shared" si="2"/>
        <v>1</v>
      </c>
      <c r="D13" s="6">
        <f t="shared" si="3"/>
        <v>4096</v>
      </c>
      <c r="E13" s="6">
        <v>1</v>
      </c>
      <c r="F13" s="6">
        <v>1</v>
      </c>
      <c r="G13" s="6">
        <v>0</v>
      </c>
      <c r="H13" s="6">
        <v>4096</v>
      </c>
      <c r="I13" s="6">
        <f t="shared" si="12"/>
        <v>1</v>
      </c>
      <c r="J13" s="6">
        <f t="shared" si="5"/>
        <v>1</v>
      </c>
      <c r="K13" s="6">
        <f t="shared" si="1"/>
        <v>0</v>
      </c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9"/>
      <c r="AE13" s="9"/>
      <c r="AF13" s="9"/>
      <c r="AG13" s="10"/>
    </row>
    <row r="14" spans="1:33" x14ac:dyDescent="0.25">
      <c r="A14" s="6">
        <v>12</v>
      </c>
      <c r="B14" s="7" t="s">
        <v>41</v>
      </c>
      <c r="C14" s="6">
        <f t="shared" si="2"/>
        <v>1</v>
      </c>
      <c r="D14" s="6">
        <f t="shared" si="3"/>
        <v>4096</v>
      </c>
      <c r="E14" s="6">
        <v>1</v>
      </c>
      <c r="F14" s="6">
        <v>1</v>
      </c>
      <c r="G14" s="6">
        <v>0</v>
      </c>
      <c r="H14" s="6">
        <v>4096</v>
      </c>
      <c r="I14" s="6">
        <f t="shared" si="12"/>
        <v>1</v>
      </c>
      <c r="J14" s="6">
        <f t="shared" si="5"/>
        <v>1</v>
      </c>
      <c r="K14" s="6">
        <f t="shared" si="1"/>
        <v>0</v>
      </c>
      <c r="L14" s="8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9"/>
      <c r="AE14" s="9"/>
      <c r="AF14" s="9"/>
      <c r="AG14" s="10"/>
    </row>
    <row r="15" spans="1:33" x14ac:dyDescent="0.25">
      <c r="A15" s="6">
        <v>13</v>
      </c>
      <c r="B15" s="7" t="s">
        <v>38</v>
      </c>
      <c r="C15" s="6">
        <f t="shared" si="2"/>
        <v>1</v>
      </c>
      <c r="D15" s="6">
        <f t="shared" si="3"/>
        <v>4096</v>
      </c>
      <c r="E15" s="6">
        <v>1</v>
      </c>
      <c r="F15" s="6">
        <v>1</v>
      </c>
      <c r="G15" s="6">
        <v>0</v>
      </c>
      <c r="H15" s="6">
        <v>1000</v>
      </c>
      <c r="I15" s="6">
        <f t="shared" si="12"/>
        <v>1</v>
      </c>
      <c r="J15" s="6">
        <f t="shared" si="5"/>
        <v>1</v>
      </c>
      <c r="K15" s="6">
        <f t="shared" si="1"/>
        <v>8192000</v>
      </c>
      <c r="L15" s="8">
        <f>K15/SUM(K$3:K$10)*100</f>
        <v>0.38044344337291192</v>
      </c>
      <c r="M15" s="6">
        <v>8</v>
      </c>
      <c r="N15" s="6">
        <v>8</v>
      </c>
      <c r="O15" s="6">
        <v>1</v>
      </c>
      <c r="P15" s="6">
        <f>H15/N15</f>
        <v>125</v>
      </c>
      <c r="Q15" s="6">
        <f>F15*F15*D15*H15/(M15*N15)</f>
        <v>64000</v>
      </c>
      <c r="R15" s="6">
        <f t="shared" si="6"/>
        <v>128</v>
      </c>
      <c r="S15" s="6">
        <f>K15/(R15*J15)</f>
        <v>64000</v>
      </c>
      <c r="T15" s="6">
        <f>F15*F15*D15</f>
        <v>4096</v>
      </c>
      <c r="U15" s="6">
        <f>H15</f>
        <v>1000</v>
      </c>
      <c r="V15" s="6">
        <f t="shared" si="7"/>
        <v>512</v>
      </c>
      <c r="W15" s="6">
        <f t="shared" si="7"/>
        <v>125</v>
      </c>
      <c r="X15" s="6">
        <f>C15*C15+(F15*F15*I15*I15)/O15</f>
        <v>2</v>
      </c>
      <c r="Y15" s="6">
        <f>F15*F15*I15*I15/O15</f>
        <v>1</v>
      </c>
      <c r="Z15" s="6">
        <f>D15*F15*F15*H15</f>
        <v>4096000</v>
      </c>
      <c r="AA15" s="6">
        <f t="shared" si="8"/>
        <v>4096000</v>
      </c>
      <c r="AB15" s="6">
        <v>8</v>
      </c>
      <c r="AC15" s="6">
        <v>4</v>
      </c>
      <c r="AD15" s="9">
        <f t="shared" si="9"/>
        <v>3125</v>
      </c>
      <c r="AE15" s="9">
        <f t="shared" si="10"/>
        <v>7288</v>
      </c>
      <c r="AF15" s="9"/>
      <c r="AG15" s="10"/>
    </row>
    <row r="16" spans="1:33" x14ac:dyDescent="0.25">
      <c r="A16" s="6"/>
      <c r="B16" s="7"/>
      <c r="C16" s="6"/>
      <c r="D16" s="6"/>
      <c r="E16" s="6"/>
      <c r="F16" s="6"/>
      <c r="G16" s="6"/>
      <c r="H16" s="6"/>
      <c r="I16" s="6"/>
      <c r="J16" s="6"/>
      <c r="K16" s="6"/>
      <c r="L16" s="8"/>
      <c r="M16" s="7"/>
      <c r="N16" s="7"/>
      <c r="O16" s="7"/>
      <c r="P16" s="6"/>
      <c r="Q16" s="6"/>
      <c r="R16" s="6"/>
      <c r="S16" s="6"/>
      <c r="T16" s="7"/>
      <c r="U16" s="7"/>
      <c r="V16" s="6"/>
      <c r="W16" s="7"/>
      <c r="X16" s="6"/>
      <c r="Y16" s="7"/>
      <c r="Z16" s="7"/>
      <c r="AA16" s="6"/>
      <c r="AB16" s="7"/>
      <c r="AC16" s="7"/>
      <c r="AD16" s="9"/>
      <c r="AE16" s="9"/>
      <c r="AF16" s="9"/>
      <c r="AG16" s="10"/>
    </row>
    <row r="17" spans="1:33" x14ac:dyDescent="0.25">
      <c r="A17" s="6"/>
      <c r="B17" s="7"/>
      <c r="C17" s="6"/>
      <c r="D17" s="6"/>
      <c r="E17" s="6"/>
      <c r="F17" s="6"/>
      <c r="G17" s="6"/>
      <c r="H17" s="6"/>
      <c r="I17" s="6"/>
      <c r="J17" s="6"/>
      <c r="K17" s="6"/>
      <c r="L17" s="8"/>
      <c r="M17" s="7"/>
      <c r="N17" s="7"/>
      <c r="O17" s="7"/>
      <c r="P17" s="6"/>
      <c r="Q17" s="6"/>
      <c r="R17" s="6"/>
      <c r="S17" s="6"/>
      <c r="T17" s="7"/>
      <c r="U17" s="7"/>
      <c r="V17" s="6"/>
      <c r="W17" s="7"/>
      <c r="X17" s="6"/>
      <c r="Y17" s="7"/>
      <c r="Z17" s="7"/>
      <c r="AA17" s="6"/>
      <c r="AB17" s="7"/>
      <c r="AC17" s="7"/>
      <c r="AD17" s="9"/>
      <c r="AE17" s="9"/>
      <c r="AF17" s="9"/>
      <c r="AG17" s="10"/>
    </row>
    <row r="18" spans="1:33" x14ac:dyDescent="0.25">
      <c r="A18" s="6"/>
      <c r="B18" s="7"/>
      <c r="C18" s="6"/>
      <c r="D18" s="6"/>
      <c r="E18" s="6"/>
      <c r="F18" s="6"/>
      <c r="G18" s="6"/>
      <c r="H18" s="6"/>
      <c r="I18" s="6"/>
      <c r="J18" s="6"/>
      <c r="K18" s="6"/>
      <c r="L18" s="8"/>
      <c r="M18" s="7"/>
      <c r="N18" s="7"/>
      <c r="O18" s="7"/>
      <c r="P18" s="6"/>
      <c r="Q18" s="6"/>
      <c r="R18" s="6"/>
      <c r="S18" s="6"/>
      <c r="T18" s="7"/>
      <c r="U18" s="7"/>
      <c r="V18" s="6"/>
      <c r="W18" s="7"/>
      <c r="X18" s="6"/>
      <c r="Y18" s="7"/>
      <c r="Z18" s="7"/>
      <c r="AA18" s="6"/>
      <c r="AB18" s="7"/>
      <c r="AC18" s="7"/>
      <c r="AD18" s="9"/>
      <c r="AE18" s="9"/>
      <c r="AF18" s="9"/>
      <c r="AG18" s="10"/>
    </row>
    <row r="19" spans="1:33" x14ac:dyDescent="0.25">
      <c r="A19" s="6"/>
      <c r="B19" s="7"/>
      <c r="C19" s="6"/>
      <c r="D19" s="6"/>
      <c r="E19" s="6"/>
      <c r="F19" s="6"/>
      <c r="G19" s="6"/>
      <c r="H19" s="6"/>
      <c r="I19" s="6"/>
      <c r="J19" s="6"/>
      <c r="K19" s="6"/>
      <c r="L19" s="8"/>
      <c r="M19" s="7"/>
      <c r="N19" s="7"/>
      <c r="O19" s="7"/>
      <c r="P19" s="6"/>
      <c r="Q19" s="6"/>
      <c r="R19" s="6"/>
      <c r="S19" s="6"/>
      <c r="T19" s="7"/>
      <c r="U19" s="7"/>
      <c r="V19" s="6"/>
      <c r="W19" s="7"/>
      <c r="X19" s="6"/>
      <c r="Y19" s="7"/>
      <c r="Z19" s="7"/>
      <c r="AA19" s="6"/>
      <c r="AB19" s="7"/>
      <c r="AC19" s="7"/>
      <c r="AD19" s="9"/>
      <c r="AE19" s="9"/>
      <c r="AF19" s="9"/>
      <c r="AG19" s="10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&amp;C&amp;"arial,Regular"&amp;10&amp;K0070C0XILINX CONFIDENTIAL</oddFooter>
    <evenFooter>&amp;C&amp;"arial,Regular"&amp;10&amp;K0070C0XILINX CONFIDENTIAL</evenFooter>
    <firstFooter>&amp;C&amp;"arial,Regular"&amp;10&amp;K0070C0XILINX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Slow</vt:lpstr>
      <vt:lpstr>fast</vt:lpstr>
      <vt:lpstr>Slow_differentpadding</vt:lpstr>
    </vt:vector>
  </TitlesOfParts>
  <Company>MyCompany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Gambardella</dc:creator>
  <cp:keywords>Confidential, None, None</cp:keywords>
  <cp:lastModifiedBy>Giulio Gambardella</cp:lastModifiedBy>
  <dcterms:created xsi:type="dcterms:W3CDTF">2017-04-10T10:53:28Z</dcterms:created>
  <dcterms:modified xsi:type="dcterms:W3CDTF">2017-05-05T10:22:06Z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bd64aa42-60ec-42c9-bbab-17c43120ad97</vt:lpwstr>
  </property>
  <property fmtid="{D5CDD505-2E9C-101B-9397-08002B2CF9AE}" pid="3" name="TITUSCustom1">
    <vt:lpwstr>1</vt:lpwstr>
  </property>
  <property fmtid="{D5CDD505-2E9C-101B-9397-08002B2CF9AE}" pid="4" name="XilinxClassification">
    <vt:lpwstr>Confidential</vt:lpwstr>
  </property>
  <property fmtid="{D5CDD505-2E9C-101B-9397-08002B2CF9AE}" pid="5" name="XilinxVisual Markings">
    <vt:lpwstr>Yes</vt:lpwstr>
  </property>
  <property fmtid="{D5CDD505-2E9C-101B-9397-08002B2CF9AE}" pid="6" name="XilinxProprietary">
    <vt:lpwstr>No</vt:lpwstr>
  </property>
  <property fmtid="{D5CDD505-2E9C-101B-9397-08002B2CF9AE}" pid="7" name="XilinxAdditional Classifications">
    <vt:lpwstr>None</vt:lpwstr>
  </property>
  <property fmtid="{D5CDD505-2E9C-101B-9397-08002B2CF9AE}" pid="8" name="XilinxExport Control">
    <vt:lpwstr>None</vt:lpwstr>
  </property>
  <property fmtid="{D5CDD505-2E9C-101B-9397-08002B2CF9AE}" pid="9" name="XilinxThird Party">
    <vt:lpwstr/>
  </property>
  <property fmtid="{D5CDD505-2E9C-101B-9397-08002B2CF9AE}" pid="10" name="XilinxNote">
    <vt:lpwstr/>
  </property>
  <property fmtid="{D5CDD505-2E9C-101B-9397-08002B2CF9AE}" pid="11" name="XilinxRemoveLegacyFooters">
    <vt:lpwstr>Yes</vt:lpwstr>
  </property>
</Properties>
</file>